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Corpocesar\Desktop\"/>
    </mc:Choice>
  </mc:AlternateContent>
  <bookViews>
    <workbookView xWindow="390" yWindow="345" windowWidth="16830" windowHeight="6570" tabRatio="607"/>
  </bookViews>
  <sheets>
    <sheet name="MGLOBAL AGROINDUSTRIAL" sheetId="11" r:id="rId1"/>
    <sheet name="MGLOBAL MINERO" sheetId="10" r:id="rId2"/>
    <sheet name="GOBAL URBANO" sheetId="9" r:id="rId3"/>
    <sheet name="poblacion" sheetId="8" r:id="rId4"/>
    <sheet name="T agroindustrial" sheetId="7" r:id="rId5"/>
    <sheet name="T minero" sheetId="6" r:id="rId6"/>
    <sheet name="T urbano" sheetId="5" r:id="rId7"/>
    <sheet name="Hoja3" sheetId="3" r:id="rId8"/>
  </sheets>
  <calcPr calcId="152511" concurrentCalc="0"/>
</workbook>
</file>

<file path=xl/calcChain.xml><?xml version="1.0" encoding="utf-8"?>
<calcChain xmlns="http://schemas.openxmlformats.org/spreadsheetml/2006/main">
  <c r="O9" i="6" l="1"/>
  <c r="O10" i="6"/>
  <c r="O11" i="6"/>
  <c r="O12" i="6"/>
  <c r="O13" i="6"/>
  <c r="O14" i="6"/>
  <c r="O15" i="6"/>
  <c r="O16" i="6"/>
  <c r="O17" i="6"/>
  <c r="O18" i="6"/>
  <c r="O19" i="6"/>
  <c r="O20" i="6"/>
  <c r="O21" i="6"/>
  <c r="O22" i="6"/>
  <c r="O23" i="6"/>
  <c r="O24" i="6"/>
  <c r="O25" i="6"/>
  <c r="J9" i="6"/>
  <c r="J10" i="6"/>
  <c r="J11" i="6"/>
  <c r="J12" i="6"/>
  <c r="J13" i="6"/>
  <c r="J14" i="6"/>
  <c r="J15" i="6"/>
  <c r="J16" i="6"/>
  <c r="J17" i="6"/>
  <c r="J18" i="6"/>
  <c r="J19" i="6"/>
  <c r="J20" i="6"/>
  <c r="J21" i="6"/>
  <c r="J22" i="6"/>
  <c r="J23" i="6"/>
  <c r="J24" i="6"/>
  <c r="J25" i="6"/>
  <c r="E25" i="6"/>
  <c r="D25" i="6"/>
  <c r="K32" i="5"/>
  <c r="L32" i="5"/>
  <c r="M32" i="5"/>
  <c r="N32" i="5"/>
  <c r="O32" i="5"/>
  <c r="G14" i="9"/>
  <c r="F32" i="5"/>
  <c r="G32" i="5"/>
  <c r="H32" i="5"/>
  <c r="I32" i="5"/>
  <c r="J32" i="5"/>
  <c r="F14" i="9"/>
  <c r="K25" i="5"/>
  <c r="L25" i="5"/>
  <c r="M25" i="5"/>
  <c r="N25" i="5"/>
  <c r="O25" i="5"/>
  <c r="G12" i="9"/>
  <c r="F25" i="5"/>
  <c r="G25" i="5"/>
  <c r="H25" i="5"/>
  <c r="I25" i="5"/>
  <c r="J25" i="5"/>
  <c r="F12" i="9"/>
  <c r="E24" i="5"/>
  <c r="K24" i="5"/>
  <c r="L24" i="5"/>
  <c r="M24" i="5"/>
  <c r="N24" i="5"/>
  <c r="O24" i="5"/>
  <c r="G11" i="9"/>
  <c r="D24" i="5"/>
  <c r="F24" i="5"/>
  <c r="G24" i="5"/>
  <c r="H24" i="5"/>
  <c r="I24" i="5"/>
  <c r="J24" i="5"/>
  <c r="F11" i="9"/>
  <c r="D11" i="9"/>
  <c r="E11" i="9"/>
  <c r="K90" i="5"/>
  <c r="L90" i="5"/>
  <c r="M90" i="5"/>
  <c r="N90" i="5"/>
  <c r="O90" i="5"/>
  <c r="K91" i="5"/>
  <c r="L91" i="5"/>
  <c r="M91" i="5"/>
  <c r="N91" i="5"/>
  <c r="O91" i="5"/>
  <c r="O92" i="5"/>
  <c r="F90" i="5"/>
  <c r="G90" i="5"/>
  <c r="H90" i="5"/>
  <c r="I90" i="5"/>
  <c r="J90" i="5"/>
  <c r="F91" i="5"/>
  <c r="G91" i="5"/>
  <c r="H91" i="5"/>
  <c r="I91" i="5"/>
  <c r="J91" i="5"/>
  <c r="J92" i="5"/>
  <c r="E92" i="5"/>
  <c r="D92" i="5"/>
  <c r="K89" i="5"/>
  <c r="L89" i="5"/>
  <c r="M89" i="5"/>
  <c r="N89" i="5"/>
  <c r="O89" i="5"/>
  <c r="F89" i="5"/>
  <c r="G89" i="5"/>
  <c r="H89" i="5"/>
  <c r="I89" i="5"/>
  <c r="J89" i="5"/>
  <c r="K86" i="5"/>
  <c r="L86" i="5"/>
  <c r="M86" i="5"/>
  <c r="N86" i="5"/>
  <c r="O86" i="5"/>
  <c r="K87" i="5"/>
  <c r="L87" i="5"/>
  <c r="M87" i="5"/>
  <c r="N87" i="5"/>
  <c r="O87" i="5"/>
  <c r="O88" i="5"/>
  <c r="F86" i="5"/>
  <c r="G86" i="5"/>
  <c r="H86" i="5"/>
  <c r="I86" i="5"/>
  <c r="J86" i="5"/>
  <c r="F87" i="5"/>
  <c r="G87" i="5"/>
  <c r="H87" i="5"/>
  <c r="I87" i="5"/>
  <c r="J87" i="5"/>
  <c r="J88" i="5"/>
  <c r="E88" i="5"/>
  <c r="D88" i="5"/>
  <c r="K81" i="5"/>
  <c r="L81" i="5"/>
  <c r="M81" i="5"/>
  <c r="N81" i="5"/>
  <c r="O81" i="5"/>
  <c r="K82" i="5"/>
  <c r="L82" i="5"/>
  <c r="M82" i="5"/>
  <c r="N82" i="5"/>
  <c r="O82" i="5"/>
  <c r="K83" i="5"/>
  <c r="L83" i="5"/>
  <c r="M83" i="5"/>
  <c r="N83" i="5"/>
  <c r="O83" i="5"/>
  <c r="K84" i="5"/>
  <c r="L84" i="5"/>
  <c r="M84" i="5"/>
  <c r="N84" i="5"/>
  <c r="O84" i="5"/>
  <c r="O85" i="5"/>
  <c r="F81" i="5"/>
  <c r="G81" i="5"/>
  <c r="H81" i="5"/>
  <c r="I81" i="5"/>
  <c r="J81" i="5"/>
  <c r="F82" i="5"/>
  <c r="G82" i="5"/>
  <c r="H82" i="5"/>
  <c r="I82" i="5"/>
  <c r="J82" i="5"/>
  <c r="F83" i="5"/>
  <c r="G83" i="5"/>
  <c r="H83" i="5"/>
  <c r="I83" i="5"/>
  <c r="J83" i="5"/>
  <c r="F84" i="5"/>
  <c r="G84" i="5"/>
  <c r="H84" i="5"/>
  <c r="I84" i="5"/>
  <c r="J84" i="5"/>
  <c r="J85" i="5"/>
  <c r="E85" i="5"/>
  <c r="D85" i="5"/>
  <c r="K76" i="5"/>
  <c r="L76" i="5"/>
  <c r="M76" i="5"/>
  <c r="N76" i="5"/>
  <c r="O76" i="5"/>
  <c r="O80" i="5"/>
  <c r="F76" i="5"/>
  <c r="G76" i="5"/>
  <c r="H76" i="5"/>
  <c r="I76" i="5"/>
  <c r="J76" i="5"/>
  <c r="J80" i="5"/>
  <c r="E80" i="5"/>
  <c r="D80" i="5"/>
  <c r="K71" i="5"/>
  <c r="L71" i="5"/>
  <c r="M71" i="5"/>
  <c r="N71" i="5"/>
  <c r="O71" i="5"/>
  <c r="K72" i="5"/>
  <c r="L72" i="5"/>
  <c r="M72" i="5"/>
  <c r="N72" i="5"/>
  <c r="O72" i="5"/>
  <c r="K73" i="5"/>
  <c r="L73" i="5"/>
  <c r="M73" i="5"/>
  <c r="N73" i="5"/>
  <c r="O73" i="5"/>
  <c r="O74" i="5"/>
  <c r="F71" i="5"/>
  <c r="G71" i="5"/>
  <c r="H71" i="5"/>
  <c r="I71" i="5"/>
  <c r="J71" i="5"/>
  <c r="F72" i="5"/>
  <c r="G72" i="5"/>
  <c r="H72" i="5"/>
  <c r="I72" i="5"/>
  <c r="J72" i="5"/>
  <c r="F73" i="5"/>
  <c r="G73" i="5"/>
  <c r="H73" i="5"/>
  <c r="I73" i="5"/>
  <c r="J73" i="5"/>
  <c r="J74" i="5"/>
  <c r="E74" i="5"/>
  <c r="D74" i="5"/>
  <c r="O68" i="5"/>
  <c r="O70" i="5"/>
  <c r="J68" i="5"/>
  <c r="J70" i="5"/>
  <c r="E70" i="5"/>
  <c r="D70" i="5"/>
  <c r="K64" i="5"/>
  <c r="L64" i="5"/>
  <c r="M64" i="5"/>
  <c r="N64" i="5"/>
  <c r="O64" i="5"/>
  <c r="K65" i="5"/>
  <c r="L65" i="5"/>
  <c r="M65" i="5"/>
  <c r="N65" i="5"/>
  <c r="O65" i="5"/>
  <c r="E66" i="5"/>
  <c r="K66" i="5"/>
  <c r="L66" i="5"/>
  <c r="M66" i="5"/>
  <c r="N66" i="5"/>
  <c r="O66" i="5"/>
  <c r="O67" i="5"/>
  <c r="F64" i="5"/>
  <c r="G64" i="5"/>
  <c r="H64" i="5"/>
  <c r="I64" i="5"/>
  <c r="J64" i="5"/>
  <c r="F65" i="5"/>
  <c r="G65" i="5"/>
  <c r="H65" i="5"/>
  <c r="I65" i="5"/>
  <c r="J65" i="5"/>
  <c r="D66" i="5"/>
  <c r="F66" i="5"/>
  <c r="G66" i="5"/>
  <c r="H66" i="5"/>
  <c r="I66" i="5"/>
  <c r="J66" i="5"/>
  <c r="J67" i="5"/>
  <c r="E67" i="5"/>
  <c r="D67" i="5"/>
  <c r="K60" i="5"/>
  <c r="L60" i="5"/>
  <c r="M60" i="5"/>
  <c r="N60" i="5"/>
  <c r="O60" i="5"/>
  <c r="K61" i="5"/>
  <c r="L61" i="5"/>
  <c r="M61" i="5"/>
  <c r="N61" i="5"/>
  <c r="O61" i="5"/>
  <c r="K62" i="5"/>
  <c r="L62" i="5"/>
  <c r="M62" i="5"/>
  <c r="N62" i="5"/>
  <c r="O62" i="5"/>
  <c r="O63" i="5"/>
  <c r="F60" i="5"/>
  <c r="G60" i="5"/>
  <c r="H60" i="5"/>
  <c r="I60" i="5"/>
  <c r="J60" i="5"/>
  <c r="F61" i="5"/>
  <c r="G61" i="5"/>
  <c r="H61" i="5"/>
  <c r="I61" i="5"/>
  <c r="J61" i="5"/>
  <c r="F62" i="5"/>
  <c r="G62" i="5"/>
  <c r="H62" i="5"/>
  <c r="I62" i="5"/>
  <c r="J62" i="5"/>
  <c r="J63" i="5"/>
  <c r="E63" i="5"/>
  <c r="D63" i="5"/>
  <c r="K56" i="5"/>
  <c r="L56" i="5"/>
  <c r="M56" i="5"/>
  <c r="N56" i="5"/>
  <c r="O56" i="5"/>
  <c r="K57" i="5"/>
  <c r="L57" i="5"/>
  <c r="M57" i="5"/>
  <c r="N57" i="5"/>
  <c r="O57" i="5"/>
  <c r="O58" i="5"/>
  <c r="F56" i="5"/>
  <c r="G56" i="5"/>
  <c r="H56" i="5"/>
  <c r="I56" i="5"/>
  <c r="J56" i="5"/>
  <c r="F57" i="5"/>
  <c r="G57" i="5"/>
  <c r="H57" i="5"/>
  <c r="I57" i="5"/>
  <c r="J57" i="5"/>
  <c r="J58" i="5"/>
  <c r="E58" i="5"/>
  <c r="D58" i="5"/>
  <c r="O52" i="5"/>
  <c r="K53" i="5"/>
  <c r="L53" i="5"/>
  <c r="M53" i="5"/>
  <c r="N53" i="5"/>
  <c r="O53" i="5"/>
  <c r="K54" i="5"/>
  <c r="L54" i="5"/>
  <c r="M54" i="5"/>
  <c r="N54" i="5"/>
  <c r="O54" i="5"/>
  <c r="O55" i="5"/>
  <c r="J52" i="5"/>
  <c r="F53" i="5"/>
  <c r="G53" i="5"/>
  <c r="H53" i="5"/>
  <c r="I53" i="5"/>
  <c r="J53" i="5"/>
  <c r="F54" i="5"/>
  <c r="G54" i="5"/>
  <c r="H54" i="5"/>
  <c r="I54" i="5"/>
  <c r="J54" i="5"/>
  <c r="J55" i="5"/>
  <c r="E55" i="5"/>
  <c r="D55" i="5"/>
  <c r="K48" i="5"/>
  <c r="L48" i="5"/>
  <c r="M48" i="5"/>
  <c r="N48" i="5"/>
  <c r="O48" i="5"/>
  <c r="K49" i="5"/>
  <c r="L49" i="5"/>
  <c r="M49" i="5"/>
  <c r="N49" i="5"/>
  <c r="O49" i="5"/>
  <c r="K50" i="5"/>
  <c r="L50" i="5"/>
  <c r="M50" i="5"/>
  <c r="N50" i="5"/>
  <c r="O50" i="5"/>
  <c r="O51" i="5"/>
  <c r="F48" i="5"/>
  <c r="G48" i="5"/>
  <c r="H48" i="5"/>
  <c r="I48" i="5"/>
  <c r="J48" i="5"/>
  <c r="F49" i="5"/>
  <c r="G49" i="5"/>
  <c r="H49" i="5"/>
  <c r="I49" i="5"/>
  <c r="J49" i="5"/>
  <c r="F50" i="5"/>
  <c r="G50" i="5"/>
  <c r="H50" i="5"/>
  <c r="I50" i="5"/>
  <c r="J50" i="5"/>
  <c r="J51" i="5"/>
  <c r="E51" i="5"/>
  <c r="D51" i="5"/>
  <c r="E45" i="5"/>
  <c r="K45" i="5"/>
  <c r="L45" i="5"/>
  <c r="M45" i="5"/>
  <c r="N45" i="5"/>
  <c r="O45" i="5"/>
  <c r="K46" i="5"/>
  <c r="L46" i="5"/>
  <c r="M46" i="5"/>
  <c r="N46" i="5"/>
  <c r="O46" i="5"/>
  <c r="O47" i="5"/>
  <c r="D45" i="5"/>
  <c r="F45" i="5"/>
  <c r="G45" i="5"/>
  <c r="H45" i="5"/>
  <c r="I45" i="5"/>
  <c r="J45" i="5"/>
  <c r="F46" i="5"/>
  <c r="G46" i="5"/>
  <c r="H46" i="5"/>
  <c r="I46" i="5"/>
  <c r="J46" i="5"/>
  <c r="J47" i="5"/>
  <c r="E47" i="5"/>
  <c r="D47" i="5"/>
  <c r="E39" i="5"/>
  <c r="K39" i="5"/>
  <c r="L39" i="5"/>
  <c r="M39" i="5"/>
  <c r="N39" i="5"/>
  <c r="O39" i="5"/>
  <c r="K40" i="5"/>
  <c r="L40" i="5"/>
  <c r="M40" i="5"/>
  <c r="N40" i="5"/>
  <c r="O40" i="5"/>
  <c r="K41" i="5"/>
  <c r="L41" i="5"/>
  <c r="M41" i="5"/>
  <c r="N41" i="5"/>
  <c r="O41" i="5"/>
  <c r="K42" i="5"/>
  <c r="L42" i="5"/>
  <c r="M42" i="5"/>
  <c r="N42" i="5"/>
  <c r="O42" i="5"/>
  <c r="O43" i="5"/>
  <c r="D39" i="5"/>
  <c r="F39" i="5"/>
  <c r="G39" i="5"/>
  <c r="H39" i="5"/>
  <c r="I39" i="5"/>
  <c r="J39" i="5"/>
  <c r="F40" i="5"/>
  <c r="G40" i="5"/>
  <c r="H40" i="5"/>
  <c r="I40" i="5"/>
  <c r="J40" i="5"/>
  <c r="F41" i="5"/>
  <c r="G41" i="5"/>
  <c r="H41" i="5"/>
  <c r="I41" i="5"/>
  <c r="J41" i="5"/>
  <c r="F42" i="5"/>
  <c r="G42" i="5"/>
  <c r="H42" i="5"/>
  <c r="I42" i="5"/>
  <c r="J42" i="5"/>
  <c r="J43" i="5"/>
  <c r="E43" i="5"/>
  <c r="D43" i="5"/>
  <c r="E36" i="5"/>
  <c r="K36" i="5"/>
  <c r="L36" i="5"/>
  <c r="M36" i="5"/>
  <c r="N36" i="5"/>
  <c r="O36" i="5"/>
  <c r="E37" i="5"/>
  <c r="K37" i="5"/>
  <c r="L37" i="5"/>
  <c r="M37" i="5"/>
  <c r="N37" i="5"/>
  <c r="O37" i="5"/>
  <c r="O38" i="5"/>
  <c r="D36" i="5"/>
  <c r="G36" i="5"/>
  <c r="H36" i="5"/>
  <c r="I36" i="5"/>
  <c r="J36" i="5"/>
  <c r="D37" i="5"/>
  <c r="G37" i="5"/>
  <c r="H37" i="5"/>
  <c r="I37" i="5"/>
  <c r="J37" i="5"/>
  <c r="J38" i="5"/>
  <c r="E38" i="5"/>
  <c r="D38" i="5"/>
  <c r="E33" i="5"/>
  <c r="K33" i="5"/>
  <c r="L33" i="5"/>
  <c r="M33" i="5"/>
  <c r="N33" i="5"/>
  <c r="O33" i="5"/>
  <c r="K34" i="5"/>
  <c r="L34" i="5"/>
  <c r="M34" i="5"/>
  <c r="N34" i="5"/>
  <c r="O34" i="5"/>
  <c r="O35" i="5"/>
  <c r="D33" i="5"/>
  <c r="F33" i="5"/>
  <c r="G33" i="5"/>
  <c r="H33" i="5"/>
  <c r="I33" i="5"/>
  <c r="J33" i="5"/>
  <c r="F34" i="5"/>
  <c r="G34" i="5"/>
  <c r="H34" i="5"/>
  <c r="I34" i="5"/>
  <c r="J34" i="5"/>
  <c r="J35" i="5"/>
  <c r="E35" i="5"/>
  <c r="D35" i="5"/>
  <c r="E30" i="5"/>
  <c r="K30" i="5"/>
  <c r="L30" i="5"/>
  <c r="M30" i="5"/>
  <c r="N30" i="5"/>
  <c r="O30" i="5"/>
  <c r="K26" i="5"/>
  <c r="L26" i="5"/>
  <c r="M26" i="5"/>
  <c r="N26" i="5"/>
  <c r="O26" i="5"/>
  <c r="K27" i="5"/>
  <c r="L27" i="5"/>
  <c r="M27" i="5"/>
  <c r="N27" i="5"/>
  <c r="O27" i="5"/>
  <c r="K28" i="5"/>
  <c r="L28" i="5"/>
  <c r="M28" i="5"/>
  <c r="N28" i="5"/>
  <c r="O28" i="5"/>
  <c r="K29" i="5"/>
  <c r="L29" i="5"/>
  <c r="M29" i="5"/>
  <c r="N29" i="5"/>
  <c r="O29" i="5"/>
  <c r="O31" i="5"/>
  <c r="D30" i="5"/>
  <c r="F30" i="5"/>
  <c r="G30" i="5"/>
  <c r="H30" i="5"/>
  <c r="I30" i="5"/>
  <c r="J30" i="5"/>
  <c r="F26" i="5"/>
  <c r="G26" i="5"/>
  <c r="H26" i="5"/>
  <c r="I26" i="5"/>
  <c r="J26" i="5"/>
  <c r="F27" i="5"/>
  <c r="G27" i="5"/>
  <c r="H27" i="5"/>
  <c r="I27" i="5"/>
  <c r="J27" i="5"/>
  <c r="F28" i="5"/>
  <c r="G28" i="5"/>
  <c r="H28" i="5"/>
  <c r="I28" i="5"/>
  <c r="J28" i="5"/>
  <c r="F29" i="5"/>
  <c r="G29" i="5"/>
  <c r="H29" i="5"/>
  <c r="I29" i="5"/>
  <c r="J29" i="5"/>
  <c r="J31" i="5"/>
  <c r="E31" i="5"/>
  <c r="D31" i="5"/>
  <c r="K13" i="5"/>
  <c r="L13" i="5"/>
  <c r="M13" i="5"/>
  <c r="N13" i="5"/>
  <c r="O13" i="5"/>
  <c r="K15" i="5"/>
  <c r="L15" i="5"/>
  <c r="M15" i="5"/>
  <c r="N15" i="5"/>
  <c r="O15" i="5"/>
  <c r="K16" i="5"/>
  <c r="L16" i="5"/>
  <c r="M16" i="5"/>
  <c r="N16" i="5"/>
  <c r="O16" i="5"/>
  <c r="K17" i="5"/>
  <c r="L17" i="5"/>
  <c r="M17" i="5"/>
  <c r="N17" i="5"/>
  <c r="O17" i="5"/>
  <c r="K18" i="5"/>
  <c r="L18" i="5"/>
  <c r="M18" i="5"/>
  <c r="N18" i="5"/>
  <c r="O18" i="5"/>
  <c r="K19" i="5"/>
  <c r="L19" i="5"/>
  <c r="M19" i="5"/>
  <c r="N19" i="5"/>
  <c r="O19" i="5"/>
  <c r="K20" i="5"/>
  <c r="L20" i="5"/>
  <c r="M20" i="5"/>
  <c r="N20" i="5"/>
  <c r="O20" i="5"/>
  <c r="O21" i="5"/>
  <c r="F13" i="5"/>
  <c r="G13" i="5"/>
  <c r="H13" i="5"/>
  <c r="I13" i="5"/>
  <c r="J13" i="5"/>
  <c r="F15" i="5"/>
  <c r="G15" i="5"/>
  <c r="H15" i="5"/>
  <c r="I15" i="5"/>
  <c r="J15" i="5"/>
  <c r="F16" i="5"/>
  <c r="G16" i="5"/>
  <c r="H16" i="5"/>
  <c r="I16" i="5"/>
  <c r="J16" i="5"/>
  <c r="F17" i="5"/>
  <c r="G17" i="5"/>
  <c r="H17" i="5"/>
  <c r="I17" i="5"/>
  <c r="J17" i="5"/>
  <c r="F18" i="5"/>
  <c r="G18" i="5"/>
  <c r="H18" i="5"/>
  <c r="I18" i="5"/>
  <c r="J18" i="5"/>
  <c r="F19" i="5"/>
  <c r="G19" i="5"/>
  <c r="H19" i="5"/>
  <c r="I19" i="5"/>
  <c r="J19" i="5"/>
  <c r="F20" i="5"/>
  <c r="G20" i="5"/>
  <c r="H20" i="5"/>
  <c r="I20" i="5"/>
  <c r="J20" i="5"/>
  <c r="J21" i="5"/>
  <c r="E21" i="5"/>
  <c r="D21" i="5"/>
  <c r="E59" i="5"/>
  <c r="K59" i="5"/>
  <c r="L59" i="5"/>
  <c r="M59" i="5"/>
  <c r="N59" i="5"/>
  <c r="O59" i="5"/>
  <c r="D59" i="5"/>
  <c r="F59" i="5"/>
  <c r="G59" i="5"/>
  <c r="H59" i="5"/>
  <c r="I59" i="5"/>
  <c r="J59" i="5"/>
  <c r="E44" i="5"/>
  <c r="K44" i="5"/>
  <c r="L44" i="5"/>
  <c r="M44" i="5"/>
  <c r="N44" i="5"/>
  <c r="O44" i="5"/>
  <c r="D44" i="5"/>
  <c r="F44" i="5"/>
  <c r="G44" i="5"/>
  <c r="H44" i="5"/>
  <c r="I44" i="5"/>
  <c r="J44" i="5"/>
  <c r="F37" i="5"/>
  <c r="F36" i="5"/>
  <c r="E22" i="5"/>
  <c r="D22" i="5"/>
  <c r="K22" i="5"/>
  <c r="L22" i="5"/>
  <c r="M22" i="5"/>
  <c r="N22" i="5"/>
  <c r="O22" i="5"/>
  <c r="F22" i="5"/>
  <c r="G22" i="5"/>
  <c r="H22" i="5"/>
  <c r="I22" i="5"/>
  <c r="J22" i="5"/>
  <c r="K9" i="5"/>
  <c r="L9" i="5"/>
  <c r="M9" i="5"/>
  <c r="N9" i="5"/>
  <c r="O9" i="5"/>
  <c r="F9" i="5"/>
  <c r="G9" i="5"/>
  <c r="H9" i="5"/>
  <c r="I9" i="5"/>
  <c r="J9" i="5"/>
  <c r="K10" i="5"/>
  <c r="L10" i="5"/>
  <c r="M10" i="5"/>
  <c r="N10" i="5"/>
  <c r="O10" i="5"/>
  <c r="K11" i="5"/>
  <c r="L11" i="5"/>
  <c r="M11" i="5"/>
  <c r="N11" i="5"/>
  <c r="O11" i="5"/>
  <c r="O12" i="5"/>
  <c r="F10" i="5"/>
  <c r="G10" i="5"/>
  <c r="H10" i="5"/>
  <c r="I10" i="5"/>
  <c r="J10" i="5"/>
  <c r="F11" i="5"/>
  <c r="G11" i="5"/>
  <c r="H11" i="5"/>
  <c r="I11" i="5"/>
  <c r="J11" i="5"/>
  <c r="J12" i="5"/>
  <c r="E12" i="5"/>
  <c r="D12" i="5"/>
  <c r="N68" i="5"/>
  <c r="M68" i="5"/>
  <c r="L68" i="5"/>
  <c r="K68" i="5"/>
  <c r="I68" i="5"/>
  <c r="H68" i="5"/>
  <c r="G68" i="5"/>
  <c r="F68" i="5"/>
  <c r="N52" i="5"/>
  <c r="M52" i="5"/>
  <c r="I52" i="5"/>
  <c r="H52" i="5"/>
  <c r="D31" i="8"/>
  <c r="D32" i="8"/>
  <c r="C29" i="8"/>
  <c r="K24" i="6"/>
  <c r="L24" i="6"/>
  <c r="M24" i="6"/>
  <c r="N24" i="6"/>
  <c r="K23" i="6"/>
  <c r="L23" i="6"/>
  <c r="M23" i="6"/>
  <c r="N23" i="6"/>
  <c r="F24" i="6"/>
  <c r="G24" i="6"/>
  <c r="H24" i="6"/>
  <c r="I24" i="6"/>
  <c r="F23" i="6"/>
  <c r="G23" i="6"/>
  <c r="H23" i="6"/>
  <c r="I23" i="6"/>
  <c r="K12" i="6"/>
  <c r="L12" i="6"/>
  <c r="M12" i="6"/>
  <c r="N12" i="6"/>
  <c r="K13" i="6"/>
  <c r="L13" i="6"/>
  <c r="M13" i="6"/>
  <c r="N13" i="6"/>
  <c r="K14" i="6"/>
  <c r="L14" i="6"/>
  <c r="M14" i="6"/>
  <c r="N14" i="6"/>
  <c r="K15" i="6"/>
  <c r="L15" i="6"/>
  <c r="M15" i="6"/>
  <c r="N15" i="6"/>
  <c r="F12" i="6"/>
  <c r="G12" i="6"/>
  <c r="H12" i="6"/>
  <c r="I12" i="6"/>
  <c r="F13" i="6"/>
  <c r="G13" i="6"/>
  <c r="H13" i="6"/>
  <c r="I13" i="6"/>
  <c r="F14" i="6"/>
  <c r="G14" i="6"/>
  <c r="H14" i="6"/>
  <c r="I14" i="6"/>
  <c r="F15" i="6"/>
  <c r="G15" i="6"/>
  <c r="H15" i="6"/>
  <c r="I15" i="6"/>
  <c r="K11" i="6"/>
  <c r="L11" i="6"/>
  <c r="M11" i="6"/>
  <c r="N11" i="6"/>
  <c r="F11" i="6"/>
  <c r="G11" i="6"/>
  <c r="H11" i="6"/>
  <c r="I11" i="6"/>
  <c r="K10" i="6"/>
  <c r="L10" i="6"/>
  <c r="M10" i="6"/>
  <c r="N10" i="6"/>
  <c r="F10" i="6"/>
  <c r="G10" i="6"/>
  <c r="H10" i="6"/>
  <c r="I10" i="6"/>
  <c r="K9" i="6"/>
  <c r="L9" i="6"/>
  <c r="M9" i="6"/>
  <c r="N9" i="6"/>
  <c r="F9" i="6"/>
  <c r="G9" i="6"/>
  <c r="H9" i="6"/>
  <c r="I9" i="6"/>
  <c r="P20" i="7"/>
  <c r="K20" i="7"/>
  <c r="P9" i="7"/>
  <c r="G10" i="7"/>
  <c r="H10" i="7"/>
  <c r="I10" i="7"/>
  <c r="J10" i="7"/>
  <c r="P10" i="7"/>
  <c r="L11" i="7"/>
  <c r="M11" i="7"/>
  <c r="N11" i="7"/>
  <c r="O11" i="7"/>
  <c r="P11" i="7"/>
  <c r="P12" i="7"/>
  <c r="P13" i="7"/>
  <c r="O14" i="7"/>
  <c r="P14" i="7"/>
  <c r="P15" i="7"/>
  <c r="P16" i="7"/>
  <c r="P17" i="7"/>
  <c r="O18" i="7"/>
  <c r="P18" i="7"/>
  <c r="P19" i="7"/>
  <c r="P22" i="7"/>
  <c r="P23" i="7"/>
  <c r="P28" i="7"/>
  <c r="P29" i="7"/>
  <c r="P30" i="7"/>
  <c r="P31" i="7"/>
  <c r="P32" i="7"/>
  <c r="L33" i="7"/>
  <c r="M33" i="7"/>
  <c r="N33" i="7"/>
  <c r="O33" i="7"/>
  <c r="P33" i="7"/>
  <c r="L34" i="7"/>
  <c r="M34" i="7"/>
  <c r="N34" i="7"/>
  <c r="O34" i="7"/>
  <c r="P34" i="7"/>
  <c r="L35" i="7"/>
  <c r="M35" i="7"/>
  <c r="N35" i="7"/>
  <c r="O35" i="7"/>
  <c r="P35" i="7"/>
  <c r="L36" i="7"/>
  <c r="M36" i="7"/>
  <c r="N36" i="7"/>
  <c r="O36" i="7"/>
  <c r="P36" i="7"/>
  <c r="L37" i="7"/>
  <c r="M37" i="7"/>
  <c r="N37" i="7"/>
  <c r="O37" i="7"/>
  <c r="P37" i="7"/>
  <c r="L38" i="7"/>
  <c r="M38" i="7"/>
  <c r="N38" i="7"/>
  <c r="O38" i="7"/>
  <c r="P38" i="7"/>
  <c r="P39" i="7"/>
  <c r="K9" i="7"/>
  <c r="K10" i="7"/>
  <c r="G11" i="7"/>
  <c r="H11" i="7"/>
  <c r="I11" i="7"/>
  <c r="J11" i="7"/>
  <c r="K11" i="7"/>
  <c r="K12" i="7"/>
  <c r="K13" i="7"/>
  <c r="J14" i="7"/>
  <c r="K14" i="7"/>
  <c r="K15" i="7"/>
  <c r="K16" i="7"/>
  <c r="K17" i="7"/>
  <c r="J18" i="7"/>
  <c r="K18" i="7"/>
  <c r="K19" i="7"/>
  <c r="K22" i="7"/>
  <c r="K23" i="7"/>
  <c r="K28" i="7"/>
  <c r="K29" i="7"/>
  <c r="K30" i="7"/>
  <c r="K31" i="7"/>
  <c r="K32" i="7"/>
  <c r="G33" i="7"/>
  <c r="H33" i="7"/>
  <c r="I33" i="7"/>
  <c r="J33" i="7"/>
  <c r="K33" i="7"/>
  <c r="K34" i="7"/>
  <c r="K35" i="7"/>
  <c r="K36" i="7"/>
  <c r="K37" i="7"/>
  <c r="K38" i="7"/>
  <c r="K39" i="7"/>
  <c r="F25" i="7"/>
  <c r="F39" i="7"/>
  <c r="M10" i="7"/>
  <c r="N10" i="7"/>
  <c r="O10" i="7"/>
  <c r="L10" i="7"/>
  <c r="E25" i="7"/>
  <c r="E39" i="7"/>
  <c r="G38" i="7"/>
  <c r="H38" i="7"/>
  <c r="I38" i="7"/>
  <c r="J38" i="7"/>
  <c r="G37" i="7"/>
  <c r="H37" i="7"/>
  <c r="I37" i="7"/>
  <c r="J37" i="7"/>
  <c r="G36" i="7"/>
  <c r="H36" i="7"/>
  <c r="I36" i="7"/>
  <c r="J36" i="7"/>
  <c r="G35" i="7"/>
  <c r="H35" i="7"/>
  <c r="I35" i="7"/>
  <c r="J35" i="7"/>
  <c r="G34" i="7"/>
  <c r="H34" i="7"/>
  <c r="I34" i="7"/>
  <c r="J34" i="7"/>
  <c r="L31" i="7"/>
  <c r="M31" i="7"/>
  <c r="N31" i="7"/>
  <c r="O31" i="7"/>
  <c r="G31" i="7"/>
  <c r="H31" i="7"/>
  <c r="I31" i="7"/>
  <c r="J31" i="7"/>
  <c r="L30" i="7"/>
  <c r="M30" i="7"/>
  <c r="N30" i="7"/>
  <c r="O30" i="7"/>
  <c r="G30" i="7"/>
  <c r="H30" i="7"/>
  <c r="I30" i="7"/>
  <c r="J30" i="7"/>
  <c r="M23" i="7"/>
  <c r="N23" i="7"/>
  <c r="O23" i="7"/>
  <c r="L23" i="7"/>
  <c r="H23" i="7"/>
  <c r="I23" i="7"/>
  <c r="J23" i="7"/>
  <c r="G23" i="7"/>
  <c r="M19" i="7"/>
  <c r="N19" i="7"/>
  <c r="O19" i="7"/>
  <c r="L19" i="7"/>
  <c r="H19" i="7"/>
  <c r="I19" i="7"/>
  <c r="J19" i="7"/>
  <c r="G19" i="7"/>
  <c r="M17" i="7"/>
  <c r="N17" i="7"/>
  <c r="O17" i="7"/>
  <c r="L17" i="7"/>
  <c r="H17" i="7"/>
  <c r="I17" i="7"/>
  <c r="J17" i="7"/>
  <c r="G17" i="7"/>
  <c r="M15" i="7"/>
  <c r="N15" i="7"/>
  <c r="O15" i="7"/>
  <c r="L15" i="7"/>
  <c r="H15" i="7"/>
  <c r="I15" i="7"/>
  <c r="J15" i="7"/>
  <c r="G15" i="7"/>
  <c r="H30" i="8"/>
  <c r="E28" i="8"/>
  <c r="M12" i="7"/>
  <c r="N12" i="7"/>
  <c r="O12" i="7"/>
  <c r="L12" i="7"/>
  <c r="H12" i="7"/>
  <c r="I12" i="7"/>
  <c r="J12" i="7"/>
  <c r="G12" i="7"/>
  <c r="N13" i="7"/>
  <c r="O13" i="7"/>
  <c r="M13" i="7"/>
  <c r="L13" i="7"/>
  <c r="J13" i="7"/>
  <c r="I13" i="7"/>
  <c r="H13" i="7"/>
  <c r="G13" i="7"/>
  <c r="O9" i="7"/>
  <c r="N9" i="7"/>
  <c r="M9" i="7"/>
  <c r="L9" i="7"/>
  <c r="J9" i="7"/>
  <c r="I9" i="7"/>
  <c r="H9" i="7"/>
  <c r="G9" i="7"/>
  <c r="O28" i="7"/>
  <c r="N28" i="7"/>
  <c r="M28" i="7"/>
  <c r="L28" i="7"/>
  <c r="J28" i="7"/>
  <c r="I28" i="7"/>
  <c r="H28" i="7"/>
  <c r="G28" i="7"/>
  <c r="O32" i="7"/>
  <c r="N32" i="7"/>
  <c r="M32" i="7"/>
  <c r="L32" i="7"/>
  <c r="J32" i="7"/>
  <c r="I32" i="7"/>
  <c r="H32" i="7"/>
  <c r="G32" i="7"/>
  <c r="J22" i="7"/>
  <c r="I22" i="7"/>
  <c r="H22" i="7"/>
  <c r="G22" i="7"/>
  <c r="M22" i="7"/>
  <c r="O22" i="7"/>
  <c r="N22" i="7"/>
  <c r="L22" i="7"/>
  <c r="O20" i="7"/>
  <c r="N20" i="7"/>
  <c r="M20" i="7"/>
  <c r="L20" i="7"/>
  <c r="J20" i="7"/>
  <c r="I20" i="7"/>
  <c r="H20" i="7"/>
  <c r="G20" i="7"/>
  <c r="O16" i="7"/>
  <c r="N16" i="7"/>
  <c r="M16" i="7"/>
  <c r="L16" i="7"/>
  <c r="J16" i="7"/>
  <c r="I16" i="7"/>
  <c r="G16" i="7"/>
  <c r="H16" i="7"/>
  <c r="N18" i="7"/>
  <c r="M18" i="7"/>
  <c r="L18" i="7"/>
  <c r="I18" i="7"/>
  <c r="H18" i="7"/>
  <c r="G18" i="7"/>
  <c r="I25" i="7"/>
  <c r="N14" i="7"/>
  <c r="I14" i="7"/>
  <c r="L14" i="7"/>
  <c r="M14" i="7"/>
  <c r="G14" i="7"/>
  <c r="H14" i="7"/>
</calcChain>
</file>

<file path=xl/comments1.xml><?xml version="1.0" encoding="utf-8"?>
<comments xmlns="http://schemas.openxmlformats.org/spreadsheetml/2006/main">
  <authors>
    <author>Corpocesar</author>
  </authors>
  <commentList>
    <comment ref="G10" authorId="0" shapeId="0">
      <text>
        <r>
          <rPr>
            <b/>
            <sz val="9"/>
            <color indexed="81"/>
            <rFont val="Tahoma"/>
            <charset val="1"/>
          </rPr>
          <t>Corpocesar:</t>
        </r>
        <r>
          <rPr>
            <sz val="9"/>
            <color indexed="81"/>
            <rFont val="Tahoma"/>
            <charset val="1"/>
          </rPr>
          <t xml:space="preserve">
</t>
        </r>
      </text>
    </comment>
  </commentList>
</comments>
</file>

<file path=xl/comments2.xml><?xml version="1.0" encoding="utf-8"?>
<comments xmlns="http://schemas.openxmlformats.org/spreadsheetml/2006/main">
  <authors>
    <author>Luis Fernando Castro</author>
  </authors>
  <commentList>
    <comment ref="G9" authorId="0" shapeId="0">
      <text>
        <r>
          <rPr>
            <b/>
            <sz val="9"/>
            <color indexed="81"/>
            <rFont val="Tahoma"/>
            <family val="2"/>
          </rPr>
          <t>Luis Fernando Castro:</t>
        </r>
        <r>
          <rPr>
            <sz val="9"/>
            <color indexed="81"/>
            <rFont val="Tahoma"/>
            <family val="2"/>
          </rPr>
          <t xml:space="preserve">
se asume que mantiene la misma poblacion carcelaria y la misma carga</t>
        </r>
      </text>
    </comment>
    <comment ref="K9" authorId="0" shapeId="0">
      <text>
        <r>
          <rPr>
            <b/>
            <sz val="9"/>
            <color indexed="81"/>
            <rFont val="Tahoma"/>
            <family val="2"/>
          </rPr>
          <t>Luis Fernando Castro:</t>
        </r>
        <r>
          <rPr>
            <sz val="9"/>
            <color indexed="81"/>
            <rFont val="Tahoma"/>
            <family val="2"/>
          </rPr>
          <t xml:space="preserve">
Se impone una reduccion del 10% para el ultimo año</t>
        </r>
      </text>
    </comment>
    <comment ref="L9" authorId="0" shapeId="0">
      <text>
        <r>
          <rPr>
            <b/>
            <sz val="9"/>
            <color indexed="81"/>
            <rFont val="Tahoma"/>
            <family val="2"/>
          </rPr>
          <t>Luis Fernando Castro:</t>
        </r>
        <r>
          <rPr>
            <sz val="9"/>
            <color indexed="81"/>
            <rFont val="Tahoma"/>
            <family val="2"/>
          </rPr>
          <t xml:space="preserve">
se asume que mantiene la misma poblacion carcelaria y la misma carga</t>
        </r>
      </text>
    </comment>
    <comment ref="P9" authorId="0" shapeId="0">
      <text>
        <r>
          <rPr>
            <b/>
            <sz val="9"/>
            <color indexed="81"/>
            <rFont val="Tahoma"/>
            <family val="2"/>
          </rPr>
          <t>Luis Fernando Castro:</t>
        </r>
        <r>
          <rPr>
            <sz val="9"/>
            <color indexed="81"/>
            <rFont val="Tahoma"/>
            <family val="2"/>
          </rPr>
          <t xml:space="preserve">
Se impone una reduccion del 10% para el ultimo año</t>
        </r>
      </text>
    </comment>
    <comment ref="G10" authorId="0" shapeId="0">
      <text>
        <r>
          <rPr>
            <b/>
            <sz val="9"/>
            <color indexed="81"/>
            <rFont val="Tahoma"/>
            <family val="2"/>
          </rPr>
          <t>Luis Fernando Castro:</t>
        </r>
        <r>
          <rPr>
            <sz val="9"/>
            <color indexed="81"/>
            <rFont val="Tahoma"/>
            <family val="2"/>
          </rPr>
          <t xml:space="preserve">
Incremento con base en la tasa de crecimieto poblacional DANE 1.22% para Astrea</t>
        </r>
      </text>
    </comment>
    <comment ref="L10" authorId="0" shapeId="0">
      <text>
        <r>
          <rPr>
            <b/>
            <sz val="9"/>
            <color indexed="81"/>
            <rFont val="Tahoma"/>
            <family val="2"/>
          </rPr>
          <t>Luis Fernando Castro:</t>
        </r>
        <r>
          <rPr>
            <sz val="9"/>
            <color indexed="81"/>
            <rFont val="Tahoma"/>
            <family val="2"/>
          </rPr>
          <t xml:space="preserve">
Incremento con base en la tasa de crecimieto poblacional DANE 1.22% para Astrea</t>
        </r>
      </text>
    </comment>
    <comment ref="P10" authorId="0" shapeId="0">
      <text>
        <r>
          <rPr>
            <b/>
            <sz val="9"/>
            <color indexed="81"/>
            <rFont val="Tahoma"/>
            <family val="2"/>
          </rPr>
          <t>Luis Fernando Castro:</t>
        </r>
        <r>
          <rPr>
            <sz val="9"/>
            <color indexed="81"/>
            <rFont val="Tahoma"/>
            <family val="2"/>
          </rPr>
          <t xml:space="preserve">
DEBE REMOVER EL 40% DE CA CARGA CON RELACION A LA LINEA BASE</t>
        </r>
      </text>
    </comment>
    <comment ref="G12" authorId="0" shapeId="0">
      <text>
        <r>
          <rPr>
            <b/>
            <sz val="9"/>
            <color indexed="81"/>
            <rFont val="Tahoma"/>
            <family val="2"/>
          </rPr>
          <t>Luis Fernando Castro:</t>
        </r>
        <r>
          <rPr>
            <sz val="9"/>
            <color indexed="81"/>
            <rFont val="Tahoma"/>
            <family val="2"/>
          </rPr>
          <t xml:space="preserve">
se asume constante la carga enrte 2014  y 2017
</t>
        </r>
      </text>
    </comment>
    <comment ref="K12" authorId="0" shapeId="0">
      <text>
        <r>
          <rPr>
            <b/>
            <sz val="9"/>
            <color indexed="81"/>
            <rFont val="Tahoma"/>
            <family val="2"/>
          </rPr>
          <t>Luis Fernando Castro:</t>
        </r>
        <r>
          <rPr>
            <sz val="9"/>
            <color indexed="81"/>
            <rFont val="Tahoma"/>
            <family val="2"/>
          </rPr>
          <t xml:space="preserve">
Reduccion del 10% con respecto a la acrga base de 2014.</t>
        </r>
      </text>
    </comment>
    <comment ref="L12" authorId="0" shapeId="0">
      <text>
        <r>
          <rPr>
            <b/>
            <sz val="9"/>
            <color indexed="81"/>
            <rFont val="Tahoma"/>
            <family val="2"/>
          </rPr>
          <t>Luis Fernando Castro:</t>
        </r>
        <r>
          <rPr>
            <sz val="9"/>
            <color indexed="81"/>
            <rFont val="Tahoma"/>
            <family val="2"/>
          </rPr>
          <t xml:space="preserve">
Se asume cosntante la acrga hasta el año 2017.</t>
        </r>
      </text>
    </comment>
    <comment ref="P12" authorId="0" shapeId="0">
      <text>
        <r>
          <rPr>
            <b/>
            <sz val="9"/>
            <color indexed="81"/>
            <rFont val="Tahoma"/>
            <family val="2"/>
          </rPr>
          <t>Luis Fernando Castro:</t>
        </r>
        <r>
          <rPr>
            <sz val="9"/>
            <color indexed="81"/>
            <rFont val="Tahoma"/>
            <family val="2"/>
          </rPr>
          <t xml:space="preserve">
Reduccion del 10% con respecto a la acrga base de 2014.</t>
        </r>
      </text>
    </comment>
    <comment ref="G13"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K13" authorId="0" shapeId="0">
      <text>
        <r>
          <rPr>
            <b/>
            <sz val="9"/>
            <color indexed="81"/>
            <rFont val="Tahoma"/>
            <family val="2"/>
          </rPr>
          <t>Luis Fernando Castro:</t>
        </r>
        <r>
          <rPr>
            <sz val="9"/>
            <color indexed="81"/>
            <rFont val="Tahoma"/>
            <family val="2"/>
          </rPr>
          <t xml:space="preserve">
REDUCCION DEL 10% CON RESPECTO A LA LINEA BASE</t>
        </r>
      </text>
    </comment>
    <comment ref="P13" authorId="0" shapeId="0">
      <text>
        <r>
          <rPr>
            <b/>
            <sz val="9"/>
            <color indexed="81"/>
            <rFont val="Tahoma"/>
            <family val="2"/>
          </rPr>
          <t>Luis Fernando Castro:</t>
        </r>
        <r>
          <rPr>
            <sz val="9"/>
            <color indexed="81"/>
            <rFont val="Tahoma"/>
            <family val="2"/>
          </rPr>
          <t xml:space="preserve">
REDUCCION DEL 10% CON RESPECTO A LA LINEA BASE</t>
        </r>
      </text>
    </comment>
    <comment ref="G15" authorId="0" shapeId="0">
      <text>
        <r>
          <rPr>
            <b/>
            <sz val="9"/>
            <color indexed="81"/>
            <rFont val="Tahoma"/>
            <family val="2"/>
          </rPr>
          <t>Luis Fernando Castro:</t>
        </r>
        <r>
          <rPr>
            <sz val="9"/>
            <color indexed="81"/>
            <rFont val="Tahoma"/>
            <family val="2"/>
          </rPr>
          <t xml:space="preserve">
Incremento con base en la tasa de crecimieto poblacional DANE 3.28% para Pueblo Bello.</t>
        </r>
      </text>
    </comment>
    <comment ref="K15" authorId="0" shapeId="0">
      <text>
        <r>
          <rPr>
            <b/>
            <sz val="9"/>
            <color indexed="81"/>
            <rFont val="Tahoma"/>
            <family val="2"/>
          </rPr>
          <t>Luis Fernando Castro:</t>
        </r>
        <r>
          <rPr>
            <sz val="9"/>
            <color indexed="81"/>
            <rFont val="Tahoma"/>
            <family val="2"/>
          </rPr>
          <t xml:space="preserve">
reduccion impuesta del 40% con respectoa la carga base de 2014.</t>
        </r>
      </text>
    </comment>
    <comment ref="P15" authorId="0" shapeId="0">
      <text>
        <r>
          <rPr>
            <b/>
            <sz val="9"/>
            <color indexed="81"/>
            <rFont val="Tahoma"/>
            <family val="2"/>
          </rPr>
          <t>Luis Fernando Castro:</t>
        </r>
        <r>
          <rPr>
            <sz val="9"/>
            <color indexed="81"/>
            <rFont val="Tahoma"/>
            <family val="2"/>
          </rPr>
          <t xml:space="preserve">
educcion impuesta del 40% con respectoa la carga base de 2014.</t>
        </r>
      </text>
    </comment>
    <comment ref="G17"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K17" authorId="0" shapeId="0">
      <text>
        <r>
          <rPr>
            <b/>
            <sz val="9"/>
            <color indexed="81"/>
            <rFont val="Tahoma"/>
            <family val="2"/>
          </rPr>
          <t>Luis Fernando Castro:</t>
        </r>
        <r>
          <rPr>
            <sz val="9"/>
            <color indexed="81"/>
            <rFont val="Tahoma"/>
            <family val="2"/>
          </rPr>
          <t xml:space="preserve">
Reduccion impuesta del 50% con respecto a a carga de la linea base.
</t>
        </r>
      </text>
    </comment>
    <comment ref="L17"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P17" authorId="0" shapeId="0">
      <text>
        <r>
          <rPr>
            <b/>
            <sz val="9"/>
            <color indexed="81"/>
            <rFont val="Tahoma"/>
            <family val="2"/>
          </rPr>
          <t>Luis Fernando Castro:</t>
        </r>
        <r>
          <rPr>
            <sz val="9"/>
            <color indexed="81"/>
            <rFont val="Tahoma"/>
            <family val="2"/>
          </rPr>
          <t xml:space="preserve">
Reduccion impuesta del 50% con respecto a a carga de la linea base.</t>
        </r>
      </text>
    </comment>
    <comment ref="G19"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K19" authorId="0" shapeId="0">
      <text>
        <r>
          <rPr>
            <b/>
            <sz val="9"/>
            <color indexed="81"/>
            <rFont val="Tahoma"/>
            <family val="2"/>
          </rPr>
          <t>Luis Fernando Castro:</t>
        </r>
        <r>
          <rPr>
            <sz val="9"/>
            <color indexed="81"/>
            <rFont val="Tahoma"/>
            <family val="2"/>
          </rPr>
          <t xml:space="preserve">
Reduccion impuesta del 50% con respecto a a carga de la linea base.</t>
        </r>
      </text>
    </comment>
    <comment ref="P19" authorId="0" shapeId="0">
      <text>
        <r>
          <rPr>
            <b/>
            <sz val="9"/>
            <color indexed="81"/>
            <rFont val="Tahoma"/>
            <family val="2"/>
          </rPr>
          <t>Luis Fernando Castro:</t>
        </r>
        <r>
          <rPr>
            <sz val="9"/>
            <color indexed="81"/>
            <rFont val="Tahoma"/>
            <family val="2"/>
          </rPr>
          <t xml:space="preserve">
Reduccion impuesta del 50% con respecto a a carga de la linea base.</t>
        </r>
      </text>
    </comment>
    <comment ref="E20" authorId="0" shapeId="0">
      <text>
        <r>
          <rPr>
            <b/>
            <sz val="9"/>
            <color indexed="81"/>
            <rFont val="Tahoma"/>
            <family val="2"/>
          </rPr>
          <t>Luis Fernando Castro:</t>
        </r>
        <r>
          <rPr>
            <sz val="9"/>
            <color indexed="81"/>
            <rFont val="Tahoma"/>
            <family val="2"/>
          </rPr>
          <t xml:space="preserve">
se acepta la linea base propuesta en el formulario de metas por estar mas baja para DBO5 Y muy cercana para SST</t>
        </r>
      </text>
    </comment>
    <comment ref="K20" authorId="0" shapeId="0">
      <text>
        <r>
          <rPr>
            <b/>
            <sz val="9"/>
            <color indexed="81"/>
            <rFont val="Tahoma"/>
            <family val="2"/>
          </rPr>
          <t>Luis Fernando Castro:</t>
        </r>
        <r>
          <rPr>
            <sz val="9"/>
            <color indexed="81"/>
            <rFont val="Tahoma"/>
            <family val="2"/>
          </rPr>
          <t xml:space="preserve">
aunque se propone una reduccion del 0% enaño 5,la Corporacion requiere e impone una reduccion del 85% para el ultimo año, DADO QUE LOS ULTIMOS MONITOREOS DE corpocesar NOREPORTAN EFICENCIA EN EL STAR</t>
        </r>
      </text>
    </comment>
    <comment ref="P20" authorId="0" shapeId="0">
      <text>
        <r>
          <rPr>
            <b/>
            <sz val="9"/>
            <color indexed="81"/>
            <rFont val="Tahoma"/>
            <family val="2"/>
          </rPr>
          <t>Luis Fernando Castro:</t>
        </r>
        <r>
          <rPr>
            <sz val="9"/>
            <color indexed="81"/>
            <rFont val="Tahoma"/>
            <family val="2"/>
          </rPr>
          <t xml:space="preserve">
aunque se propone una reduccion del 0% enaño 5,la Corporacion requiere e impone una reduccion del 85% para el ultimo año, DADO QUE LOS ULTIMOS MONITOREOS DE corpocesar NOREPORTAN EFICENCIA EN EL STAR</t>
        </r>
      </text>
    </comment>
    <comment ref="H22" authorId="0" shapeId="0">
      <text>
        <r>
          <rPr>
            <b/>
            <sz val="9"/>
            <color indexed="81"/>
            <rFont val="Tahoma"/>
            <family val="2"/>
          </rPr>
          <t>Luis Fernando Castro:</t>
        </r>
        <r>
          <rPr>
            <sz val="9"/>
            <color indexed="81"/>
            <rFont val="Tahoma"/>
            <family val="2"/>
          </rPr>
          <t xml:space="preserve">
CRECEN 17% Y NO REDUCEN NADA</t>
        </r>
      </text>
    </comment>
    <comment ref="J22" authorId="0" shapeId="0">
      <text>
        <r>
          <rPr>
            <b/>
            <sz val="9"/>
            <color indexed="81"/>
            <rFont val="Tahoma"/>
            <family val="2"/>
          </rPr>
          <t>Luis Fernando Castro:</t>
        </r>
        <r>
          <rPr>
            <sz val="9"/>
            <color indexed="81"/>
            <rFont val="Tahoma"/>
            <family val="2"/>
          </rPr>
          <t xml:space="preserve">
Se impone meta del 80% con respcto a la linea basE INCREMENTADA EN UN 37%</t>
        </r>
      </text>
    </comment>
    <comment ref="K22" authorId="0" shapeId="0">
      <text>
        <r>
          <rPr>
            <b/>
            <sz val="9"/>
            <color indexed="81"/>
            <rFont val="Tahoma"/>
            <family val="2"/>
          </rPr>
          <t>Luis Fernando Castro:</t>
        </r>
        <r>
          <rPr>
            <sz val="9"/>
            <color indexed="81"/>
            <rFont val="Tahoma"/>
            <family val="2"/>
          </rPr>
          <t xml:space="preserve">
reduccion del 84% cn respecto a la lenea base incrementada un 17%.</t>
        </r>
      </text>
    </comment>
    <comment ref="L22" authorId="0" shapeId="0">
      <text>
        <r>
          <rPr>
            <b/>
            <sz val="9"/>
            <color indexed="81"/>
            <rFont val="Tahoma"/>
            <family val="2"/>
          </rPr>
          <t>Luis Fernando Castro:</t>
        </r>
        <r>
          <rPr>
            <sz val="9"/>
            <color indexed="81"/>
            <rFont val="Tahoma"/>
            <family val="2"/>
          </rPr>
          <t xml:space="preserve">
reduccion del 19% como lo indica el formulario.
</t>
        </r>
      </text>
    </comment>
    <comment ref="M22" authorId="0" shapeId="0">
      <text>
        <r>
          <rPr>
            <b/>
            <sz val="9"/>
            <color indexed="81"/>
            <rFont val="Tahoma"/>
            <family val="2"/>
          </rPr>
          <t>Luis Fernando Castro:</t>
        </r>
        <r>
          <rPr>
            <sz val="9"/>
            <color indexed="81"/>
            <rFont val="Tahoma"/>
            <family val="2"/>
          </rPr>
          <t xml:space="preserve">
REDUCCION DEL 32% SOBRE LA ACRGA INCREMENTADA EN UN 17%</t>
        </r>
      </text>
    </comment>
    <comment ref="G23" authorId="0" shapeId="0">
      <text>
        <r>
          <rPr>
            <b/>
            <sz val="9"/>
            <color indexed="81"/>
            <rFont val="Tahoma"/>
            <family val="2"/>
          </rPr>
          <t>Luis Fernando Castro:</t>
        </r>
        <r>
          <rPr>
            <sz val="9"/>
            <color indexed="81"/>
            <rFont val="Tahoma"/>
            <family val="2"/>
          </rPr>
          <t xml:space="preserve">
Incremento con base en la tasa de crecimeitno poblacional DANE 0.06% para GAMARRA</t>
        </r>
      </text>
    </comment>
    <comment ref="K23" authorId="0" shapeId="0">
      <text>
        <r>
          <rPr>
            <b/>
            <sz val="9"/>
            <color indexed="81"/>
            <rFont val="Tahoma"/>
            <family val="2"/>
          </rPr>
          <t>Luis Fernando Castro:</t>
        </r>
        <r>
          <rPr>
            <sz val="9"/>
            <color indexed="81"/>
            <rFont val="Tahoma"/>
            <family val="2"/>
          </rPr>
          <t xml:space="preserve">
REDUCCION ESPERADA DEL 40% AL QUINTO AÑO</t>
        </r>
      </text>
    </comment>
    <comment ref="L23" authorId="0" shapeId="0">
      <text>
        <r>
          <rPr>
            <b/>
            <sz val="9"/>
            <color indexed="81"/>
            <rFont val="Tahoma"/>
            <family val="2"/>
          </rPr>
          <t>Luis Fernando Castro:</t>
        </r>
        <r>
          <rPr>
            <sz val="9"/>
            <color indexed="81"/>
            <rFont val="Tahoma"/>
            <family val="2"/>
          </rPr>
          <t xml:space="preserve">
Incremento con base en la tasa de crecimeitno poblacional DANE 0.06% para GAMARRA</t>
        </r>
      </text>
    </comment>
    <comment ref="P23" authorId="0" shapeId="0">
      <text>
        <r>
          <rPr>
            <b/>
            <sz val="9"/>
            <color indexed="81"/>
            <rFont val="Tahoma"/>
            <family val="2"/>
          </rPr>
          <t>Luis Fernando Castro:</t>
        </r>
        <r>
          <rPr>
            <sz val="9"/>
            <color indexed="81"/>
            <rFont val="Tahoma"/>
            <family val="2"/>
          </rPr>
          <t xml:space="preserve">
REDUCCION ESPERADA DEL 40% AL QUINTO AÑO</t>
        </r>
      </text>
    </comment>
    <comment ref="E25" authorId="0" shapeId="0">
      <text>
        <r>
          <rPr>
            <b/>
            <sz val="9"/>
            <color indexed="81"/>
            <rFont val="Tahoma"/>
            <family val="2"/>
          </rPr>
          <t>Luis Fernando Castro:</t>
        </r>
        <r>
          <rPr>
            <sz val="9"/>
            <color indexed="81"/>
            <rFont val="Tahoma"/>
            <family val="2"/>
          </rPr>
          <t xml:space="preserve">
Se  toma la carga propuesta a2015 en el formulario y se incrementa en un 100% para llevar a  valor de 2013. dado que solos e admite vertimeitnos al suelo en tiempo seco, se asume que su aplicación se produce en 6 de lso 12 meses del año.</t>
        </r>
      </text>
    </comment>
    <comment ref="F25" authorId="0" shapeId="0">
      <text>
        <r>
          <rPr>
            <b/>
            <sz val="9"/>
            <color indexed="81"/>
            <rFont val="Tahoma"/>
            <family val="2"/>
          </rPr>
          <t>Luis Fernando Castro:</t>
        </r>
        <r>
          <rPr>
            <sz val="9"/>
            <color indexed="81"/>
            <rFont val="Tahoma"/>
            <family val="2"/>
          </rPr>
          <t xml:space="preserve">
idem lo realizado para DBO5</t>
        </r>
      </text>
    </comment>
    <comment ref="G25" authorId="0" shapeId="0">
      <text>
        <r>
          <rPr>
            <b/>
            <sz val="9"/>
            <color indexed="81"/>
            <rFont val="Tahoma"/>
            <family val="2"/>
          </rPr>
          <t>Luis Fernando Castro:</t>
        </r>
        <r>
          <rPr>
            <sz val="9"/>
            <color indexed="81"/>
            <rFont val="Tahoma"/>
            <family val="2"/>
          </rPr>
          <t xml:space="preserve">
Se aprovecha todo el efluente como parted e elaboracion de compost</t>
        </r>
      </text>
    </comment>
    <comment ref="K25" authorId="0" shapeId="0">
      <text>
        <r>
          <rPr>
            <b/>
            <sz val="9"/>
            <color indexed="81"/>
            <rFont val="Tahoma"/>
            <family val="2"/>
          </rPr>
          <t>Luis Fernando Castro:</t>
        </r>
        <r>
          <rPr>
            <sz val="9"/>
            <color indexed="81"/>
            <rFont val="Tahoma"/>
            <family val="2"/>
          </rPr>
          <t xml:space="preserve">
cada año debeb demostrar eficencia del orcesod e reciclaje y compostacion con auda deeste efluente.</t>
        </r>
      </text>
    </comment>
    <comment ref="P25" authorId="0" shapeId="0">
      <text>
        <r>
          <rPr>
            <b/>
            <sz val="9"/>
            <color indexed="81"/>
            <rFont val="Tahoma"/>
            <family val="2"/>
          </rPr>
          <t>Luis Fernando Castro:</t>
        </r>
        <r>
          <rPr>
            <sz val="9"/>
            <color indexed="81"/>
            <rFont val="Tahoma"/>
            <family val="2"/>
          </rPr>
          <t xml:space="preserve">
Se aprovecha todo el efluente como parted e elaboracion de compost</t>
        </r>
      </text>
    </comment>
    <comment ref="G28" authorId="0" shapeId="0">
      <text>
        <r>
          <rPr>
            <b/>
            <sz val="9"/>
            <color indexed="81"/>
            <rFont val="Tahoma"/>
            <family val="2"/>
          </rPr>
          <t>Luis Fernando Castro:</t>
        </r>
        <r>
          <rPr>
            <sz val="9"/>
            <color indexed="81"/>
            <rFont val="Tahoma"/>
            <family val="2"/>
          </rPr>
          <t xml:space="preserve">
la empresa propone incrementar las acrgas por encima del 700% entre el1 y el cuarto año, sin hacer ninguna reduccion por tratamiento. No se acepta la propuesta sino que se les eprmite mantenerse en los valores actuales de linea base.</t>
        </r>
      </text>
    </comment>
    <comment ref="K28" authorId="0" shapeId="0">
      <text>
        <r>
          <rPr>
            <b/>
            <sz val="9"/>
            <color indexed="81"/>
            <rFont val="Tahoma"/>
            <family val="2"/>
          </rPr>
          <t>Luis Fernando Castro:</t>
        </r>
        <r>
          <rPr>
            <sz val="9"/>
            <color indexed="81"/>
            <rFont val="Tahoma"/>
            <family val="2"/>
          </rPr>
          <t xml:space="preserve">
Se impone reduccion del 60% con respectoa la carga base</t>
        </r>
      </text>
    </comment>
    <comment ref="P28" authorId="0" shapeId="0">
      <text>
        <r>
          <rPr>
            <b/>
            <sz val="9"/>
            <color indexed="81"/>
            <rFont val="Tahoma"/>
            <family val="2"/>
          </rPr>
          <t>Luis Fernando Castro:</t>
        </r>
        <r>
          <rPr>
            <sz val="9"/>
            <color indexed="81"/>
            <rFont val="Tahoma"/>
            <family val="2"/>
          </rPr>
          <t xml:space="preserve">
Se impone reduccion del 60% con respectoa la carga base</t>
        </r>
      </text>
    </comment>
    <comment ref="K29" authorId="0" shapeId="0">
      <text>
        <r>
          <rPr>
            <b/>
            <sz val="9"/>
            <color indexed="81"/>
            <rFont val="Tahoma"/>
            <family val="2"/>
          </rPr>
          <t>Luis Fernando Castro:</t>
        </r>
        <r>
          <rPr>
            <sz val="9"/>
            <color indexed="81"/>
            <rFont val="Tahoma"/>
            <family val="2"/>
          </rPr>
          <t xml:space="preserve">
Se impone la acrga final d etal forma quese mantenga la linea  base.</t>
        </r>
      </text>
    </comment>
    <comment ref="P29" authorId="0" shapeId="0">
      <text>
        <r>
          <rPr>
            <b/>
            <sz val="9"/>
            <color indexed="81"/>
            <rFont val="Tahoma"/>
            <family val="2"/>
          </rPr>
          <t>Luis Fernando Castro:</t>
        </r>
        <r>
          <rPr>
            <sz val="9"/>
            <color indexed="81"/>
            <rFont val="Tahoma"/>
            <family val="2"/>
          </rPr>
          <t xml:space="preserve">
Se impone la carga final de tal forma que se mantenga la linea  base.</t>
        </r>
      </text>
    </comment>
    <comment ref="G30" authorId="0" shapeId="0">
      <text>
        <r>
          <rPr>
            <b/>
            <sz val="9"/>
            <color indexed="81"/>
            <rFont val="Tahoma"/>
            <family val="2"/>
          </rPr>
          <t>Luis Fernando Castro:</t>
        </r>
        <r>
          <rPr>
            <sz val="9"/>
            <color indexed="81"/>
            <rFont val="Tahoma"/>
            <family val="2"/>
          </rPr>
          <t xml:space="preserve">
Incremento con base en la tasa de crecimeitno poblacional DANE 1.01% para San Alberto</t>
        </r>
      </text>
    </comment>
    <comment ref="K30" authorId="0" shapeId="0">
      <text>
        <r>
          <rPr>
            <b/>
            <sz val="9"/>
            <color indexed="81"/>
            <rFont val="Tahoma"/>
            <family val="2"/>
          </rPr>
          <t>Luis Fernando Castro:</t>
        </r>
        <r>
          <rPr>
            <sz val="9"/>
            <color indexed="81"/>
            <rFont val="Tahoma"/>
            <family val="2"/>
          </rPr>
          <t xml:space="preserve">
REDUCCION ESPERADA DEL 40% AL QUINTO AÑO</t>
        </r>
      </text>
    </comment>
    <comment ref="L30" authorId="0" shapeId="0">
      <text>
        <r>
          <rPr>
            <b/>
            <sz val="9"/>
            <color indexed="81"/>
            <rFont val="Tahoma"/>
            <family val="2"/>
          </rPr>
          <t>Luis Fernando Castro:</t>
        </r>
        <r>
          <rPr>
            <sz val="9"/>
            <color indexed="81"/>
            <rFont val="Tahoma"/>
            <family val="2"/>
          </rPr>
          <t xml:space="preserve">
Incremento con base en la tasa de crecimeitno poblacional DANE 1.01% para San Alberto</t>
        </r>
      </text>
    </comment>
    <comment ref="P30" authorId="0" shapeId="0">
      <text>
        <r>
          <rPr>
            <b/>
            <sz val="9"/>
            <color indexed="81"/>
            <rFont val="Tahoma"/>
            <family val="2"/>
          </rPr>
          <t>Luis Fernando Castro:</t>
        </r>
        <r>
          <rPr>
            <sz val="9"/>
            <color indexed="81"/>
            <rFont val="Tahoma"/>
            <family val="2"/>
          </rPr>
          <t xml:space="preserve">
REDUCCION ESPERADA DEL 40% AL QUINTO AÑO</t>
        </r>
      </text>
    </comment>
    <comment ref="G31"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K31" authorId="0" shapeId="0">
      <text>
        <r>
          <rPr>
            <b/>
            <sz val="9"/>
            <color indexed="81"/>
            <rFont val="Tahoma"/>
            <family val="2"/>
          </rPr>
          <t>Luis Fernando Castro:</t>
        </r>
        <r>
          <rPr>
            <sz val="9"/>
            <color indexed="81"/>
            <rFont val="Tahoma"/>
            <family val="2"/>
          </rPr>
          <t xml:space="preserve">
Reduce el 50% con respecto a linea base</t>
        </r>
      </text>
    </comment>
    <comment ref="P31" authorId="0" shapeId="0">
      <text>
        <r>
          <rPr>
            <b/>
            <sz val="9"/>
            <color indexed="81"/>
            <rFont val="Tahoma"/>
            <family val="2"/>
          </rPr>
          <t>Luis Fernando Castro:</t>
        </r>
        <r>
          <rPr>
            <sz val="9"/>
            <color indexed="81"/>
            <rFont val="Tahoma"/>
            <family val="2"/>
          </rPr>
          <t xml:space="preserve">
Reduce el 50% con respecto a linea base</t>
        </r>
      </text>
    </comment>
    <comment ref="J32" authorId="0" shapeId="0">
      <text>
        <r>
          <rPr>
            <b/>
            <sz val="9"/>
            <color indexed="81"/>
            <rFont val="Tahoma"/>
            <family val="2"/>
          </rPr>
          <t>Luis Fernando Castro:</t>
        </r>
        <r>
          <rPr>
            <sz val="9"/>
            <color indexed="81"/>
            <rFont val="Tahoma"/>
            <family val="2"/>
          </rPr>
          <t xml:space="preserve">
reduccion del 3.5% sobrelinea base estable</t>
        </r>
      </text>
    </comment>
    <comment ref="K32" authorId="0" shapeId="0">
      <text>
        <r>
          <rPr>
            <b/>
            <sz val="9"/>
            <color indexed="81"/>
            <rFont val="Tahoma"/>
            <family val="2"/>
          </rPr>
          <t>Luis Fernando Castro:</t>
        </r>
        <r>
          <rPr>
            <sz val="9"/>
            <color indexed="81"/>
            <rFont val="Tahoma"/>
            <family val="2"/>
          </rPr>
          <t xml:space="preserve">
reduccion del 3.6% sobre linea base estable</t>
        </r>
      </text>
    </comment>
    <comment ref="N32" authorId="0" shapeId="0">
      <text>
        <r>
          <rPr>
            <b/>
            <sz val="9"/>
            <color indexed="81"/>
            <rFont val="Tahoma"/>
            <family val="2"/>
          </rPr>
          <t>Luis Fernando Castro:</t>
        </r>
        <r>
          <rPr>
            <sz val="9"/>
            <color indexed="81"/>
            <rFont val="Tahoma"/>
            <family val="2"/>
          </rPr>
          <t xml:space="preserve">
Reduccion del 5% sobre la linea abse estable</t>
        </r>
      </text>
    </comment>
    <comment ref="G34"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K34" authorId="0" shapeId="0">
      <text>
        <r>
          <rPr>
            <b/>
            <sz val="9"/>
            <color indexed="81"/>
            <rFont val="Tahoma"/>
            <family val="2"/>
          </rPr>
          <t>Luis Fernando Castro:</t>
        </r>
        <r>
          <rPr>
            <sz val="9"/>
            <color indexed="81"/>
            <rFont val="Tahoma"/>
            <family val="2"/>
          </rPr>
          <t xml:space="preserve">
Reduccion del 10% sobre linea base de 2013</t>
        </r>
      </text>
    </comment>
    <comment ref="L34"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P34" authorId="0" shapeId="0">
      <text>
        <r>
          <rPr>
            <b/>
            <sz val="9"/>
            <color indexed="81"/>
            <rFont val="Tahoma"/>
            <family val="2"/>
          </rPr>
          <t>Luis Fernando Castro:</t>
        </r>
        <r>
          <rPr>
            <sz val="9"/>
            <color indexed="81"/>
            <rFont val="Tahoma"/>
            <family val="2"/>
          </rPr>
          <t xml:space="preserve">
Reduccion del 50% sobre linea base de 2013</t>
        </r>
      </text>
    </comment>
    <comment ref="G35"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L35"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P35" authorId="0" shapeId="0">
      <text>
        <r>
          <rPr>
            <b/>
            <sz val="9"/>
            <color indexed="81"/>
            <rFont val="Tahoma"/>
            <family val="2"/>
          </rPr>
          <t>Luis Fernando Castro:</t>
        </r>
        <r>
          <rPr>
            <sz val="9"/>
            <color indexed="81"/>
            <rFont val="Tahoma"/>
            <family val="2"/>
          </rPr>
          <t xml:space="preserve">
Reduccion del 50% sobre linea base de 2013</t>
        </r>
      </text>
    </comment>
    <comment ref="G36"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L36"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P36" authorId="0" shapeId="0">
      <text>
        <r>
          <rPr>
            <b/>
            <sz val="9"/>
            <color indexed="81"/>
            <rFont val="Tahoma"/>
            <family val="2"/>
          </rPr>
          <t>Luis Fernando Castro:</t>
        </r>
        <r>
          <rPr>
            <sz val="9"/>
            <color indexed="81"/>
            <rFont val="Tahoma"/>
            <family val="2"/>
          </rPr>
          <t xml:space="preserve">
Reduccion del 50% sobre linea base de 2013</t>
        </r>
      </text>
    </comment>
    <comment ref="G37"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L37"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P37" authorId="0" shapeId="0">
      <text>
        <r>
          <rPr>
            <b/>
            <sz val="9"/>
            <color indexed="81"/>
            <rFont val="Tahoma"/>
            <family val="2"/>
          </rPr>
          <t>Luis Fernando Castro:</t>
        </r>
        <r>
          <rPr>
            <sz val="9"/>
            <color indexed="81"/>
            <rFont val="Tahoma"/>
            <family val="2"/>
          </rPr>
          <t xml:space="preserve">
Reduccion del 50% sobre linea base de 2013</t>
        </r>
      </text>
    </comment>
    <comment ref="G38"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L38"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t>
        </r>
      </text>
    </comment>
    <comment ref="P38" authorId="0" shapeId="0">
      <text>
        <r>
          <rPr>
            <b/>
            <sz val="9"/>
            <color indexed="81"/>
            <rFont val="Tahoma"/>
            <family val="2"/>
          </rPr>
          <t>Luis Fernando Castro:</t>
        </r>
        <r>
          <rPr>
            <sz val="9"/>
            <color indexed="81"/>
            <rFont val="Tahoma"/>
            <family val="2"/>
          </rPr>
          <t xml:space="preserve">
Reduccion del 50% sobre linea base de 2013</t>
        </r>
      </text>
    </comment>
  </commentList>
</comments>
</file>

<file path=xl/comments3.xml><?xml version="1.0" encoding="utf-8"?>
<comments xmlns="http://schemas.openxmlformats.org/spreadsheetml/2006/main">
  <authors>
    <author>Luis Fernando Castro</author>
  </authors>
  <commentList>
    <comment ref="D9"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E9"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9"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9" authorId="0" shapeId="0">
      <text>
        <r>
          <rPr>
            <b/>
            <sz val="9"/>
            <color indexed="81"/>
            <rFont val="Tahoma"/>
            <family val="2"/>
          </rPr>
          <t>Luis Fernando Castro:</t>
        </r>
        <r>
          <rPr>
            <sz val="9"/>
            <color indexed="81"/>
            <rFont val="Tahoma"/>
            <family val="2"/>
          </rPr>
          <t xml:space="preserve">
Se impone una meta del 80% a 2018 para DBO5 y SST</t>
        </r>
      </text>
    </comment>
    <comment ref="K9"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O9" authorId="0" shapeId="0">
      <text>
        <r>
          <rPr>
            <b/>
            <sz val="9"/>
            <color indexed="81"/>
            <rFont val="Tahoma"/>
            <family val="2"/>
          </rPr>
          <t>Luis Fernando Castro:</t>
        </r>
        <r>
          <rPr>
            <sz val="9"/>
            <color indexed="81"/>
            <rFont val="Tahoma"/>
            <family val="2"/>
          </rPr>
          <t xml:space="preserve">
Se impone una meta del 80% a 2018 para DBO5 y SST</t>
        </r>
      </text>
    </comment>
    <comment ref="D10"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E10"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10"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10" authorId="0" shapeId="0">
      <text>
        <r>
          <rPr>
            <b/>
            <sz val="9"/>
            <color indexed="81"/>
            <rFont val="Tahoma"/>
            <family val="2"/>
          </rPr>
          <t>Luis Fernando Castro:</t>
        </r>
        <r>
          <rPr>
            <sz val="9"/>
            <color indexed="81"/>
            <rFont val="Tahoma"/>
            <family val="2"/>
          </rPr>
          <t xml:space="preserve">
Se impone una meta del 80% a 2018 para DBO5 y SST</t>
        </r>
      </text>
    </comment>
    <comment ref="O10" authorId="0" shapeId="0">
      <text>
        <r>
          <rPr>
            <b/>
            <sz val="9"/>
            <color indexed="81"/>
            <rFont val="Tahoma"/>
            <family val="2"/>
          </rPr>
          <t>Luis Fernando Castro:</t>
        </r>
        <r>
          <rPr>
            <sz val="9"/>
            <color indexed="81"/>
            <rFont val="Tahoma"/>
            <family val="2"/>
          </rPr>
          <t xml:space="preserve">
Se impone una meta del 80% a 2018 para DBO5 y SST</t>
        </r>
      </text>
    </comment>
    <comment ref="D11"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11"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11" authorId="0" shapeId="0">
      <text>
        <r>
          <rPr>
            <b/>
            <sz val="9"/>
            <color indexed="81"/>
            <rFont val="Tahoma"/>
            <family val="2"/>
          </rPr>
          <t>Luis Fernando Castro:</t>
        </r>
        <r>
          <rPr>
            <sz val="9"/>
            <color indexed="81"/>
            <rFont val="Tahoma"/>
            <family val="2"/>
          </rPr>
          <t xml:space="preserve">
Se impone una meta del 80% a 2018 para DBO5 y SST</t>
        </r>
      </text>
    </comment>
    <comment ref="O11" authorId="0" shapeId="0">
      <text>
        <r>
          <rPr>
            <b/>
            <sz val="9"/>
            <color indexed="81"/>
            <rFont val="Tahoma"/>
            <family val="2"/>
          </rPr>
          <t>Luis Fernando Castro:</t>
        </r>
        <r>
          <rPr>
            <sz val="9"/>
            <color indexed="81"/>
            <rFont val="Tahoma"/>
            <family val="2"/>
          </rPr>
          <t xml:space="preserve">
Se impone una meta del 80% a 2018 para DBO5 y SST</t>
        </r>
      </text>
    </comment>
    <comment ref="D12"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12"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12" authorId="0" shapeId="0">
      <text>
        <r>
          <rPr>
            <b/>
            <sz val="9"/>
            <color indexed="81"/>
            <rFont val="Tahoma"/>
            <family val="2"/>
          </rPr>
          <t>Luis Fernando Castro:</t>
        </r>
        <r>
          <rPr>
            <sz val="9"/>
            <color indexed="81"/>
            <rFont val="Tahoma"/>
            <family val="2"/>
          </rPr>
          <t xml:space="preserve">
Se impone una meta del 80% a 2018 para DBO5 y SST</t>
        </r>
      </text>
    </comment>
    <comment ref="O12" authorId="0" shapeId="0">
      <text>
        <r>
          <rPr>
            <b/>
            <sz val="9"/>
            <color indexed="81"/>
            <rFont val="Tahoma"/>
            <family val="2"/>
          </rPr>
          <t>Luis Fernando Castro:</t>
        </r>
        <r>
          <rPr>
            <sz val="9"/>
            <color indexed="81"/>
            <rFont val="Tahoma"/>
            <family val="2"/>
          </rPr>
          <t xml:space="preserve">
Se impone una meta del 80% a 2018 para DBO5 y SST</t>
        </r>
      </text>
    </comment>
    <comment ref="D13"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13"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13" authorId="0" shapeId="0">
      <text>
        <r>
          <rPr>
            <b/>
            <sz val="9"/>
            <color indexed="81"/>
            <rFont val="Tahoma"/>
            <family val="2"/>
          </rPr>
          <t>Luis Fernando Castro:</t>
        </r>
        <r>
          <rPr>
            <sz val="9"/>
            <color indexed="81"/>
            <rFont val="Tahoma"/>
            <family val="2"/>
          </rPr>
          <t xml:space="preserve">
Se impone una meta del 80% a 2018 para DBO5 y SST</t>
        </r>
      </text>
    </comment>
    <comment ref="O13" authorId="0" shapeId="0">
      <text>
        <r>
          <rPr>
            <b/>
            <sz val="9"/>
            <color indexed="81"/>
            <rFont val="Tahoma"/>
            <family val="2"/>
          </rPr>
          <t>Luis Fernando Castro:</t>
        </r>
        <r>
          <rPr>
            <sz val="9"/>
            <color indexed="81"/>
            <rFont val="Tahoma"/>
            <family val="2"/>
          </rPr>
          <t xml:space="preserve">
Se impone una meta del 80% a 2018 para DBO5 y SST</t>
        </r>
      </text>
    </comment>
    <comment ref="D14"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14"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14" authorId="0" shapeId="0">
      <text>
        <r>
          <rPr>
            <b/>
            <sz val="9"/>
            <color indexed="81"/>
            <rFont val="Tahoma"/>
            <family val="2"/>
          </rPr>
          <t>Luis Fernando Castro:</t>
        </r>
        <r>
          <rPr>
            <sz val="9"/>
            <color indexed="81"/>
            <rFont val="Tahoma"/>
            <family val="2"/>
          </rPr>
          <t xml:space="preserve">
Se impone una meta del 80% a 2018 para DBO5 y SST</t>
        </r>
      </text>
    </comment>
    <comment ref="O14" authorId="0" shapeId="0">
      <text>
        <r>
          <rPr>
            <b/>
            <sz val="9"/>
            <color indexed="81"/>
            <rFont val="Tahoma"/>
            <family val="2"/>
          </rPr>
          <t>Luis Fernando Castro:</t>
        </r>
        <r>
          <rPr>
            <sz val="9"/>
            <color indexed="81"/>
            <rFont val="Tahoma"/>
            <family val="2"/>
          </rPr>
          <t xml:space="preserve">
Se impone una meta del 80% a 2018 para DBO5 y SST</t>
        </r>
      </text>
    </comment>
    <comment ref="D15"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15"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15" authorId="0" shapeId="0">
      <text>
        <r>
          <rPr>
            <b/>
            <sz val="9"/>
            <color indexed="81"/>
            <rFont val="Tahoma"/>
            <family val="2"/>
          </rPr>
          <t>Luis Fernando Castro:</t>
        </r>
        <r>
          <rPr>
            <sz val="9"/>
            <color indexed="81"/>
            <rFont val="Tahoma"/>
            <family val="2"/>
          </rPr>
          <t xml:space="preserve">
Se impone una meta del 80% a 2018 para DBO5 y SST</t>
        </r>
      </text>
    </comment>
    <comment ref="D16" authorId="0" shapeId="0">
      <text>
        <r>
          <rPr>
            <b/>
            <sz val="9"/>
            <color indexed="81"/>
            <rFont val="Tahoma"/>
            <family val="2"/>
          </rPr>
          <t>Luis Fernando Castro:</t>
        </r>
        <r>
          <rPr>
            <sz val="9"/>
            <color indexed="81"/>
            <rFont val="Tahoma"/>
            <family val="2"/>
          </rPr>
          <t xml:space="preserve">
LINEA BASE de DBO5 Y SST sustentada en formato de metas de acrgas 2014 -2018</t>
        </r>
      </text>
    </comment>
    <comment ref="F16" authorId="0" shapeId="0">
      <text>
        <r>
          <rPr>
            <b/>
            <sz val="9"/>
            <color indexed="81"/>
            <rFont val="Tahoma"/>
            <family val="2"/>
          </rPr>
          <t>Luis Fernando Castro:</t>
        </r>
        <r>
          <rPr>
            <sz val="9"/>
            <color indexed="81"/>
            <rFont val="Tahoma"/>
            <family val="2"/>
          </rPr>
          <t xml:space="preserve">
Incrementos de cargas de DBO5 y SST 2014  a 2017 sustentados en formato de metas</t>
        </r>
      </text>
    </comment>
    <comment ref="J16"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O16"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D17" authorId="0" shapeId="0">
      <text>
        <r>
          <rPr>
            <b/>
            <sz val="9"/>
            <color indexed="81"/>
            <rFont val="Tahoma"/>
            <family val="2"/>
          </rPr>
          <t>Luis Fernando Castro:</t>
        </r>
        <r>
          <rPr>
            <sz val="9"/>
            <color indexed="81"/>
            <rFont val="Tahoma"/>
            <family val="2"/>
          </rPr>
          <t xml:space="preserve">
LINEA BASE de DBO5 Y SST sustentada en formato de metas de acrgas 2014 -2018</t>
        </r>
      </text>
    </comment>
    <comment ref="F17" authorId="0" shapeId="0">
      <text>
        <r>
          <rPr>
            <b/>
            <sz val="9"/>
            <color indexed="81"/>
            <rFont val="Tahoma"/>
            <family val="2"/>
          </rPr>
          <t>Luis Fernando Castro:</t>
        </r>
        <r>
          <rPr>
            <sz val="9"/>
            <color indexed="81"/>
            <rFont val="Tahoma"/>
            <family val="2"/>
          </rPr>
          <t xml:space="preserve">
Incrementos de cargas de DBO5 y SST 2014  a 2017 sustentados en formato de metas</t>
        </r>
      </text>
    </comment>
    <comment ref="J17"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O17"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D18" authorId="0" shapeId="0">
      <text>
        <r>
          <rPr>
            <b/>
            <sz val="9"/>
            <color indexed="81"/>
            <rFont val="Tahoma"/>
            <family val="2"/>
          </rPr>
          <t>Luis Fernando Castro:</t>
        </r>
        <r>
          <rPr>
            <sz val="9"/>
            <color indexed="81"/>
            <rFont val="Tahoma"/>
            <family val="2"/>
          </rPr>
          <t xml:space="preserve">
LINEA BASE de DBO5 Y SST sustentada en formato de metas de acrgas 2014 -2018</t>
        </r>
      </text>
    </comment>
    <comment ref="F18" authorId="0" shapeId="0">
      <text>
        <r>
          <rPr>
            <b/>
            <sz val="9"/>
            <color indexed="81"/>
            <rFont val="Tahoma"/>
            <family val="2"/>
          </rPr>
          <t>Luis Fernando Castro:</t>
        </r>
        <r>
          <rPr>
            <sz val="9"/>
            <color indexed="81"/>
            <rFont val="Tahoma"/>
            <family val="2"/>
          </rPr>
          <t xml:space="preserve">
Incrementos de cargas de DBO5 y SST 2014  a 2017 sustentados en formato de metas</t>
        </r>
      </text>
    </comment>
    <comment ref="J18"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O18"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D19" authorId="0" shapeId="0">
      <text>
        <r>
          <rPr>
            <b/>
            <sz val="9"/>
            <color indexed="81"/>
            <rFont val="Tahoma"/>
            <family val="2"/>
          </rPr>
          <t>Luis Fernando Castro:</t>
        </r>
        <r>
          <rPr>
            <sz val="9"/>
            <color indexed="81"/>
            <rFont val="Tahoma"/>
            <family val="2"/>
          </rPr>
          <t xml:space="preserve">
LINEA BASE de DBO5 Y SST sustentada en formato de metas de acrgas 2014 -2018</t>
        </r>
      </text>
    </comment>
    <comment ref="F19" authorId="0" shapeId="0">
      <text>
        <r>
          <rPr>
            <b/>
            <sz val="9"/>
            <color indexed="81"/>
            <rFont val="Tahoma"/>
            <family val="2"/>
          </rPr>
          <t>Luis Fernando Castro:</t>
        </r>
        <r>
          <rPr>
            <sz val="9"/>
            <color indexed="81"/>
            <rFont val="Tahoma"/>
            <family val="2"/>
          </rPr>
          <t xml:space="preserve">
Incrementos de cargas de DBO5 y SST 2014  a 2017 sustentados en formato de metas</t>
        </r>
      </text>
    </comment>
    <comment ref="J19"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O19"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D20" authorId="0" shapeId="0">
      <text>
        <r>
          <rPr>
            <b/>
            <sz val="9"/>
            <color indexed="81"/>
            <rFont val="Tahoma"/>
            <family val="2"/>
          </rPr>
          <t>Luis Fernando Castro:</t>
        </r>
        <r>
          <rPr>
            <sz val="9"/>
            <color indexed="81"/>
            <rFont val="Tahoma"/>
            <family val="2"/>
          </rPr>
          <t xml:space="preserve">
LINEA BASE de DBO5 Y SST sustentada en formato de metas de acrgas 2014 -2018</t>
        </r>
      </text>
    </comment>
    <comment ref="F20" authorId="0" shapeId="0">
      <text>
        <r>
          <rPr>
            <b/>
            <sz val="9"/>
            <color indexed="81"/>
            <rFont val="Tahoma"/>
            <family val="2"/>
          </rPr>
          <t>Luis Fernando Castro:</t>
        </r>
        <r>
          <rPr>
            <sz val="9"/>
            <color indexed="81"/>
            <rFont val="Tahoma"/>
            <family val="2"/>
          </rPr>
          <t xml:space="preserve">
Incrementos de cargas de DBO5 y SST 2014  a 2017 sustentados en formato de metas</t>
        </r>
      </text>
    </comment>
    <comment ref="J20"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O20"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D21" authorId="0" shapeId="0">
      <text>
        <r>
          <rPr>
            <b/>
            <sz val="9"/>
            <color indexed="81"/>
            <rFont val="Tahoma"/>
            <family val="2"/>
          </rPr>
          <t>Luis Fernando Castro:</t>
        </r>
        <r>
          <rPr>
            <sz val="9"/>
            <color indexed="81"/>
            <rFont val="Tahoma"/>
            <family val="2"/>
          </rPr>
          <t xml:space="preserve">
LINEA BASE de DBO5 Y SST sustentada en formato de metas de acrgas 2014 -2018</t>
        </r>
      </text>
    </comment>
    <comment ref="F21" authorId="0" shapeId="0">
      <text>
        <r>
          <rPr>
            <b/>
            <sz val="9"/>
            <color indexed="81"/>
            <rFont val="Tahoma"/>
            <family val="2"/>
          </rPr>
          <t>Luis Fernando Castro:</t>
        </r>
        <r>
          <rPr>
            <sz val="9"/>
            <color indexed="81"/>
            <rFont val="Tahoma"/>
            <family val="2"/>
          </rPr>
          <t xml:space="preserve">
Incrementos de cargas de DBO5 y SST 2014  a 2017 sustentados en formato de metas</t>
        </r>
      </text>
    </comment>
    <comment ref="J21"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O21"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D22" authorId="0" shapeId="0">
      <text>
        <r>
          <rPr>
            <b/>
            <sz val="9"/>
            <color indexed="81"/>
            <rFont val="Tahoma"/>
            <family val="2"/>
          </rPr>
          <t>Luis Fernando Castro:</t>
        </r>
        <r>
          <rPr>
            <sz val="9"/>
            <color indexed="81"/>
            <rFont val="Tahoma"/>
            <family val="2"/>
          </rPr>
          <t xml:space="preserve">
LINEA BASE de DBO5 Y SST sustentada en formato de metas de acrgas 2014 -2018</t>
        </r>
      </text>
    </comment>
    <comment ref="F22" authorId="0" shapeId="0">
      <text>
        <r>
          <rPr>
            <b/>
            <sz val="9"/>
            <color indexed="81"/>
            <rFont val="Tahoma"/>
            <family val="2"/>
          </rPr>
          <t>Luis Fernando Castro:</t>
        </r>
        <r>
          <rPr>
            <sz val="9"/>
            <color indexed="81"/>
            <rFont val="Tahoma"/>
            <family val="2"/>
          </rPr>
          <t xml:space="preserve">
Incrementos de cargas de DBO5 y SST 2014  a 2017 sustentados en formato de metas</t>
        </r>
      </text>
    </comment>
    <comment ref="J22"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O22" authorId="0" shapeId="0">
      <text>
        <r>
          <rPr>
            <b/>
            <sz val="9"/>
            <color indexed="81"/>
            <rFont val="Tahoma"/>
            <family val="2"/>
          </rPr>
          <t>Luis Fernando Castro:</t>
        </r>
        <r>
          <rPr>
            <sz val="9"/>
            <color indexed="81"/>
            <rFont val="Tahoma"/>
            <family val="2"/>
          </rPr>
          <t xml:space="preserve">
Se requiere una reduccion del 80% para DBO5 Y SST con respecto a la carga base reportada por el usuario en el formato de metas.</t>
        </r>
      </text>
    </comment>
    <comment ref="D23"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23"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23" authorId="0" shapeId="0">
      <text>
        <r>
          <rPr>
            <b/>
            <sz val="9"/>
            <color indexed="81"/>
            <rFont val="Tahoma"/>
            <family val="2"/>
          </rPr>
          <t>Luis Fernando Castro:</t>
        </r>
        <r>
          <rPr>
            <sz val="9"/>
            <color indexed="81"/>
            <rFont val="Tahoma"/>
            <family val="2"/>
          </rPr>
          <t xml:space="preserve">
Se impone una meta del 80% a 2018 para DBO5 y SST</t>
        </r>
      </text>
    </comment>
    <comment ref="O23" authorId="0" shapeId="0">
      <text>
        <r>
          <rPr>
            <b/>
            <sz val="9"/>
            <color indexed="81"/>
            <rFont val="Tahoma"/>
            <family val="2"/>
          </rPr>
          <t>Luis Fernando Castro:</t>
        </r>
        <r>
          <rPr>
            <sz val="9"/>
            <color indexed="81"/>
            <rFont val="Tahoma"/>
            <family val="2"/>
          </rPr>
          <t xml:space="preserve">
Se impone una meta del 80% a 2018 para DBO5 y SST</t>
        </r>
      </text>
    </comment>
    <comment ref="D24" authorId="0" shapeId="0">
      <text>
        <r>
          <rPr>
            <b/>
            <sz val="9"/>
            <color indexed="81"/>
            <rFont val="Tahoma"/>
            <family val="2"/>
          </rPr>
          <t>Luis Fernando Castro:</t>
        </r>
        <r>
          <rPr>
            <sz val="9"/>
            <color indexed="81"/>
            <rFont val="Tahoma"/>
            <family val="2"/>
          </rPr>
          <t xml:space="preserve">
se adopta la LINEA ABSE de DBO5 Y SST publicada en la WEB DECORPOCESAR PARA EL AÑO 2013.</t>
        </r>
      </text>
    </comment>
    <comment ref="F24" authorId="0" shapeId="0">
      <text>
        <r>
          <rPr>
            <b/>
            <sz val="9"/>
            <color indexed="81"/>
            <rFont val="Tahoma"/>
            <family val="2"/>
          </rPr>
          <t>Luis Fernando Castro:</t>
        </r>
        <r>
          <rPr>
            <sz val="9"/>
            <color indexed="81"/>
            <rFont val="Tahoma"/>
            <family val="2"/>
          </rPr>
          <t xml:space="preserve">
Incremento anual del 3.5% con respecto a  la linea base. Factor aprxiamdo a las espectativas de creimiento industrial de Plaenacion Nacional. El Banco de la República sitúa la cifra entre el 3 y el 5 por ciento. </t>
        </r>
      </text>
    </comment>
    <comment ref="J24" authorId="0" shapeId="0">
      <text>
        <r>
          <rPr>
            <b/>
            <sz val="9"/>
            <color indexed="81"/>
            <rFont val="Tahoma"/>
            <family val="2"/>
          </rPr>
          <t>Luis Fernando Castro:</t>
        </r>
        <r>
          <rPr>
            <sz val="9"/>
            <color indexed="81"/>
            <rFont val="Tahoma"/>
            <family val="2"/>
          </rPr>
          <t xml:space="preserve">
Se impone una meta del 80% a 2018 para DBO5 y SST</t>
        </r>
      </text>
    </comment>
    <comment ref="O24" authorId="0" shapeId="0">
      <text>
        <r>
          <rPr>
            <b/>
            <sz val="9"/>
            <color indexed="81"/>
            <rFont val="Tahoma"/>
            <family val="2"/>
          </rPr>
          <t>Luis Fernando Castro:</t>
        </r>
        <r>
          <rPr>
            <sz val="9"/>
            <color indexed="81"/>
            <rFont val="Tahoma"/>
            <family val="2"/>
          </rPr>
          <t xml:space="preserve">
Se impone una meta del 80% a 2018 para DBO5 y SST</t>
        </r>
      </text>
    </comment>
  </commentList>
</comments>
</file>

<file path=xl/comments4.xml><?xml version="1.0" encoding="utf-8"?>
<comments xmlns="http://schemas.openxmlformats.org/spreadsheetml/2006/main">
  <authors>
    <author>Luis Fernando Castro</author>
  </authors>
  <commentList>
    <comment ref="C9" authorId="0" shapeId="0">
      <text>
        <r>
          <rPr>
            <b/>
            <sz val="9"/>
            <color indexed="81"/>
            <rFont val="Tahoma"/>
            <family val="2"/>
          </rPr>
          <t>Luis Fernando Castro:</t>
        </r>
        <r>
          <rPr>
            <sz val="9"/>
            <color indexed="81"/>
            <rFont val="Tahoma"/>
            <family val="2"/>
          </rPr>
          <t xml:space="preserve">
No presenta propuesta. Se impone meta sobre calculos presuntivos</t>
        </r>
      </text>
    </comment>
    <comment ref="D9"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E9"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F9" authorId="0" shapeId="0">
      <text>
        <r>
          <rPr>
            <b/>
            <sz val="9"/>
            <color indexed="81"/>
            <rFont val="Tahoma"/>
            <family val="2"/>
          </rPr>
          <t>Luis Fernando Castro:</t>
        </r>
        <r>
          <rPr>
            <sz val="9"/>
            <color indexed="81"/>
            <rFont val="Tahoma"/>
            <family val="2"/>
          </rPr>
          <t xml:space="preserve">
Incremento vegetativo de la poblacion 1.027% anual</t>
        </r>
      </text>
    </comment>
    <comment ref="J9" authorId="0" shapeId="0">
      <text>
        <r>
          <rPr>
            <b/>
            <sz val="9"/>
            <color indexed="81"/>
            <rFont val="Tahoma"/>
            <family val="2"/>
          </rPr>
          <t>Luis Fernando Castro:</t>
        </r>
        <r>
          <rPr>
            <sz val="9"/>
            <color indexed="81"/>
            <rFont val="Tahoma"/>
            <family val="2"/>
          </rPr>
          <t xml:space="preserve">
El sistema de tatamiento de aguas residuales debe incrementar su eficencia al menos en un 10% de acuerdo con el informe reciente de monitoreo ( CROPOCESAR, 2014) y por tanto debe mejorar por lo menos en un 10% en el proximo quinquenio.</t>
        </r>
      </text>
    </comment>
    <comment ref="K9" authorId="0" shapeId="0">
      <text>
        <r>
          <rPr>
            <b/>
            <sz val="9"/>
            <color indexed="81"/>
            <rFont val="Tahoma"/>
            <family val="2"/>
          </rPr>
          <t>Luis Fernando Castro:</t>
        </r>
        <r>
          <rPr>
            <sz val="9"/>
            <color indexed="81"/>
            <rFont val="Tahoma"/>
            <family val="2"/>
          </rPr>
          <t xml:space="preserve">
Incremento vegetativo de la poblacion 1.027% anual</t>
        </r>
      </text>
    </comment>
    <comment ref="O9" authorId="0" shapeId="0">
      <text>
        <r>
          <rPr>
            <b/>
            <sz val="9"/>
            <color indexed="81"/>
            <rFont val="Tahoma"/>
            <family val="2"/>
          </rPr>
          <t>Luis Fernando Castro:</t>
        </r>
        <r>
          <rPr>
            <sz val="9"/>
            <color indexed="81"/>
            <rFont val="Tahoma"/>
            <family val="2"/>
          </rPr>
          <t xml:space="preserve">
El sistema de tatamiento de aguas residuales debe incrementar su eficencia al menos en un 10% de acuerdo con el informe reciente de monitoreo ( CROPOCESAR, 2014) y por tanto debe mejorar por lo menos en un 10% en el proximo quinquenio.</t>
        </r>
      </text>
    </comment>
    <comment ref="C10" authorId="0" shapeId="0">
      <text>
        <r>
          <rPr>
            <b/>
            <sz val="9"/>
            <color indexed="81"/>
            <rFont val="Tahoma"/>
            <family val="2"/>
          </rPr>
          <t>Luis Fernando Castro:</t>
        </r>
        <r>
          <rPr>
            <sz val="9"/>
            <color indexed="81"/>
            <rFont val="Tahoma"/>
            <family val="2"/>
          </rPr>
          <t xml:space="preserve">
No presenta propuesta. Se impone meta sobre calculos presuntivos</t>
        </r>
      </text>
    </comment>
    <comment ref="D10"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E10"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F10" authorId="0" shapeId="0">
      <text>
        <r>
          <rPr>
            <b/>
            <sz val="9"/>
            <color indexed="81"/>
            <rFont val="Tahoma"/>
            <family val="2"/>
          </rPr>
          <t>Luis Fernando Castro:</t>
        </r>
        <r>
          <rPr>
            <sz val="9"/>
            <color indexed="81"/>
            <rFont val="Tahoma"/>
            <family val="2"/>
          </rPr>
          <t xml:space="preserve">
Incremento vegetativo de la poblacion 1.027% anual</t>
        </r>
      </text>
    </comment>
    <comment ref="J10" authorId="0" shapeId="0">
      <text>
        <r>
          <rPr>
            <b/>
            <sz val="9"/>
            <color indexed="81"/>
            <rFont val="Tahoma"/>
            <family val="2"/>
          </rPr>
          <t>Luis Fernando Castro:</t>
        </r>
        <r>
          <rPr>
            <sz val="9"/>
            <color indexed="81"/>
            <rFont val="Tahoma"/>
            <family val="2"/>
          </rPr>
          <t xml:space="preserve">
Se requiere una remocion del 60% de  la carga de DBO5 para el quinquenio</t>
        </r>
      </text>
    </comment>
    <comment ref="K10" authorId="0" shapeId="0">
      <text>
        <r>
          <rPr>
            <b/>
            <sz val="9"/>
            <color indexed="81"/>
            <rFont val="Tahoma"/>
            <family val="2"/>
          </rPr>
          <t>Luis Fernando Castro:</t>
        </r>
        <r>
          <rPr>
            <sz val="9"/>
            <color indexed="81"/>
            <rFont val="Tahoma"/>
            <family val="2"/>
          </rPr>
          <t xml:space="preserve">
Incremento vegetativo de la poblacion 1.027% anual</t>
        </r>
      </text>
    </comment>
    <comment ref="O10" authorId="0" shapeId="0">
      <text>
        <r>
          <rPr>
            <b/>
            <sz val="9"/>
            <color indexed="81"/>
            <rFont val="Tahoma"/>
            <family val="2"/>
          </rPr>
          <t>Luis Fernando Castro:</t>
        </r>
        <r>
          <rPr>
            <sz val="9"/>
            <color indexed="81"/>
            <rFont val="Tahoma"/>
            <family val="2"/>
          </rPr>
          <t xml:space="preserve">
Se requiere una remocion del 60% de  la carga de SST para el quinquenio</t>
        </r>
      </text>
    </comment>
    <comment ref="C11" authorId="0" shapeId="0">
      <text>
        <r>
          <rPr>
            <b/>
            <sz val="9"/>
            <color indexed="81"/>
            <rFont val="Tahoma"/>
            <family val="2"/>
          </rPr>
          <t>Luis Fernando Castro:</t>
        </r>
        <r>
          <rPr>
            <sz val="9"/>
            <color indexed="81"/>
            <rFont val="Tahoma"/>
            <family val="2"/>
          </rPr>
          <t xml:space="preserve">
No presenta propuesta. Se impone meta sobre calculos presuntivos</t>
        </r>
      </text>
    </comment>
    <comment ref="D11"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E11"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F11" authorId="0" shapeId="0">
      <text>
        <r>
          <rPr>
            <b/>
            <sz val="9"/>
            <color indexed="81"/>
            <rFont val="Tahoma"/>
            <family val="2"/>
          </rPr>
          <t>Luis Fernando Castro:</t>
        </r>
        <r>
          <rPr>
            <sz val="9"/>
            <color indexed="81"/>
            <rFont val="Tahoma"/>
            <family val="2"/>
          </rPr>
          <t xml:space="preserve">
Incremento vegetativo de la poblacion 1.027% anual</t>
        </r>
      </text>
    </comment>
    <comment ref="J11" authorId="0" shapeId="0">
      <text>
        <r>
          <rPr>
            <b/>
            <sz val="9"/>
            <color indexed="81"/>
            <rFont val="Tahoma"/>
            <family val="2"/>
          </rPr>
          <t>Luis Fernando Castro:</t>
        </r>
        <r>
          <rPr>
            <sz val="9"/>
            <color indexed="81"/>
            <rFont val="Tahoma"/>
            <family val="2"/>
          </rPr>
          <t xml:space="preserve">
Se requiere una remocion del 80% de  la carga de DBO5 para el quinquenio</t>
        </r>
      </text>
    </comment>
    <comment ref="K11" authorId="0" shapeId="0">
      <text>
        <r>
          <rPr>
            <b/>
            <sz val="9"/>
            <color indexed="81"/>
            <rFont val="Tahoma"/>
            <family val="2"/>
          </rPr>
          <t>Luis Fernando Castro:</t>
        </r>
        <r>
          <rPr>
            <sz val="9"/>
            <color indexed="81"/>
            <rFont val="Tahoma"/>
            <family val="2"/>
          </rPr>
          <t xml:space="preserve">
Incremento vegetativo de la poblacion 1.027% anual</t>
        </r>
      </text>
    </comment>
    <comment ref="O11" authorId="0" shapeId="0">
      <text>
        <r>
          <rPr>
            <b/>
            <sz val="9"/>
            <color indexed="81"/>
            <rFont val="Tahoma"/>
            <family val="2"/>
          </rPr>
          <t>Luis Fernando Castro:</t>
        </r>
        <r>
          <rPr>
            <sz val="9"/>
            <color indexed="81"/>
            <rFont val="Tahoma"/>
            <family val="2"/>
          </rPr>
          <t xml:space="preserve">
Se requiere una remocion del 80% de  la carga de SST para el quinquenio</t>
        </r>
      </text>
    </comment>
    <comment ref="C13" authorId="0" shapeId="0">
      <text>
        <r>
          <rPr>
            <b/>
            <sz val="9"/>
            <color indexed="81"/>
            <rFont val="Tahoma"/>
            <family val="2"/>
          </rPr>
          <t>Luis Fernando Castro:</t>
        </r>
        <r>
          <rPr>
            <sz val="9"/>
            <color indexed="81"/>
            <rFont val="Tahoma"/>
            <family val="2"/>
          </rPr>
          <t xml:space="preserve">
</t>
        </r>
      </text>
    </comment>
    <comment ref="D13"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E13" authorId="0" shapeId="0">
      <text>
        <r>
          <rPr>
            <b/>
            <sz val="9"/>
            <color indexed="81"/>
            <rFont val="Tahoma"/>
            <family val="2"/>
          </rPr>
          <t>Luis Fernando Castro:</t>
        </r>
        <r>
          <rPr>
            <sz val="9"/>
            <color indexed="81"/>
            <rFont val="Tahoma"/>
            <family val="2"/>
          </rPr>
          <t xml:space="preserve">
No presentan propuestas y por tanto se trabaja con los Ultimos valores verificados por la entidad para 2013</t>
        </r>
      </text>
    </comment>
    <comment ref="F13" authorId="0" shapeId="0">
      <text>
        <r>
          <rPr>
            <b/>
            <sz val="9"/>
            <color indexed="81"/>
            <rFont val="Tahoma"/>
            <family val="2"/>
          </rPr>
          <t>Luis Fernando Castro:</t>
        </r>
        <r>
          <rPr>
            <sz val="9"/>
            <color indexed="81"/>
            <rFont val="Tahoma"/>
            <family val="2"/>
          </rPr>
          <t xml:space="preserve">
Incremento vegetativo de la poblacion 1.027% anual</t>
        </r>
      </text>
    </comment>
    <comment ref="J13" authorId="0" shapeId="0">
      <text>
        <r>
          <rPr>
            <b/>
            <sz val="9"/>
            <color indexed="81"/>
            <rFont val="Tahoma"/>
            <family val="2"/>
          </rPr>
          <t>Luis Fernando Castro:</t>
        </r>
        <r>
          <rPr>
            <sz val="9"/>
            <color indexed="81"/>
            <rFont val="Tahoma"/>
            <family val="2"/>
          </rPr>
          <t xml:space="preserve">
El sistema de tatamiento de aguas residuales debe incrementar su eficencia al menos en un 10% de acuerdo con el informe reciente de monitoreo ( CROPOCESAR, 2014) y por tanto debe mejorar por lo menos en un 10% en el proximo quinquenio.</t>
        </r>
      </text>
    </comment>
    <comment ref="K13" authorId="0" shapeId="0">
      <text>
        <r>
          <rPr>
            <b/>
            <sz val="9"/>
            <color indexed="81"/>
            <rFont val="Tahoma"/>
            <family val="2"/>
          </rPr>
          <t>Luis Fernando Castro:</t>
        </r>
        <r>
          <rPr>
            <sz val="9"/>
            <color indexed="81"/>
            <rFont val="Tahoma"/>
            <family val="2"/>
          </rPr>
          <t xml:space="preserve">
Incremento vegetativo de la poblacion 1.027% anual</t>
        </r>
      </text>
    </comment>
    <comment ref="O13" authorId="0" shapeId="0">
      <text>
        <r>
          <rPr>
            <b/>
            <sz val="9"/>
            <color indexed="81"/>
            <rFont val="Tahoma"/>
            <family val="2"/>
          </rPr>
          <t>Luis Fernando Castro:</t>
        </r>
        <r>
          <rPr>
            <sz val="9"/>
            <color indexed="81"/>
            <rFont val="Tahoma"/>
            <family val="2"/>
          </rPr>
          <t xml:space="preserve">
El sistema de tatamiento de aguas residuales debe incrementar su eficencia al menos en un 10% de acuerdo con el informe reciente de monitoreo ( CROPOCESAR, 2014) y por tanto debe mejorar por lo menos en un 10% en el proximo quinquenio.</t>
        </r>
      </text>
    </comment>
    <comment ref="C14" authorId="0" shapeId="0">
      <text>
        <r>
          <rPr>
            <b/>
            <sz val="9"/>
            <color indexed="81"/>
            <rFont val="Tahoma"/>
            <family val="2"/>
          </rPr>
          <t>Luis Fernando Castro:</t>
        </r>
        <r>
          <rPr>
            <sz val="9"/>
            <color indexed="81"/>
            <rFont val="Tahoma"/>
            <family val="2"/>
          </rPr>
          <t xml:space="preserve">
Presenta propuesta y se acepta con algunos cambios.</t>
        </r>
      </text>
    </comment>
    <comment ref="J14" authorId="0" shapeId="0">
      <text>
        <r>
          <rPr>
            <b/>
            <sz val="9"/>
            <color indexed="81"/>
            <rFont val="Tahoma"/>
            <family val="2"/>
          </rPr>
          <t>Luis Fernando Castro:</t>
        </r>
        <r>
          <rPr>
            <sz val="9"/>
            <color indexed="81"/>
            <rFont val="Tahoma"/>
            <family val="2"/>
          </rPr>
          <t xml:space="preserve">
El usuario propone mejorar su STARD en un 67%</t>
        </r>
      </text>
    </comment>
    <comment ref="O14" authorId="0" shapeId="0">
      <text>
        <r>
          <rPr>
            <b/>
            <sz val="9"/>
            <color indexed="81"/>
            <rFont val="Tahoma"/>
            <family val="2"/>
          </rPr>
          <t>Luis Fernando Castro:</t>
        </r>
        <r>
          <rPr>
            <sz val="9"/>
            <color indexed="81"/>
            <rFont val="Tahoma"/>
            <family val="2"/>
          </rPr>
          <t xml:space="preserve">
El usuario propone mejorar su STARD en un 67%</t>
        </r>
      </text>
    </comment>
    <comment ref="P14" authorId="0" shapeId="0">
      <text>
        <r>
          <rPr>
            <b/>
            <sz val="9"/>
            <color indexed="81"/>
            <rFont val="Tahoma"/>
            <family val="2"/>
          </rPr>
          <t>Luis Fernando Castro:</t>
        </r>
        <r>
          <rPr>
            <sz val="9"/>
            <color indexed="81"/>
            <rFont val="Tahoma"/>
            <family val="2"/>
          </rPr>
          <t xml:space="preserve">
Durante el quinquenio no se reducirán puntos de vertimeinto.</t>
        </r>
      </text>
    </comment>
    <comment ref="C15" authorId="0" shapeId="0">
      <text>
        <r>
          <rPr>
            <b/>
            <sz val="9"/>
            <color indexed="81"/>
            <rFont val="Tahoma"/>
            <family val="2"/>
          </rPr>
          <t xml:space="preserve">Luis Fernando C
</t>
        </r>
        <r>
          <rPr>
            <sz val="9"/>
            <color indexed="81"/>
            <rFont val="Tahoma"/>
            <family val="2"/>
          </rPr>
          <t xml:space="preserve">No presenta propuesta. Se impone meta sobre calculos presuntivos
</t>
        </r>
      </text>
    </comment>
    <comment ref="F15" authorId="0" shapeId="0">
      <text>
        <r>
          <rPr>
            <b/>
            <sz val="9"/>
            <color indexed="81"/>
            <rFont val="Tahoma"/>
            <family val="2"/>
          </rPr>
          <t>Luis Fernando Castro:</t>
        </r>
        <r>
          <rPr>
            <sz val="9"/>
            <color indexed="81"/>
            <rFont val="Tahoma"/>
            <family val="2"/>
          </rPr>
          <t xml:space="preserve">
Incremento vegetativo de la poblacion 1.027% anual</t>
        </r>
      </text>
    </comment>
    <comment ref="J15" authorId="0" shapeId="0">
      <text>
        <r>
          <rPr>
            <b/>
            <sz val="9"/>
            <color indexed="81"/>
            <rFont val="Tahoma"/>
            <family val="2"/>
          </rPr>
          <t>Luis Fernando Castro:</t>
        </r>
        <r>
          <rPr>
            <sz val="9"/>
            <color indexed="81"/>
            <rFont val="Tahoma"/>
            <family val="2"/>
          </rPr>
          <t xml:space="preserve">
No se imonene reducciones de cargas para que el municipio adelante la fase de preinversion durante el quinquenio</t>
        </r>
      </text>
    </comment>
    <comment ref="K15" authorId="0" shapeId="0">
      <text>
        <r>
          <rPr>
            <b/>
            <sz val="9"/>
            <color indexed="81"/>
            <rFont val="Tahoma"/>
            <family val="2"/>
          </rPr>
          <t>Luis Fernando Castro:</t>
        </r>
        <r>
          <rPr>
            <sz val="9"/>
            <color indexed="81"/>
            <rFont val="Tahoma"/>
            <family val="2"/>
          </rPr>
          <t xml:space="preserve">
Incremento vegetativo de la poblacion 1.027% anual</t>
        </r>
      </text>
    </comment>
    <comment ref="O15" authorId="0" shapeId="0">
      <text>
        <r>
          <rPr>
            <b/>
            <sz val="9"/>
            <color indexed="81"/>
            <rFont val="Tahoma"/>
            <family val="2"/>
          </rPr>
          <t>Luis Fernando Castro:</t>
        </r>
        <r>
          <rPr>
            <sz val="9"/>
            <color indexed="81"/>
            <rFont val="Tahoma"/>
            <family val="2"/>
          </rPr>
          <t xml:space="preserve">
No se imonene reducciones de cargas para que el municipio adelante la fase de preinversion durante el quinquenio</t>
        </r>
      </text>
    </comment>
    <comment ref="P15" authorId="0" shapeId="0">
      <text>
        <r>
          <rPr>
            <b/>
            <sz val="9"/>
            <color indexed="81"/>
            <rFont val="Tahoma"/>
            <family val="2"/>
          </rPr>
          <t>Luis Fernando Castro:</t>
        </r>
        <r>
          <rPr>
            <sz val="9"/>
            <color indexed="81"/>
            <rFont val="Tahoma"/>
            <family val="2"/>
          </rPr>
          <t xml:space="preserve">
Durante el quinquenio no se reducirán puntos de vertimeinto.</t>
        </r>
      </text>
    </comment>
    <comment ref="C16" authorId="0" shapeId="0">
      <text>
        <r>
          <rPr>
            <b/>
            <sz val="9"/>
            <color indexed="81"/>
            <rFont val="Tahoma"/>
            <family val="2"/>
          </rPr>
          <t>Luis Fernando Castro:</t>
        </r>
        <r>
          <rPr>
            <sz val="9"/>
            <color indexed="81"/>
            <rFont val="Tahoma"/>
            <family val="2"/>
          </rPr>
          <t xml:space="preserve">
No presenta propuesta. Se impone meta sobre calculos presuntivos</t>
        </r>
      </text>
    </comment>
    <comment ref="F16" authorId="0" shapeId="0">
      <text>
        <r>
          <rPr>
            <b/>
            <sz val="9"/>
            <color indexed="81"/>
            <rFont val="Tahoma"/>
            <family val="2"/>
          </rPr>
          <t>Luis Fernando Castro:</t>
        </r>
        <r>
          <rPr>
            <sz val="9"/>
            <color indexed="81"/>
            <rFont val="Tahoma"/>
            <family val="2"/>
          </rPr>
          <t xml:space="preserve">
Incremento vegetativo de la poblacion 1.027% anual</t>
        </r>
      </text>
    </comment>
    <comment ref="J16" authorId="0" shapeId="0">
      <text>
        <r>
          <rPr>
            <b/>
            <sz val="9"/>
            <color indexed="81"/>
            <rFont val="Tahoma"/>
            <family val="2"/>
          </rPr>
          <t>Luis Fernando Castro:</t>
        </r>
        <r>
          <rPr>
            <sz val="9"/>
            <color indexed="81"/>
            <rFont val="Tahoma"/>
            <family val="2"/>
          </rPr>
          <t xml:space="preserve">
No se imponen reducciones de cargas para que el municipio adelante la fase de preinversion durante el quinquenio</t>
        </r>
      </text>
    </comment>
    <comment ref="K16" authorId="0" shapeId="0">
      <text>
        <r>
          <rPr>
            <b/>
            <sz val="9"/>
            <color indexed="81"/>
            <rFont val="Tahoma"/>
            <family val="2"/>
          </rPr>
          <t>Luis Fernando Castro:</t>
        </r>
        <r>
          <rPr>
            <sz val="9"/>
            <color indexed="81"/>
            <rFont val="Tahoma"/>
            <family val="2"/>
          </rPr>
          <t xml:space="preserve">
Incremento vegetativo de la poblacion 1.027% anual</t>
        </r>
      </text>
    </comment>
    <comment ref="O16" authorId="0" shapeId="0">
      <text>
        <r>
          <rPr>
            <b/>
            <sz val="9"/>
            <color indexed="81"/>
            <rFont val="Tahoma"/>
            <family val="2"/>
          </rPr>
          <t>Luis Fernando Castro:</t>
        </r>
        <r>
          <rPr>
            <sz val="9"/>
            <color indexed="81"/>
            <rFont val="Tahoma"/>
            <family val="2"/>
          </rPr>
          <t xml:space="preserve">
No se imonene reducciones de cargas para que el municipio adelante la fase de preinversion durante el quinquenio</t>
        </r>
      </text>
    </comment>
    <comment ref="C17" authorId="0" shapeId="0">
      <text>
        <r>
          <rPr>
            <b/>
            <sz val="9"/>
            <color indexed="81"/>
            <rFont val="Tahoma"/>
            <family val="2"/>
          </rPr>
          <t>Luis Fernando Castro:</t>
        </r>
        <r>
          <rPr>
            <sz val="9"/>
            <color indexed="81"/>
            <rFont val="Tahoma"/>
            <family val="2"/>
          </rPr>
          <t xml:space="preserve">
No presenta propuesta. Se impone meta sobre calculos presuntivos</t>
        </r>
      </text>
    </comment>
    <comment ref="F17" authorId="0" shapeId="0">
      <text>
        <r>
          <rPr>
            <b/>
            <sz val="9"/>
            <color indexed="81"/>
            <rFont val="Tahoma"/>
            <family val="2"/>
          </rPr>
          <t>Luis Fernando Castro:</t>
        </r>
        <r>
          <rPr>
            <sz val="9"/>
            <color indexed="81"/>
            <rFont val="Tahoma"/>
            <family val="2"/>
          </rPr>
          <t xml:space="preserve">
Incremento vegetativo de la poblacion 1.027% anual</t>
        </r>
      </text>
    </comment>
    <comment ref="J17" authorId="0" shapeId="0">
      <text>
        <r>
          <rPr>
            <b/>
            <sz val="9"/>
            <color indexed="81"/>
            <rFont val="Tahoma"/>
            <family val="2"/>
          </rPr>
          <t>Luis Fernando Castro:</t>
        </r>
        <r>
          <rPr>
            <sz val="9"/>
            <color indexed="81"/>
            <rFont val="Tahoma"/>
            <family val="2"/>
          </rPr>
          <t xml:space="preserve">
No se imponen reducciones de cargas para que el municipio adelante la fase de preinversion durante el quinquenio</t>
        </r>
      </text>
    </comment>
    <comment ref="K17" authorId="0" shapeId="0">
      <text>
        <r>
          <rPr>
            <b/>
            <sz val="9"/>
            <color indexed="81"/>
            <rFont val="Tahoma"/>
            <family val="2"/>
          </rPr>
          <t>Luis Fernando Castro:</t>
        </r>
        <r>
          <rPr>
            <sz val="9"/>
            <color indexed="81"/>
            <rFont val="Tahoma"/>
            <family val="2"/>
          </rPr>
          <t xml:space="preserve">
Incremento vegetativo de la poblacion 1.027% anual</t>
        </r>
      </text>
    </comment>
    <comment ref="O17" authorId="0" shapeId="0">
      <text>
        <r>
          <rPr>
            <b/>
            <sz val="9"/>
            <color indexed="81"/>
            <rFont val="Tahoma"/>
            <family val="2"/>
          </rPr>
          <t>Luis Fernando Castro:</t>
        </r>
        <r>
          <rPr>
            <sz val="9"/>
            <color indexed="81"/>
            <rFont val="Tahoma"/>
            <family val="2"/>
          </rPr>
          <t xml:space="preserve">
No se imonene reducciones de cargas para que el municipio adelante la fase de preinversion durante el quinquenio</t>
        </r>
      </text>
    </comment>
    <comment ref="C18" authorId="0" shapeId="0">
      <text>
        <r>
          <rPr>
            <b/>
            <sz val="9"/>
            <color indexed="81"/>
            <rFont val="Tahoma"/>
            <family val="2"/>
          </rPr>
          <t>Luis Fernando Castro:</t>
        </r>
        <r>
          <rPr>
            <sz val="9"/>
            <color indexed="81"/>
            <rFont val="Tahoma"/>
            <family val="2"/>
          </rPr>
          <t xml:space="preserve">
No presenta propuesta. Se impone meta sobre calculos presuntivos</t>
        </r>
      </text>
    </comment>
    <comment ref="C19" authorId="0" shapeId="0">
      <text>
        <r>
          <rPr>
            <b/>
            <sz val="9"/>
            <color indexed="81"/>
            <rFont val="Tahoma"/>
            <family val="2"/>
          </rPr>
          <t>Luis Fernando Castro:</t>
        </r>
        <r>
          <rPr>
            <sz val="9"/>
            <color indexed="81"/>
            <rFont val="Tahoma"/>
            <family val="2"/>
          </rPr>
          <t xml:space="preserve">
No presenta propuesta de metas. No se imponenen reducciones de cargas para que el municipio adelante la fase de preinversion durante el quinquenio. Se manejan todas las condiciones de los anteriores corregimientos del municipio de Valledupar</t>
        </r>
      </text>
    </comment>
    <comment ref="C20" authorId="0" shapeId="0">
      <text>
        <r>
          <rPr>
            <b/>
            <sz val="9"/>
            <color indexed="81"/>
            <rFont val="Tahoma"/>
            <family val="2"/>
          </rPr>
          <t>Luis Fernando Castro:</t>
        </r>
        <r>
          <rPr>
            <sz val="9"/>
            <color indexed="81"/>
            <rFont val="Tahoma"/>
            <family val="2"/>
          </rPr>
          <t xml:space="preserve">
No presenta propuesta de metas. No se imponenen reducciones de cargas para que el municipio adelante la fase de preinversion durante el quinquenio. Se manejan todas las condiciones de los anteriores corregimientos del municipio de Valledupar</t>
        </r>
      </text>
    </comment>
    <comment ref="C22" authorId="0" shapeId="0">
      <text>
        <r>
          <rPr>
            <b/>
            <sz val="9"/>
            <color indexed="81"/>
            <rFont val="Tahoma"/>
            <family val="2"/>
          </rPr>
          <t>Luis Fernando Castro:</t>
        </r>
        <r>
          <rPr>
            <sz val="9"/>
            <color indexed="81"/>
            <rFont val="Tahoma"/>
            <family val="2"/>
          </rPr>
          <t xml:space="preserve">
No Presenta propuesta de metas. Se imponeen reducciones de cargas relacionadas con la optimizacion del STARD</t>
        </r>
      </text>
    </comment>
    <comment ref="D22" authorId="0" shapeId="0">
      <text>
        <r>
          <rPr>
            <b/>
            <sz val="9"/>
            <color indexed="81"/>
            <rFont val="Tahoma"/>
            <family val="2"/>
          </rPr>
          <t>Luis Fernando Castro:</t>
        </r>
        <r>
          <rPr>
            <sz val="9"/>
            <color indexed="81"/>
            <rFont val="Tahoma"/>
            <family val="2"/>
          </rPr>
          <t xml:space="preserve">
RESULTADOS DEL ESTUDIO DE CALIDAD DE LA DESCARGA ADELANTADO POR Corpocesar  en el año 2013 </t>
        </r>
      </text>
    </comment>
    <comment ref="E22" authorId="0" shapeId="0">
      <text>
        <r>
          <rPr>
            <b/>
            <sz val="9"/>
            <color indexed="81"/>
            <rFont val="Tahoma"/>
            <family val="2"/>
          </rPr>
          <t>Luis Fernando Castro:</t>
        </r>
        <r>
          <rPr>
            <sz val="9"/>
            <color indexed="81"/>
            <rFont val="Tahoma"/>
            <family val="2"/>
          </rPr>
          <t xml:space="preserve">
RESULTADOS DEL ESTUDIO DE CALIDAD DE LA DESCARGA ADELANTADO POR Corpocesar  en el año 2013 </t>
        </r>
      </text>
    </comment>
    <comment ref="F22"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(1,6%)</t>
        </r>
      </text>
    </comment>
    <comment ref="J22" authorId="0" shapeId="0">
      <text>
        <r>
          <rPr>
            <b/>
            <sz val="9"/>
            <color indexed="81"/>
            <rFont val="Tahoma"/>
            <family val="2"/>
          </rPr>
          <t>Luis Fernando Castro:</t>
        </r>
        <r>
          <rPr>
            <sz val="9"/>
            <color indexed="81"/>
            <rFont val="Tahoma"/>
            <family val="2"/>
          </rPr>
          <t xml:space="preserve">
MEJORAR EN UN 20% LA EFICIENCIA DEL STARD</t>
        </r>
      </text>
    </comment>
    <comment ref="O22" authorId="0" shapeId="0">
      <text>
        <r>
          <rPr>
            <b/>
            <sz val="9"/>
            <color indexed="81"/>
            <rFont val="Tahoma"/>
            <family val="2"/>
          </rPr>
          <t>Luis Fernando Castro:</t>
        </r>
        <r>
          <rPr>
            <sz val="9"/>
            <color indexed="81"/>
            <rFont val="Tahoma"/>
            <family val="2"/>
          </rPr>
          <t xml:space="preserve">
MEJORAR EN UN 20% LA EFICIENCIA DEL STARD</t>
        </r>
      </text>
    </comment>
    <comment ref="P22" authorId="0" shapeId="0">
      <text>
        <r>
          <rPr>
            <b/>
            <sz val="9"/>
            <color indexed="81"/>
            <rFont val="Tahoma"/>
            <family val="2"/>
          </rPr>
          <t>Luis Fernando Castro:</t>
        </r>
        <r>
          <rPr>
            <sz val="9"/>
            <color indexed="81"/>
            <rFont val="Tahoma"/>
            <family val="2"/>
          </rPr>
          <t xml:space="preserve">
No se reducirán puntos de evrtimiento en el quinquenio</t>
        </r>
      </text>
    </comment>
    <comment ref="C23" authorId="0" shapeId="0">
      <text>
        <r>
          <rPr>
            <b/>
            <sz val="9"/>
            <color indexed="81"/>
            <rFont val="Tahoma"/>
            <family val="2"/>
          </rPr>
          <t>Luis Fernando Castro:</t>
        </r>
        <r>
          <rPr>
            <sz val="9"/>
            <color indexed="81"/>
            <rFont val="Tahoma"/>
            <family val="2"/>
          </rPr>
          <t xml:space="preserve">
Presenta propuesta de metas, aunque no indica los puntos de vertimiento a eliminar en el quinquenio</t>
        </r>
      </text>
    </comment>
    <comment ref="D23" authorId="0" shapeId="0">
      <text>
        <r>
          <rPr>
            <b/>
            <sz val="9"/>
            <color indexed="81"/>
            <rFont val="Tahoma"/>
            <family val="2"/>
          </rPr>
          <t>Luis Fernando Castro:</t>
        </r>
        <r>
          <rPr>
            <sz val="9"/>
            <color indexed="81"/>
            <rFont val="Tahoma"/>
            <family val="2"/>
          </rPr>
          <t xml:space="preserve">
Linea base sustentada por el usuario</t>
        </r>
      </text>
    </comment>
    <comment ref="E23" authorId="0" shapeId="0">
      <text>
        <r>
          <rPr>
            <b/>
            <sz val="9"/>
            <color indexed="81"/>
            <rFont val="Tahoma"/>
            <family val="2"/>
          </rPr>
          <t>Luis Fernando Castro:</t>
        </r>
        <r>
          <rPr>
            <sz val="9"/>
            <color indexed="81"/>
            <rFont val="Tahoma"/>
            <family val="2"/>
          </rPr>
          <t xml:space="preserve">
Linea base sustentada por el usuario</t>
        </r>
      </text>
    </comment>
    <comment ref="J23" authorId="0" shapeId="0">
      <text>
        <r>
          <rPr>
            <b/>
            <sz val="9"/>
            <color indexed="81"/>
            <rFont val="Tahoma"/>
            <family val="2"/>
          </rPr>
          <t>Luis Fernando Castro:</t>
        </r>
        <r>
          <rPr>
            <sz val="9"/>
            <color indexed="81"/>
            <rFont val="Tahoma"/>
            <family val="2"/>
          </rPr>
          <t xml:space="preserve">
Reduccion propuesta del 67% con respecto a la linea base</t>
        </r>
      </text>
    </comment>
    <comment ref="O23" authorId="0" shapeId="0">
      <text>
        <r>
          <rPr>
            <b/>
            <sz val="9"/>
            <color indexed="81"/>
            <rFont val="Tahoma"/>
            <family val="2"/>
          </rPr>
          <t>Luis Fernando Castro:</t>
        </r>
        <r>
          <rPr>
            <sz val="9"/>
            <color indexed="81"/>
            <rFont val="Tahoma"/>
            <family val="2"/>
          </rPr>
          <t xml:space="preserve">
Reduccion propuesta del 23% con respecto a la linea base</t>
        </r>
      </text>
    </comment>
    <comment ref="C24" authorId="0" shapeId="0">
      <text>
        <r>
          <rPr>
            <b/>
            <sz val="9"/>
            <color indexed="81"/>
            <rFont val="Tahoma"/>
            <family val="2"/>
          </rPr>
          <t>Luis Fernando Castro:</t>
        </r>
        <r>
          <rPr>
            <sz val="9"/>
            <color indexed="81"/>
            <rFont val="Tahoma"/>
            <family val="2"/>
          </rPr>
          <t xml:space="preserve">
Presenta propuesta de metas pero se modifican reducciones de cargas relacionadas con la optimizacion del STARD</t>
        </r>
      </text>
    </comment>
    <comment ref="D24" authorId="0" shapeId="0">
      <text>
        <r>
          <rPr>
            <b/>
            <sz val="9"/>
            <color indexed="81"/>
            <rFont val="Tahoma"/>
            <family val="2"/>
          </rPr>
          <t>Luis Fernando Castro:</t>
        </r>
        <r>
          <rPr>
            <sz val="9"/>
            <color indexed="81"/>
            <rFont val="Tahoma"/>
            <family val="2"/>
          </rPr>
          <t xml:space="preserve">
RESULTADOS DEL ESTUDIO DE CALIDAD DE LA DESCARGA ADELANTADO POR Corpocesar  en el año 2013 </t>
        </r>
      </text>
    </comment>
    <comment ref="E24" authorId="0" shapeId="0">
      <text>
        <r>
          <rPr>
            <b/>
            <sz val="9"/>
            <color indexed="81"/>
            <rFont val="Tahoma"/>
            <family val="2"/>
          </rPr>
          <t>Luis Fernando Castro:</t>
        </r>
        <r>
          <rPr>
            <sz val="9"/>
            <color indexed="81"/>
            <rFont val="Tahoma"/>
            <family val="2"/>
          </rPr>
          <t xml:space="preserve">
RESULTADOS DEL ESTUDIO DE CALIDAD DE LA DESCARGA ADELANTADO POR Corpocesar  en el año 2013 </t>
        </r>
      </text>
    </comment>
    <comment ref="J24" authorId="0" shapeId="0">
      <text>
        <r>
          <rPr>
            <b/>
            <sz val="9"/>
            <color indexed="81"/>
            <rFont val="Tahoma"/>
            <family val="2"/>
          </rPr>
          <t>Luis Fernando Castro:</t>
        </r>
        <r>
          <rPr>
            <sz val="9"/>
            <color indexed="81"/>
            <rFont val="Tahoma"/>
            <family val="2"/>
          </rPr>
          <t xml:space="preserve">
MEJORAR EN UN 20% LA EFICIENCIA DEL STARD</t>
        </r>
      </text>
    </comment>
    <comment ref="O24" authorId="0" shapeId="0">
      <text>
        <r>
          <rPr>
            <b/>
            <sz val="9"/>
            <color indexed="81"/>
            <rFont val="Tahoma"/>
            <family val="2"/>
          </rPr>
          <t>Luis Fernando Castro:</t>
        </r>
        <r>
          <rPr>
            <sz val="9"/>
            <color indexed="81"/>
            <rFont val="Tahoma"/>
            <family val="2"/>
          </rPr>
          <t xml:space="preserve">
MEJORAR EN UN 20% LA EFICIENCIA DEL STARD</t>
        </r>
      </text>
    </comment>
    <comment ref="P24" authorId="0" shapeId="0">
      <text>
        <r>
          <rPr>
            <b/>
            <sz val="9"/>
            <color indexed="81"/>
            <rFont val="Tahoma"/>
            <family val="2"/>
          </rPr>
          <t>Luis Fernando Castro:</t>
        </r>
        <r>
          <rPr>
            <sz val="9"/>
            <color indexed="81"/>
            <rFont val="Tahoma"/>
            <family val="2"/>
          </rPr>
          <t xml:space="preserve">
No se reducirán puntos de vertimiento en el quinquenio</t>
        </r>
      </text>
    </comment>
    <comment ref="C25"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25" authorId="0" shapeId="0">
      <text>
        <r>
          <rPr>
            <b/>
            <sz val="9"/>
            <color indexed="81"/>
            <rFont val="Tahoma"/>
            <family val="2"/>
          </rPr>
          <t>Luis Fernando Castro:</t>
        </r>
        <r>
          <rPr>
            <sz val="9"/>
            <color indexed="81"/>
            <rFont val="Tahoma"/>
            <family val="2"/>
          </rPr>
          <t xml:space="preserve">
Datos de la ultima facturacion adelnatada por CORPOCESAR</t>
        </r>
      </text>
    </comment>
    <comment ref="E25" authorId="0" shapeId="0">
      <text>
        <r>
          <rPr>
            <b/>
            <sz val="9"/>
            <color indexed="81"/>
            <rFont val="Tahoma"/>
            <family val="2"/>
          </rPr>
          <t>Luis Fernando Castro:</t>
        </r>
        <r>
          <rPr>
            <sz val="9"/>
            <color indexed="81"/>
            <rFont val="Tahoma"/>
            <family val="2"/>
          </rPr>
          <t xml:space="preserve">
Datos de la ultima facturacion adelnatada por CORPOCESAR</t>
        </r>
      </text>
    </comment>
    <comment ref="F25"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(0,6%)</t>
        </r>
      </text>
    </comment>
    <comment ref="J25" authorId="0" shapeId="0">
      <text>
        <r>
          <rPr>
            <b/>
            <sz val="9"/>
            <color indexed="81"/>
            <rFont val="Tahoma"/>
            <family val="2"/>
          </rPr>
          <t>Luis Fernando Castro:</t>
        </r>
        <r>
          <rPr>
            <sz val="9"/>
            <color indexed="81"/>
            <rFont val="Tahoma"/>
            <family val="2"/>
          </rPr>
          <t xml:space="preserve">
MEJORAR EN UN 20% LA EFICIENCIA DEL STARD</t>
        </r>
      </text>
    </comment>
    <comment ref="K25"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(0,6%)</t>
        </r>
      </text>
    </comment>
    <comment ref="O25" authorId="0" shapeId="0">
      <text>
        <r>
          <rPr>
            <b/>
            <sz val="9"/>
            <color indexed="81"/>
            <rFont val="Tahoma"/>
            <family val="2"/>
          </rPr>
          <t>Luis Fernando Castro:</t>
        </r>
        <r>
          <rPr>
            <sz val="9"/>
            <color indexed="81"/>
            <rFont val="Tahoma"/>
            <family val="2"/>
          </rPr>
          <t xml:space="preserve">
MEJORAR EN UN 20% LA EFICIENCIA DEL STARD</t>
        </r>
      </text>
    </comment>
    <comment ref="P25" authorId="0" shapeId="0">
      <text>
        <r>
          <rPr>
            <b/>
            <sz val="9"/>
            <color indexed="81"/>
            <rFont val="Tahoma"/>
            <family val="2"/>
          </rPr>
          <t>Luis Fernando Castro:</t>
        </r>
        <r>
          <rPr>
            <sz val="9"/>
            <color indexed="81"/>
            <rFont val="Tahoma"/>
            <family val="2"/>
          </rPr>
          <t xml:space="preserve">
No se reducirán puntos de vertimiento en el quinquenio</t>
        </r>
      </text>
    </comment>
    <comment ref="C26"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26" authorId="0" shapeId="0">
      <text>
        <r>
          <rPr>
            <b/>
            <sz val="9"/>
            <color indexed="81"/>
            <rFont val="Tahoma"/>
            <family val="2"/>
          </rPr>
          <t>Luis Fernando Castro:</t>
        </r>
        <r>
          <rPr>
            <sz val="9"/>
            <color indexed="81"/>
            <rFont val="Tahoma"/>
            <family val="2"/>
          </rPr>
          <t xml:space="preserve">
Datos de la ultima facturacion adelnatada por CORPOCESAR</t>
        </r>
      </text>
    </comment>
    <comment ref="E26" authorId="0" shapeId="0">
      <text>
        <r>
          <rPr>
            <b/>
            <sz val="9"/>
            <color indexed="81"/>
            <rFont val="Tahoma"/>
            <family val="2"/>
          </rPr>
          <t>Luis Fernando Castro:</t>
        </r>
        <r>
          <rPr>
            <sz val="9"/>
            <color indexed="81"/>
            <rFont val="Tahoma"/>
            <family val="2"/>
          </rPr>
          <t xml:space="preserve">
Datos de la ultima facturacion adelnatada por CORPOCESAR</t>
        </r>
      </text>
    </comment>
    <comment ref="F26"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J26" authorId="0" shapeId="0">
      <text>
        <r>
          <rPr>
            <b/>
            <sz val="9"/>
            <color indexed="81"/>
            <rFont val="Tahoma"/>
            <family val="2"/>
          </rPr>
          <t>Luis Fernando Castro:</t>
        </r>
        <r>
          <rPr>
            <sz val="9"/>
            <color indexed="81"/>
            <rFont val="Tahoma"/>
            <family val="2"/>
          </rPr>
          <t xml:space="preserve">
MEJORAR EN UN 20% LA EFICIENCIA DEL STARD</t>
        </r>
      </text>
    </comment>
    <comment ref="K26"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O26" authorId="0" shapeId="0">
      <text>
        <r>
          <rPr>
            <b/>
            <sz val="9"/>
            <color indexed="81"/>
            <rFont val="Tahoma"/>
            <family val="2"/>
          </rPr>
          <t>Luis Fernando Castro:</t>
        </r>
        <r>
          <rPr>
            <sz val="9"/>
            <color indexed="81"/>
            <rFont val="Tahoma"/>
            <family val="2"/>
          </rPr>
          <t xml:space="preserve">
MEJORAR EN UN 20% LA EFICIENCIA DEL STARD</t>
        </r>
      </text>
    </comment>
    <comment ref="P26" authorId="0" shapeId="0">
      <text>
        <r>
          <rPr>
            <b/>
            <sz val="9"/>
            <color indexed="81"/>
            <rFont val="Tahoma"/>
            <family val="2"/>
          </rPr>
          <t>Luis Fernando Castro:</t>
        </r>
        <r>
          <rPr>
            <sz val="9"/>
            <color indexed="81"/>
            <rFont val="Tahoma"/>
            <family val="2"/>
          </rPr>
          <t xml:space="preserve">
No se reducirán puntos de vertimiento en el quinquenio</t>
        </r>
      </text>
    </comment>
    <comment ref="C27"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27" authorId="0" shapeId="0">
      <text>
        <r>
          <rPr>
            <b/>
            <sz val="9"/>
            <color indexed="81"/>
            <rFont val="Tahoma"/>
            <family val="2"/>
          </rPr>
          <t>Luis Fernando Castro:</t>
        </r>
        <r>
          <rPr>
            <sz val="9"/>
            <color indexed="81"/>
            <rFont val="Tahoma"/>
            <family val="2"/>
          </rPr>
          <t xml:space="preserve">
Linea abse original publicada en la consulta</t>
        </r>
      </text>
    </comment>
    <comment ref="E27" authorId="0" shapeId="0">
      <text>
        <r>
          <rPr>
            <b/>
            <sz val="9"/>
            <color indexed="81"/>
            <rFont val="Tahoma"/>
            <family val="2"/>
          </rPr>
          <t>Luis Fernando Castro:</t>
        </r>
        <r>
          <rPr>
            <sz val="9"/>
            <color indexed="81"/>
            <rFont val="Tahoma"/>
            <family val="2"/>
          </rPr>
          <t xml:space="preserve">
Linea abse original publicada en la consulta</t>
        </r>
      </text>
    </comment>
    <comment ref="F27"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J27"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27"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O27"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27" authorId="0" shapeId="0">
      <text>
        <r>
          <rPr>
            <b/>
            <sz val="9"/>
            <color indexed="81"/>
            <rFont val="Tahoma"/>
            <family val="2"/>
          </rPr>
          <t>Luis Fernando Castro:</t>
        </r>
        <r>
          <rPr>
            <sz val="9"/>
            <color indexed="81"/>
            <rFont val="Tahoma"/>
            <family val="2"/>
          </rPr>
          <t xml:space="preserve">
No se reducirán puntos de vertimiento en el quinquenio</t>
        </r>
      </text>
    </comment>
    <comment ref="C28"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28" authorId="0" shapeId="0">
      <text>
        <r>
          <rPr>
            <b/>
            <sz val="9"/>
            <color indexed="81"/>
            <rFont val="Tahoma"/>
            <family val="2"/>
          </rPr>
          <t>Luis Fernando Castro:</t>
        </r>
        <r>
          <rPr>
            <sz val="9"/>
            <color indexed="81"/>
            <rFont val="Tahoma"/>
            <family val="2"/>
          </rPr>
          <t xml:space="preserve">
Linea abse original publicada en la consulta</t>
        </r>
      </text>
    </comment>
    <comment ref="E28" authorId="0" shapeId="0">
      <text>
        <r>
          <rPr>
            <b/>
            <sz val="9"/>
            <color indexed="81"/>
            <rFont val="Tahoma"/>
            <family val="2"/>
          </rPr>
          <t>Luis Fernando Castro:</t>
        </r>
        <r>
          <rPr>
            <sz val="9"/>
            <color indexed="81"/>
            <rFont val="Tahoma"/>
            <family val="2"/>
          </rPr>
          <t xml:space="preserve">
Linea abse original publicada en la consulta</t>
        </r>
      </text>
    </comment>
    <comment ref="F28"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J28"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28"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O28"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28" authorId="0" shapeId="0">
      <text>
        <r>
          <rPr>
            <b/>
            <sz val="9"/>
            <color indexed="81"/>
            <rFont val="Tahoma"/>
            <family val="2"/>
          </rPr>
          <t>Luis Fernando Castro:</t>
        </r>
        <r>
          <rPr>
            <sz val="9"/>
            <color indexed="81"/>
            <rFont val="Tahoma"/>
            <family val="2"/>
          </rPr>
          <t xml:space="preserve">
No se reducirán puntos de vertimiento en el quinquenio</t>
        </r>
      </text>
    </comment>
    <comment ref="C29"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29" authorId="0" shapeId="0">
      <text>
        <r>
          <rPr>
            <b/>
            <sz val="9"/>
            <color indexed="81"/>
            <rFont val="Tahoma"/>
            <family val="2"/>
          </rPr>
          <t>Luis Fernando Castro:</t>
        </r>
        <r>
          <rPr>
            <sz val="9"/>
            <color indexed="81"/>
            <rFont val="Tahoma"/>
            <family val="2"/>
          </rPr>
          <t xml:space="preserve">
Linea abse original publicada en la consulta</t>
        </r>
      </text>
    </comment>
    <comment ref="E29" authorId="0" shapeId="0">
      <text>
        <r>
          <rPr>
            <b/>
            <sz val="9"/>
            <color indexed="81"/>
            <rFont val="Tahoma"/>
            <family val="2"/>
          </rPr>
          <t>Luis Fernando Castro:</t>
        </r>
        <r>
          <rPr>
            <sz val="9"/>
            <color indexed="81"/>
            <rFont val="Tahoma"/>
            <family val="2"/>
          </rPr>
          <t xml:space="preserve">
Linea abse original publicada en la consulta</t>
        </r>
      </text>
    </comment>
    <comment ref="F29"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J29"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29" authorId="0" shapeId="0">
      <text>
        <r>
          <rPr>
            <b/>
            <sz val="9"/>
            <color indexed="81"/>
            <rFont val="Tahoma"/>
            <family val="2"/>
          </rPr>
          <t>Luis Fernando Castro:</t>
        </r>
        <r>
          <rPr>
            <sz val="9"/>
            <color indexed="81"/>
            <rFont val="Tahoma"/>
            <family val="2"/>
          </rPr>
          <t xml:space="preserve">
Crecimiento de la carga en funcion de la tasa de crecimiento de la poblacion reportada por el DANE (3,5%)</t>
        </r>
      </text>
    </comment>
    <comment ref="O29"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29" authorId="0" shapeId="0">
      <text>
        <r>
          <rPr>
            <b/>
            <sz val="9"/>
            <color indexed="81"/>
            <rFont val="Tahoma"/>
            <family val="2"/>
          </rPr>
          <t>Luis Fernando Castro:</t>
        </r>
        <r>
          <rPr>
            <sz val="9"/>
            <color indexed="81"/>
            <rFont val="Tahoma"/>
            <family val="2"/>
          </rPr>
          <t xml:space="preserve">
No se reducirán puntos de vertimiento en el quinquenio</t>
        </r>
      </text>
    </comment>
    <comment ref="C30"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30"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30"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30"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J30" authorId="0" shapeId="0">
      <text>
        <r>
          <rPr>
            <b/>
            <sz val="9"/>
            <color indexed="81"/>
            <rFont val="Tahoma"/>
            <family val="2"/>
          </rPr>
          <t>Luis Fernando Castro:</t>
        </r>
        <r>
          <rPr>
            <sz val="9"/>
            <color indexed="81"/>
            <rFont val="Tahoma"/>
            <family val="2"/>
          </rPr>
          <t xml:space="preserve">
El STARD debe mejroar en un 80% de acuerdo con el ultimo monitore de CORPOCESAR</t>
        </r>
      </text>
    </comment>
    <comment ref="K30"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O30" authorId="0" shapeId="0">
      <text>
        <r>
          <rPr>
            <b/>
            <sz val="9"/>
            <color indexed="81"/>
            <rFont val="Tahoma"/>
            <family val="2"/>
          </rPr>
          <t>Luis Fernando Castro:</t>
        </r>
        <r>
          <rPr>
            <sz val="9"/>
            <color indexed="81"/>
            <rFont val="Tahoma"/>
            <family val="2"/>
          </rPr>
          <t xml:space="preserve">
El STARD debe mejroar en un 80% de acuerdo con el ultimo monitore de CORPOCESAR</t>
        </r>
      </text>
    </comment>
    <comment ref="P30" authorId="0" shapeId="0">
      <text>
        <r>
          <rPr>
            <b/>
            <sz val="9"/>
            <color indexed="81"/>
            <rFont val="Tahoma"/>
            <family val="2"/>
          </rPr>
          <t>Luis Fernando Castro:</t>
        </r>
        <r>
          <rPr>
            <sz val="9"/>
            <color indexed="81"/>
            <rFont val="Tahoma"/>
            <family val="2"/>
          </rPr>
          <t xml:space="preserve">
No se reducirán puntos de vertimiento en el quinquenio</t>
        </r>
      </text>
    </comment>
    <comment ref="C32"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32" authorId="0" shapeId="0">
      <text>
        <r>
          <rPr>
            <b/>
            <sz val="9"/>
            <color indexed="81"/>
            <rFont val="Tahoma"/>
            <family val="2"/>
          </rPr>
          <t>Luis Fernando Castro:</t>
        </r>
        <r>
          <rPr>
            <sz val="9"/>
            <color indexed="81"/>
            <rFont val="Tahoma"/>
            <family val="2"/>
          </rPr>
          <t xml:space="preserve">
Linea abse original publicada en la consulta</t>
        </r>
      </text>
    </comment>
    <comment ref="E32" authorId="0" shapeId="0">
      <text>
        <r>
          <rPr>
            <b/>
            <sz val="9"/>
            <color indexed="81"/>
            <rFont val="Tahoma"/>
            <family val="2"/>
          </rPr>
          <t>Luis Fernando Castro:</t>
        </r>
        <r>
          <rPr>
            <sz val="9"/>
            <color indexed="81"/>
            <rFont val="Tahoma"/>
            <family val="2"/>
          </rPr>
          <t xml:space="preserve">
Linea abse original publicada en la consulta</t>
        </r>
      </text>
    </comment>
    <comment ref="F32"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J32"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32"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O32"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32" authorId="0" shapeId="0">
      <text>
        <r>
          <rPr>
            <b/>
            <sz val="9"/>
            <color indexed="81"/>
            <rFont val="Tahoma"/>
            <family val="2"/>
          </rPr>
          <t>Luis Fernando Castro:</t>
        </r>
        <r>
          <rPr>
            <sz val="9"/>
            <color indexed="81"/>
            <rFont val="Tahoma"/>
            <family val="2"/>
          </rPr>
          <t xml:space="preserve">
No se reducirán puntos de vertimiento en el quinquenio</t>
        </r>
      </text>
    </comment>
    <comment ref="C33"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33"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33"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33"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J33" authorId="0" shapeId="0">
      <text>
        <r>
          <rPr>
            <b/>
            <sz val="9"/>
            <color indexed="81"/>
            <rFont val="Tahoma"/>
            <family val="2"/>
          </rPr>
          <t>Luis Fernando Castro:</t>
        </r>
        <r>
          <rPr>
            <sz val="9"/>
            <color indexed="81"/>
            <rFont val="Tahoma"/>
            <family val="2"/>
          </rPr>
          <t xml:space="preserve">
El ultimo muestreo de CORPOCESAR demuestra que el STARD no reporta ninguna eficiencia. Debe mejorar en un 80%</t>
        </r>
      </text>
    </comment>
    <comment ref="K33"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O33" authorId="0" shapeId="0">
      <text>
        <r>
          <rPr>
            <b/>
            <sz val="9"/>
            <color indexed="81"/>
            <rFont val="Tahoma"/>
            <family val="2"/>
          </rPr>
          <t>Luis Fernando Castro:</t>
        </r>
        <r>
          <rPr>
            <sz val="9"/>
            <color indexed="81"/>
            <rFont val="Tahoma"/>
            <family val="2"/>
          </rPr>
          <t xml:space="preserve">
El ultimo muestreo de CORPOCESAR demuestra que el STARD no reporta ninguna eficiencia. Debe mejorar en un 80%</t>
        </r>
      </text>
    </comment>
    <comment ref="P33" authorId="0" shapeId="0">
      <text>
        <r>
          <rPr>
            <b/>
            <sz val="9"/>
            <color indexed="81"/>
            <rFont val="Tahoma"/>
            <family val="2"/>
          </rPr>
          <t>Luis Fernando Castro:</t>
        </r>
        <r>
          <rPr>
            <sz val="9"/>
            <color indexed="81"/>
            <rFont val="Tahoma"/>
            <family val="2"/>
          </rPr>
          <t xml:space="preserve">
No se reducirán puntos de vertimiento en el quinquenio</t>
        </r>
      </text>
    </comment>
    <comment ref="C34"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34" authorId="0" shapeId="0">
      <text>
        <r>
          <rPr>
            <b/>
            <sz val="9"/>
            <color indexed="81"/>
            <rFont val="Tahoma"/>
            <family val="2"/>
          </rPr>
          <t>Luis Fernando Castro:</t>
        </r>
        <r>
          <rPr>
            <sz val="9"/>
            <color indexed="81"/>
            <rFont val="Tahoma"/>
            <family val="2"/>
          </rPr>
          <t xml:space="preserve">
Linea abse original publicada en la consulta</t>
        </r>
      </text>
    </comment>
    <comment ref="E34" authorId="0" shapeId="0">
      <text>
        <r>
          <rPr>
            <b/>
            <sz val="9"/>
            <color indexed="81"/>
            <rFont val="Tahoma"/>
            <family val="2"/>
          </rPr>
          <t>Luis Fernando Castro:</t>
        </r>
        <r>
          <rPr>
            <sz val="9"/>
            <color indexed="81"/>
            <rFont val="Tahoma"/>
            <family val="2"/>
          </rPr>
          <t xml:space="preserve">
Linea abse original publicada en la consulta</t>
        </r>
      </text>
    </comment>
    <comment ref="F3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J34"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3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t>
        </r>
      </text>
    </comment>
    <comment ref="O34"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34" authorId="0" shapeId="0">
      <text>
        <r>
          <rPr>
            <b/>
            <sz val="9"/>
            <color indexed="81"/>
            <rFont val="Tahoma"/>
            <family val="2"/>
          </rPr>
          <t>Luis Fernando Castro:</t>
        </r>
        <r>
          <rPr>
            <sz val="9"/>
            <color indexed="81"/>
            <rFont val="Tahoma"/>
            <family val="2"/>
          </rPr>
          <t xml:space="preserve">
No se reducirán puntos de vertimiento en el quinquenio</t>
        </r>
      </text>
    </comment>
    <comment ref="C36"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36"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36"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36"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1.012%</t>
        </r>
      </text>
    </comment>
    <comment ref="J36" authorId="0" shapeId="0">
      <text>
        <r>
          <rPr>
            <b/>
            <sz val="9"/>
            <color indexed="81"/>
            <rFont val="Tahoma"/>
            <family val="2"/>
          </rPr>
          <t>Luis Fernando Castro:</t>
        </r>
        <r>
          <rPr>
            <sz val="9"/>
            <color indexed="81"/>
            <rFont val="Tahoma"/>
            <family val="2"/>
          </rPr>
          <t xml:space="preserve">
El ultimo muestreo de CORPOCESAR demuestra que el STARD no reporta ninguna eficiencia. Debe mejorar en un 85 %</t>
        </r>
      </text>
    </comment>
    <comment ref="K36"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1.012%</t>
        </r>
      </text>
    </comment>
    <comment ref="O36" authorId="0" shapeId="0">
      <text>
        <r>
          <rPr>
            <b/>
            <sz val="9"/>
            <color indexed="81"/>
            <rFont val="Tahoma"/>
            <family val="2"/>
          </rPr>
          <t>Luis Fernando Castro:</t>
        </r>
        <r>
          <rPr>
            <sz val="9"/>
            <color indexed="81"/>
            <rFont val="Tahoma"/>
            <family val="2"/>
          </rPr>
          <t xml:space="preserve">
El ultimo muestreo de CORPOCESAR demuestra que el STARD no reporta ninguna eficiencia. Debe mejorar en un 85 %</t>
        </r>
      </text>
    </comment>
    <comment ref="P36" authorId="0" shapeId="0">
      <text>
        <r>
          <rPr>
            <b/>
            <sz val="9"/>
            <color indexed="81"/>
            <rFont val="Tahoma"/>
            <family val="2"/>
          </rPr>
          <t>Luis Fernando Castro:</t>
        </r>
        <r>
          <rPr>
            <sz val="9"/>
            <color indexed="81"/>
            <rFont val="Tahoma"/>
            <family val="2"/>
          </rPr>
          <t xml:space="preserve">
No se reducirán puntos de vertimiento en el quinquenio</t>
        </r>
      </text>
    </comment>
    <comment ref="C37"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37"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37"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37"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1.012%</t>
        </r>
      </text>
    </comment>
    <comment ref="J37" authorId="0" shapeId="0">
      <text>
        <r>
          <rPr>
            <b/>
            <sz val="9"/>
            <color indexed="81"/>
            <rFont val="Tahoma"/>
            <family val="2"/>
          </rPr>
          <t>Luis Fernando Castro:</t>
        </r>
        <r>
          <rPr>
            <sz val="9"/>
            <color indexed="81"/>
            <rFont val="Tahoma"/>
            <family val="2"/>
          </rPr>
          <t xml:space="preserve">
Para mantener la acrga actual deben mejorar la eficiencia en un 5%.</t>
        </r>
      </text>
    </comment>
    <comment ref="K37"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1.012%</t>
        </r>
      </text>
    </comment>
    <comment ref="O37" authorId="0" shapeId="0">
      <text>
        <r>
          <rPr>
            <b/>
            <sz val="9"/>
            <color indexed="81"/>
            <rFont val="Tahoma"/>
            <family val="2"/>
          </rPr>
          <t>Luis Fernando Castro:</t>
        </r>
        <r>
          <rPr>
            <sz val="9"/>
            <color indexed="81"/>
            <rFont val="Tahoma"/>
            <family val="2"/>
          </rPr>
          <t xml:space="preserve">
Para mantener la acrga actual deben mejorar la eficiencia en un 5%.</t>
        </r>
      </text>
    </comment>
    <comment ref="P37" authorId="0" shapeId="0">
      <text>
        <r>
          <rPr>
            <b/>
            <sz val="9"/>
            <color indexed="81"/>
            <rFont val="Tahoma"/>
            <family val="2"/>
          </rPr>
          <t>Luis Fernando Castro:</t>
        </r>
        <r>
          <rPr>
            <sz val="9"/>
            <color indexed="81"/>
            <rFont val="Tahoma"/>
            <family val="2"/>
          </rPr>
          <t xml:space="preserve">
No se reducirán puntos de vertimiento en el quinquenio</t>
        </r>
      </text>
    </comment>
    <comment ref="C39"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39"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39"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39"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1.035%</t>
        </r>
      </text>
    </comment>
    <comment ref="J39" authorId="0" shapeId="0">
      <text>
        <r>
          <rPr>
            <b/>
            <sz val="9"/>
            <color indexed="81"/>
            <rFont val="Tahoma"/>
            <family val="2"/>
          </rPr>
          <t>Luis Fernando Castro:</t>
        </r>
        <r>
          <rPr>
            <sz val="9"/>
            <color indexed="81"/>
            <rFont val="Tahoma"/>
            <family val="2"/>
          </rPr>
          <t xml:space="preserve">
El ultimo muestreo de CORPOCESAR demuestra que el STARD no reporta ninguna eficiencia. Debe mejorar en un 80 %</t>
        </r>
      </text>
    </comment>
    <comment ref="K39"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1.035%</t>
        </r>
      </text>
    </comment>
    <comment ref="O39" authorId="0" shapeId="0">
      <text>
        <r>
          <rPr>
            <b/>
            <sz val="9"/>
            <color indexed="81"/>
            <rFont val="Tahoma"/>
            <family val="2"/>
          </rPr>
          <t>Luis Fernando Castro:</t>
        </r>
        <r>
          <rPr>
            <sz val="9"/>
            <color indexed="81"/>
            <rFont val="Tahoma"/>
            <family val="2"/>
          </rPr>
          <t xml:space="preserve">
El ultimo muestreo de CORPOCESAR demuestra que el STARD no reporta ninguna eficiencia. Debe mejorar en un 80 %</t>
        </r>
      </text>
    </comment>
    <comment ref="P39" authorId="0" shapeId="0">
      <text>
        <r>
          <rPr>
            <b/>
            <sz val="9"/>
            <color indexed="81"/>
            <rFont val="Tahoma"/>
            <family val="2"/>
          </rPr>
          <t>Luis Fernando Castro:</t>
        </r>
        <r>
          <rPr>
            <sz val="9"/>
            <color indexed="81"/>
            <rFont val="Tahoma"/>
            <family val="2"/>
          </rPr>
          <t xml:space="preserve">
No se reducirán puntos de vertimiento en el quinquenio</t>
        </r>
      </text>
    </comment>
    <comment ref="C40"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0"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40"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40"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1.035%</t>
        </r>
      </text>
    </comment>
    <comment ref="J40"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O40"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40" authorId="0" shapeId="0">
      <text>
        <r>
          <rPr>
            <b/>
            <sz val="9"/>
            <color indexed="81"/>
            <rFont val="Tahoma"/>
            <family val="2"/>
          </rPr>
          <t>Luis Fernando Castro:</t>
        </r>
        <r>
          <rPr>
            <sz val="9"/>
            <color indexed="81"/>
            <rFont val="Tahoma"/>
            <family val="2"/>
          </rPr>
          <t xml:space="preserve">
No se reducirán puntos de vertimiento en el quinquenio</t>
        </r>
      </text>
    </comment>
    <comment ref="C41"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1" authorId="0" shapeId="0">
      <text>
        <r>
          <rPr>
            <b/>
            <sz val="9"/>
            <color indexed="81"/>
            <rFont val="Tahoma"/>
            <family val="2"/>
          </rPr>
          <t>Luis Fernando Castro:</t>
        </r>
        <r>
          <rPr>
            <sz val="9"/>
            <color indexed="81"/>
            <rFont val="Tahoma"/>
            <family val="2"/>
          </rPr>
          <t xml:space="preserve">
Linea base publicada en la consulta</t>
        </r>
      </text>
    </comment>
    <comment ref="E41" authorId="0" shapeId="0">
      <text>
        <r>
          <rPr>
            <b/>
            <sz val="9"/>
            <color indexed="81"/>
            <rFont val="Tahoma"/>
            <family val="2"/>
          </rPr>
          <t>Luis Fernando Castro:</t>
        </r>
        <r>
          <rPr>
            <sz val="9"/>
            <color indexed="81"/>
            <rFont val="Tahoma"/>
            <family val="2"/>
          </rPr>
          <t xml:space="preserve">
Linea base publicada en la consulta</t>
        </r>
      </text>
    </comment>
    <comment ref="F41"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1.035%</t>
        </r>
      </text>
    </comment>
    <comment ref="J41"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41"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1.035%</t>
        </r>
      </text>
    </comment>
    <comment ref="O41"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41" authorId="0" shapeId="0">
      <text>
        <r>
          <rPr>
            <b/>
            <sz val="9"/>
            <color indexed="81"/>
            <rFont val="Tahoma"/>
            <family val="2"/>
          </rPr>
          <t>Luis Fernando Castro:</t>
        </r>
        <r>
          <rPr>
            <sz val="9"/>
            <color indexed="81"/>
            <rFont val="Tahoma"/>
            <family val="2"/>
          </rPr>
          <t xml:space="preserve">
No se reducirán puntos de vertimiento en el quinquenio</t>
        </r>
      </text>
    </comment>
    <comment ref="C42"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2" authorId="0" shapeId="0">
      <text>
        <r>
          <rPr>
            <b/>
            <sz val="9"/>
            <color indexed="81"/>
            <rFont val="Tahoma"/>
            <family val="2"/>
          </rPr>
          <t>Luis Fernando Castro:</t>
        </r>
        <r>
          <rPr>
            <sz val="9"/>
            <color indexed="81"/>
            <rFont val="Tahoma"/>
            <family val="2"/>
          </rPr>
          <t xml:space="preserve">
Linea base publicada en la consulta</t>
        </r>
      </text>
    </comment>
    <comment ref="E42" authorId="0" shapeId="0">
      <text>
        <r>
          <rPr>
            <b/>
            <sz val="9"/>
            <color indexed="81"/>
            <rFont val="Tahoma"/>
            <family val="2"/>
          </rPr>
          <t>Luis Fernando Castro:</t>
        </r>
        <r>
          <rPr>
            <sz val="9"/>
            <color indexed="81"/>
            <rFont val="Tahoma"/>
            <family val="2"/>
          </rPr>
          <t xml:space="preserve">
Linea base publicada en la consulta</t>
        </r>
      </text>
    </comment>
    <comment ref="F42"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1.035%</t>
        </r>
      </text>
    </comment>
    <comment ref="K42"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O42"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42" authorId="0" shapeId="0">
      <text>
        <r>
          <rPr>
            <b/>
            <sz val="9"/>
            <color indexed="81"/>
            <rFont val="Tahoma"/>
            <family val="2"/>
          </rPr>
          <t>Luis Fernando Castro:</t>
        </r>
        <r>
          <rPr>
            <sz val="9"/>
            <color indexed="81"/>
            <rFont val="Tahoma"/>
            <family val="2"/>
          </rPr>
          <t xml:space="preserve">
No se reducirán puntos de vertimiento en el quinquenio</t>
        </r>
      </text>
    </comment>
    <comment ref="C44"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4"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44"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4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t>
        </r>
      </text>
    </comment>
    <comment ref="J44" authorId="0" shapeId="0">
      <text>
        <r>
          <rPr>
            <b/>
            <sz val="9"/>
            <color indexed="81"/>
            <rFont val="Tahoma"/>
            <family val="2"/>
          </rPr>
          <t>Luis Fernando Castro:</t>
        </r>
        <r>
          <rPr>
            <sz val="9"/>
            <color indexed="81"/>
            <rFont val="Tahoma"/>
            <family val="2"/>
          </rPr>
          <t xml:space="preserve">
La PTARD requiere mejorar su eficiencia al menos en un 50%</t>
        </r>
      </text>
    </comment>
    <comment ref="K4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t>
        </r>
      </text>
    </comment>
    <comment ref="O44" authorId="0" shapeId="0">
      <text>
        <r>
          <rPr>
            <b/>
            <sz val="9"/>
            <color indexed="81"/>
            <rFont val="Tahoma"/>
            <family val="2"/>
          </rPr>
          <t>Luis Fernando Castro:</t>
        </r>
        <r>
          <rPr>
            <sz val="9"/>
            <color indexed="81"/>
            <rFont val="Tahoma"/>
            <family val="2"/>
          </rPr>
          <t xml:space="preserve">
La PTARD requiere mejorar su eficiencia al menos en un 50%</t>
        </r>
      </text>
    </comment>
    <comment ref="C45"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5"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45"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45"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1.032%</t>
        </r>
      </text>
    </comment>
    <comment ref="J45" authorId="0" shapeId="0">
      <text>
        <r>
          <rPr>
            <b/>
            <sz val="9"/>
            <color indexed="81"/>
            <rFont val="Tahoma"/>
            <family val="2"/>
          </rPr>
          <t>Luis Fernando Castro:</t>
        </r>
        <r>
          <rPr>
            <sz val="9"/>
            <color indexed="81"/>
            <rFont val="Tahoma"/>
            <family val="2"/>
          </rPr>
          <t xml:space="preserve">
El STARD debe mejoraral menos en un 50%</t>
        </r>
      </text>
    </comment>
    <comment ref="K45"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1.035%</t>
        </r>
      </text>
    </comment>
    <comment ref="O45" authorId="0" shapeId="0">
      <text>
        <r>
          <rPr>
            <b/>
            <sz val="9"/>
            <color indexed="81"/>
            <rFont val="Tahoma"/>
            <family val="2"/>
          </rPr>
          <t>Luis Fernando Castro:</t>
        </r>
        <r>
          <rPr>
            <sz val="9"/>
            <color indexed="81"/>
            <rFont val="Tahoma"/>
            <family val="2"/>
          </rPr>
          <t xml:space="preserve">
El STARD debe mejoraral menos en un 50%</t>
        </r>
      </text>
    </comment>
    <comment ref="P45" authorId="0" shapeId="0">
      <text>
        <r>
          <rPr>
            <b/>
            <sz val="9"/>
            <color indexed="81"/>
            <rFont val="Tahoma"/>
            <family val="2"/>
          </rPr>
          <t>Luis Fernando Castro:</t>
        </r>
        <r>
          <rPr>
            <sz val="9"/>
            <color indexed="81"/>
            <rFont val="Tahoma"/>
            <family val="2"/>
          </rPr>
          <t xml:space="preserve">
No se reducirán puntos de vertimiento en el quinquenio</t>
        </r>
      </text>
    </comment>
    <comment ref="C46"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6"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E46" authorId="0" shapeId="0">
      <text>
        <r>
          <rPr>
            <b/>
            <sz val="9"/>
            <color indexed="81"/>
            <rFont val="Tahoma"/>
            <family val="2"/>
          </rPr>
          <t>Luis Fernando Castro:</t>
        </r>
        <r>
          <rPr>
            <sz val="9"/>
            <color indexed="81"/>
            <rFont val="Tahoma"/>
            <family val="2"/>
          </rPr>
          <t xml:space="preserve">
Se asume como carga abse la recientemente monitoreada por la corporación</t>
        </r>
      </text>
    </comment>
    <comment ref="F46"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1.032 %</t>
        </r>
      </text>
    </comment>
    <comment ref="J46" authorId="0" shapeId="0">
      <text>
        <r>
          <rPr>
            <b/>
            <sz val="9"/>
            <color indexed="81"/>
            <rFont val="Tahoma"/>
            <family val="2"/>
          </rPr>
          <t>Luis Fernando Castro:</t>
        </r>
        <r>
          <rPr>
            <sz val="9"/>
            <color indexed="81"/>
            <rFont val="Tahoma"/>
            <family val="2"/>
          </rPr>
          <t xml:space="preserve">
El STARD debe mejoraral menos en un 30%</t>
        </r>
      </text>
    </comment>
    <comment ref="O46" authorId="0" shapeId="0">
      <text>
        <r>
          <rPr>
            <b/>
            <sz val="9"/>
            <color indexed="81"/>
            <rFont val="Tahoma"/>
            <family val="2"/>
          </rPr>
          <t>Luis Fernando Castro:</t>
        </r>
        <r>
          <rPr>
            <sz val="9"/>
            <color indexed="81"/>
            <rFont val="Tahoma"/>
            <family val="2"/>
          </rPr>
          <t xml:space="preserve">
El STARD debe mejoraral menos en un 30%</t>
        </r>
      </text>
    </comment>
    <comment ref="P46" authorId="0" shapeId="0">
      <text>
        <r>
          <rPr>
            <b/>
            <sz val="9"/>
            <color indexed="81"/>
            <rFont val="Tahoma"/>
            <family val="2"/>
          </rPr>
          <t>Luis Fernando Castro:</t>
        </r>
        <r>
          <rPr>
            <sz val="9"/>
            <color indexed="81"/>
            <rFont val="Tahoma"/>
            <family val="2"/>
          </rPr>
          <t xml:space="preserve">
No se reducirán puntos de vertimiento en el quinquenio</t>
        </r>
      </text>
    </comment>
    <comment ref="C48"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8" authorId="0" shapeId="0">
      <text>
        <r>
          <rPr>
            <b/>
            <sz val="9"/>
            <color indexed="81"/>
            <rFont val="Tahoma"/>
            <family val="2"/>
          </rPr>
          <t>Luis Fernando Castro:</t>
        </r>
        <r>
          <rPr>
            <sz val="9"/>
            <color indexed="81"/>
            <rFont val="Tahoma"/>
            <family val="2"/>
          </rPr>
          <t xml:space="preserve">
Linea base publicada en la Consulta</t>
        </r>
      </text>
    </comment>
    <comment ref="E48" authorId="0" shapeId="0">
      <text>
        <r>
          <rPr>
            <b/>
            <sz val="9"/>
            <color indexed="81"/>
            <rFont val="Tahoma"/>
            <family val="2"/>
          </rPr>
          <t>Luis Fernando Castro:</t>
        </r>
        <r>
          <rPr>
            <sz val="9"/>
            <color indexed="81"/>
            <rFont val="Tahoma"/>
            <family val="2"/>
          </rPr>
          <t xml:space="preserve">
Linea base publicada en la Consulta</t>
        </r>
      </text>
    </comment>
    <comment ref="F48"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1.006 %</t>
        </r>
      </text>
    </comment>
    <comment ref="J48" authorId="0" shapeId="0">
      <text>
        <r>
          <rPr>
            <b/>
            <sz val="9"/>
            <color indexed="81"/>
            <rFont val="Tahoma"/>
            <family val="2"/>
          </rPr>
          <t>Luis Fernando Castro:</t>
        </r>
        <r>
          <rPr>
            <sz val="9"/>
            <color indexed="81"/>
            <rFont val="Tahoma"/>
            <family val="2"/>
          </rPr>
          <t xml:space="preserve">
Requiere una remocion del 85% de la carga</t>
        </r>
      </text>
    </comment>
    <comment ref="K48"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1.006 %</t>
        </r>
      </text>
    </comment>
    <comment ref="O48" authorId="0" shapeId="0">
      <text>
        <r>
          <rPr>
            <b/>
            <sz val="9"/>
            <color indexed="81"/>
            <rFont val="Tahoma"/>
            <family val="2"/>
          </rPr>
          <t>Luis Fernando Castro:</t>
        </r>
        <r>
          <rPr>
            <sz val="9"/>
            <color indexed="81"/>
            <rFont val="Tahoma"/>
            <family val="2"/>
          </rPr>
          <t xml:space="preserve">
Requiere una remocion del 85% de la carga</t>
        </r>
      </text>
    </comment>
    <comment ref="C49"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49" authorId="0" shapeId="0">
      <text>
        <r>
          <rPr>
            <b/>
            <sz val="9"/>
            <color indexed="81"/>
            <rFont val="Tahoma"/>
            <family val="2"/>
          </rPr>
          <t>Luis Fernando Castro:</t>
        </r>
        <r>
          <rPr>
            <sz val="9"/>
            <color indexed="81"/>
            <rFont val="Tahoma"/>
            <family val="2"/>
          </rPr>
          <t xml:space="preserve">
Linea base publicada en la Consulta</t>
        </r>
      </text>
    </comment>
    <comment ref="E49" authorId="0" shapeId="0">
      <text>
        <r>
          <rPr>
            <b/>
            <sz val="9"/>
            <color indexed="81"/>
            <rFont val="Tahoma"/>
            <family val="2"/>
          </rPr>
          <t>Luis Fernando Castro:</t>
        </r>
        <r>
          <rPr>
            <sz val="9"/>
            <color indexed="81"/>
            <rFont val="Tahoma"/>
            <family val="2"/>
          </rPr>
          <t xml:space="preserve">
Linea base publicada en la Consulta</t>
        </r>
      </text>
    </comment>
    <comment ref="F49"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1.006 %</t>
        </r>
      </text>
    </comment>
    <comment ref="K49"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1.006 %</t>
        </r>
      </text>
    </comment>
    <comment ref="P49" authorId="0" shapeId="0">
      <text>
        <r>
          <rPr>
            <b/>
            <sz val="9"/>
            <color indexed="81"/>
            <rFont val="Tahoma"/>
            <family val="2"/>
          </rPr>
          <t>Luis Fernando Castro:</t>
        </r>
        <r>
          <rPr>
            <sz val="9"/>
            <color indexed="81"/>
            <rFont val="Tahoma"/>
            <family val="2"/>
          </rPr>
          <t xml:space="preserve">
No se reducirán puntos de vertimiento en el quinquenio</t>
        </r>
      </text>
    </comment>
    <comment ref="C50"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50" authorId="0" shapeId="0">
      <text>
        <r>
          <rPr>
            <b/>
            <sz val="9"/>
            <color indexed="81"/>
            <rFont val="Tahoma"/>
            <family val="2"/>
          </rPr>
          <t>Luis Fernando Castro:</t>
        </r>
        <r>
          <rPr>
            <sz val="9"/>
            <color indexed="81"/>
            <rFont val="Tahoma"/>
            <family val="2"/>
          </rPr>
          <t xml:space="preserve">
Linea base publicada en la Consulta</t>
        </r>
      </text>
    </comment>
    <comment ref="E50" authorId="0" shapeId="0">
      <text>
        <r>
          <rPr>
            <b/>
            <sz val="9"/>
            <color indexed="81"/>
            <rFont val="Tahoma"/>
            <family val="2"/>
          </rPr>
          <t>Luis Fernando Castro:</t>
        </r>
        <r>
          <rPr>
            <sz val="9"/>
            <color indexed="81"/>
            <rFont val="Tahoma"/>
            <family val="2"/>
          </rPr>
          <t xml:space="preserve">
Linea base publicada en la Consulta</t>
        </r>
      </text>
    </comment>
    <comment ref="F50"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1.006 %</t>
        </r>
      </text>
    </comment>
    <comment ref="J50"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50"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1.006 %</t>
        </r>
      </text>
    </comment>
    <comment ref="O50"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50" authorId="0" shapeId="0">
      <text>
        <r>
          <rPr>
            <b/>
            <sz val="9"/>
            <color indexed="81"/>
            <rFont val="Tahoma"/>
            <family val="2"/>
          </rPr>
          <t>Luis Fernando Castro:</t>
        </r>
        <r>
          <rPr>
            <sz val="9"/>
            <color indexed="81"/>
            <rFont val="Tahoma"/>
            <family val="2"/>
          </rPr>
          <t xml:space="preserve">
No se reducirán puntos de vertimiento en el quinquenio</t>
        </r>
      </text>
    </comment>
    <comment ref="C52" authorId="0" shapeId="0">
      <text>
        <r>
          <rPr>
            <b/>
            <sz val="9"/>
            <color indexed="81"/>
            <rFont val="Tahoma"/>
            <family val="2"/>
          </rPr>
          <t>Luis Fernando Castro:</t>
        </r>
        <r>
          <rPr>
            <sz val="9"/>
            <color indexed="81"/>
            <rFont val="Tahoma"/>
            <family val="2"/>
          </rPr>
          <t xml:space="preserve">
Presenta problemas, pero con inconsistenciasen calculos de reducciones.</t>
        </r>
      </text>
    </comment>
    <comment ref="H52" authorId="0" shapeId="0">
      <text>
        <r>
          <rPr>
            <b/>
            <sz val="9"/>
            <color indexed="81"/>
            <rFont val="Tahoma"/>
            <family val="2"/>
          </rPr>
          <t>Luis Fernando Castro:</t>
        </r>
        <r>
          <rPr>
            <sz val="9"/>
            <color indexed="81"/>
            <rFont val="Tahoma"/>
            <family val="2"/>
          </rPr>
          <t xml:space="preserve">
Corregida de acuerdo a factores de crecimiento y reducciones inidcados por el porponente para los tres ultimos años del quinquenio</t>
        </r>
      </text>
    </comment>
    <comment ref="I52" authorId="0" shapeId="0">
      <text>
        <r>
          <rPr>
            <b/>
            <sz val="9"/>
            <color indexed="81"/>
            <rFont val="Tahoma"/>
            <family val="2"/>
          </rPr>
          <t>Luis Fernando Castro:</t>
        </r>
        <r>
          <rPr>
            <sz val="9"/>
            <color indexed="81"/>
            <rFont val="Tahoma"/>
            <family val="2"/>
          </rPr>
          <t xml:space="preserve">
Corregida de acuerdo a factores de crecimiento y reducciones inidcados por el porponente para los tres ultimos años del quinquenio</t>
        </r>
      </text>
    </comment>
    <comment ref="J52" authorId="0" shapeId="0">
      <text>
        <r>
          <rPr>
            <b/>
            <sz val="9"/>
            <color indexed="81"/>
            <rFont val="Tahoma"/>
            <family val="2"/>
          </rPr>
          <t>Luis Fernando Castro:</t>
        </r>
        <r>
          <rPr>
            <sz val="9"/>
            <color indexed="81"/>
            <rFont val="Tahoma"/>
            <family val="2"/>
          </rPr>
          <t xml:space="preserve">
Corregida de acuerdo a factores de crecimiento y reducciones inidcados por el porponente para los tres ultimos años del quinquenio</t>
        </r>
      </text>
    </comment>
    <comment ref="C53"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53" authorId="0" shapeId="0">
      <text>
        <r>
          <rPr>
            <b/>
            <sz val="9"/>
            <color indexed="81"/>
            <rFont val="Tahoma"/>
            <family val="2"/>
          </rPr>
          <t>Luis Fernando Castro:</t>
        </r>
        <r>
          <rPr>
            <sz val="9"/>
            <color indexed="81"/>
            <rFont val="Tahoma"/>
            <family val="2"/>
          </rPr>
          <t xml:space="preserve">
Linea base publicada en la Consulta</t>
        </r>
      </text>
    </comment>
    <comment ref="E53" authorId="0" shapeId="0">
      <text>
        <r>
          <rPr>
            <b/>
            <sz val="9"/>
            <color indexed="81"/>
            <rFont val="Tahoma"/>
            <family val="2"/>
          </rPr>
          <t>Luis Fernando Castro:</t>
        </r>
        <r>
          <rPr>
            <sz val="9"/>
            <color indexed="81"/>
            <rFont val="Tahoma"/>
            <family val="2"/>
          </rPr>
          <t xml:space="preserve">
Linea base publicada en la Consulta</t>
        </r>
      </text>
    </comment>
    <comment ref="F53"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1.028 %</t>
        </r>
      </text>
    </comment>
    <comment ref="J53"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53"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1.028 %</t>
        </r>
      </text>
    </comment>
    <comment ref="O53"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53" authorId="0" shapeId="0">
      <text>
        <r>
          <rPr>
            <b/>
            <sz val="9"/>
            <color indexed="81"/>
            <rFont val="Tahoma"/>
            <family val="2"/>
          </rPr>
          <t>Luis Fernando Castro:</t>
        </r>
        <r>
          <rPr>
            <sz val="9"/>
            <color indexed="81"/>
            <rFont val="Tahoma"/>
            <family val="2"/>
          </rPr>
          <t xml:space="preserve">
No se reducirán puntos de vertimiento en el quinquenio</t>
        </r>
      </text>
    </comment>
    <comment ref="C54"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54" authorId="0" shapeId="0">
      <text>
        <r>
          <rPr>
            <b/>
            <sz val="9"/>
            <color indexed="81"/>
            <rFont val="Tahoma"/>
            <family val="2"/>
          </rPr>
          <t>Luis Fernando Castro:</t>
        </r>
        <r>
          <rPr>
            <sz val="9"/>
            <color indexed="81"/>
            <rFont val="Tahoma"/>
            <family val="2"/>
          </rPr>
          <t xml:space="preserve">
Linea base publicada en la Consulta</t>
        </r>
      </text>
    </comment>
    <comment ref="E54" authorId="0" shapeId="0">
      <text>
        <r>
          <rPr>
            <b/>
            <sz val="9"/>
            <color indexed="81"/>
            <rFont val="Tahoma"/>
            <family val="2"/>
          </rPr>
          <t>Luis Fernando Castro:</t>
        </r>
        <r>
          <rPr>
            <sz val="9"/>
            <color indexed="81"/>
            <rFont val="Tahoma"/>
            <family val="2"/>
          </rPr>
          <t xml:space="preserve">
Linea base publicada en la Consulta</t>
        </r>
      </text>
    </comment>
    <comment ref="F5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1.028 %</t>
        </r>
      </text>
    </comment>
    <comment ref="J54"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5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1.028 %</t>
        </r>
      </text>
    </comment>
    <comment ref="O54"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54" authorId="0" shapeId="0">
      <text>
        <r>
          <rPr>
            <b/>
            <sz val="9"/>
            <color indexed="81"/>
            <rFont val="Tahoma"/>
            <family val="2"/>
          </rPr>
          <t>Luis Fernando Castro:</t>
        </r>
        <r>
          <rPr>
            <sz val="9"/>
            <color indexed="81"/>
            <rFont val="Tahoma"/>
            <family val="2"/>
          </rPr>
          <t xml:space="preserve">
No se reducirán puntos de vertimiento en el quinquenio</t>
        </r>
      </text>
    </comment>
    <comment ref="C56"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56" authorId="0" shapeId="0">
      <text>
        <r>
          <rPr>
            <b/>
            <sz val="9"/>
            <color indexed="81"/>
            <rFont val="Tahoma"/>
            <family val="2"/>
          </rPr>
          <t>Luis Fernando Castro:</t>
        </r>
        <r>
          <rPr>
            <sz val="9"/>
            <color indexed="81"/>
            <rFont val="Tahoma"/>
            <family val="2"/>
          </rPr>
          <t xml:space="preserve">
Linea base publicada en la Consulta</t>
        </r>
      </text>
    </comment>
    <comment ref="E56" authorId="0" shapeId="0">
      <text>
        <r>
          <rPr>
            <b/>
            <sz val="9"/>
            <color indexed="81"/>
            <rFont val="Tahoma"/>
            <family val="2"/>
          </rPr>
          <t>Luis Fernando Castro:</t>
        </r>
        <r>
          <rPr>
            <sz val="9"/>
            <color indexed="81"/>
            <rFont val="Tahoma"/>
            <family val="2"/>
          </rPr>
          <t xml:space="preserve">
Linea base publicada en la Consulta</t>
        </r>
      </text>
    </comment>
    <comment ref="F56"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1.024 %</t>
        </r>
      </text>
    </comment>
    <comment ref="J56" authorId="0" shapeId="0">
      <text>
        <r>
          <rPr>
            <b/>
            <sz val="9"/>
            <color indexed="81"/>
            <rFont val="Tahoma"/>
            <family val="2"/>
          </rPr>
          <t>Luis Fernando Castro:</t>
        </r>
        <r>
          <rPr>
            <sz val="9"/>
            <color indexed="81"/>
            <rFont val="Tahoma"/>
            <family val="2"/>
          </rPr>
          <t xml:space="preserve">
Requiere una remocion del 80% de la carga</t>
        </r>
      </text>
    </comment>
    <comment ref="K56"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1.024 %</t>
        </r>
      </text>
    </comment>
    <comment ref="C57"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57" authorId="0" shapeId="0">
      <text>
        <r>
          <rPr>
            <b/>
            <sz val="9"/>
            <color indexed="81"/>
            <rFont val="Tahoma"/>
            <family val="2"/>
          </rPr>
          <t>Luis Fernando Castro:</t>
        </r>
        <r>
          <rPr>
            <sz val="9"/>
            <color indexed="81"/>
            <rFont val="Tahoma"/>
            <family val="2"/>
          </rPr>
          <t xml:space="preserve">
Linea base publicada en la Consulta</t>
        </r>
      </text>
    </comment>
    <comment ref="E57" authorId="0" shapeId="0">
      <text>
        <r>
          <rPr>
            <b/>
            <sz val="9"/>
            <color indexed="81"/>
            <rFont val="Tahoma"/>
            <family val="2"/>
          </rPr>
          <t>Luis Fernando Castro:</t>
        </r>
        <r>
          <rPr>
            <sz val="9"/>
            <color indexed="81"/>
            <rFont val="Tahoma"/>
            <family val="2"/>
          </rPr>
          <t xml:space="preserve">
Linea base publicada en la Consulta</t>
        </r>
      </text>
    </comment>
    <comment ref="F57"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1.024 %</t>
        </r>
      </text>
    </comment>
    <comment ref="J57"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57"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1.024 %</t>
        </r>
      </text>
    </comment>
    <comment ref="O57"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57" authorId="0" shapeId="0">
      <text>
        <r>
          <rPr>
            <b/>
            <sz val="9"/>
            <color indexed="81"/>
            <rFont val="Tahoma"/>
            <family val="2"/>
          </rPr>
          <t>Luis Fernando Castro:</t>
        </r>
        <r>
          <rPr>
            <sz val="9"/>
            <color indexed="81"/>
            <rFont val="Tahoma"/>
            <family val="2"/>
          </rPr>
          <t xml:space="preserve">
No se reducirán puntos de vertimiento en el quinquenio</t>
        </r>
      </text>
    </comment>
    <comment ref="C59"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59"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E59"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F59"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1.009 %</t>
        </r>
      </text>
    </comment>
    <comment ref="J59" authorId="0" shapeId="0">
      <text>
        <r>
          <rPr>
            <b/>
            <sz val="9"/>
            <color indexed="81"/>
            <rFont val="Tahoma"/>
            <family val="2"/>
          </rPr>
          <t>Luis Fernando Castro:</t>
        </r>
        <r>
          <rPr>
            <sz val="9"/>
            <color indexed="81"/>
            <rFont val="Tahoma"/>
            <family val="2"/>
          </rPr>
          <t xml:space="preserve">
Requiere mejorar la eficiencia del STAR al menos en un 30%</t>
        </r>
      </text>
    </comment>
    <comment ref="K59"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1.009 %</t>
        </r>
      </text>
    </comment>
    <comment ref="O59" authorId="0" shapeId="0">
      <text>
        <r>
          <rPr>
            <b/>
            <sz val="9"/>
            <color indexed="81"/>
            <rFont val="Tahoma"/>
            <family val="2"/>
          </rPr>
          <t>Luis Fernando Castro:</t>
        </r>
        <r>
          <rPr>
            <sz val="9"/>
            <color indexed="81"/>
            <rFont val="Tahoma"/>
            <family val="2"/>
          </rPr>
          <t xml:space="preserve">
Requiere mejorar la eficiencia del STAR al menos en un 30%</t>
        </r>
      </text>
    </comment>
    <comment ref="P59" authorId="0" shapeId="0">
      <text>
        <r>
          <rPr>
            <b/>
            <sz val="9"/>
            <color indexed="81"/>
            <rFont val="Tahoma"/>
            <family val="2"/>
          </rPr>
          <t>Luis Fernando Castro:</t>
        </r>
        <r>
          <rPr>
            <sz val="9"/>
            <color indexed="81"/>
            <rFont val="Tahoma"/>
            <family val="2"/>
          </rPr>
          <t xml:space="preserve">
No se reducirán puntos de vertimiento en el quinquenio</t>
        </r>
      </text>
    </comment>
    <comment ref="C60"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60"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E60"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F60"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1.022 %</t>
        </r>
      </text>
    </comment>
    <comment ref="J60" authorId="0" shapeId="0">
      <text>
        <r>
          <rPr>
            <b/>
            <sz val="9"/>
            <color indexed="81"/>
            <rFont val="Tahoma"/>
            <family val="2"/>
          </rPr>
          <t>Luis Fernando Castro:</t>
        </r>
        <r>
          <rPr>
            <sz val="9"/>
            <color indexed="81"/>
            <rFont val="Tahoma"/>
            <family val="2"/>
          </rPr>
          <t xml:space="preserve">
El STAR no funciona adecuadamente. Requiere mejorar en un 80% su efiiencia de remoción de carga</t>
        </r>
      </text>
    </comment>
    <comment ref="K60"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1.022 %</t>
        </r>
      </text>
    </comment>
    <comment ref="O60" authorId="0" shapeId="0">
      <text>
        <r>
          <rPr>
            <b/>
            <sz val="9"/>
            <color indexed="81"/>
            <rFont val="Tahoma"/>
            <family val="2"/>
          </rPr>
          <t>Luis Fernando Castro:</t>
        </r>
        <r>
          <rPr>
            <sz val="9"/>
            <color indexed="81"/>
            <rFont val="Tahoma"/>
            <family val="2"/>
          </rPr>
          <t xml:space="preserve">
El STAR no funciona adecuadamente. Requiere mejorar en un 80% su efiiencia de remoción de carga</t>
        </r>
      </text>
    </comment>
    <comment ref="P60" authorId="0" shapeId="0">
      <text>
        <r>
          <rPr>
            <b/>
            <sz val="9"/>
            <color indexed="81"/>
            <rFont val="Tahoma"/>
            <family val="2"/>
          </rPr>
          <t>Luis Fernando Castro:</t>
        </r>
        <r>
          <rPr>
            <sz val="9"/>
            <color indexed="81"/>
            <rFont val="Tahoma"/>
            <family val="2"/>
          </rPr>
          <t xml:space="preserve">
No se reducirán puntos de vertimiento en el quinquenio</t>
        </r>
      </text>
    </comment>
    <comment ref="C61"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61"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E61"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F61"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1.022 %</t>
        </r>
      </text>
    </comment>
    <comment ref="J61" authorId="0" shapeId="0">
      <text>
        <r>
          <rPr>
            <b/>
            <sz val="9"/>
            <color indexed="81"/>
            <rFont val="Tahoma"/>
            <family val="2"/>
          </rPr>
          <t>Luis Fernando Castro:</t>
        </r>
        <r>
          <rPr>
            <sz val="9"/>
            <color indexed="81"/>
            <rFont val="Tahoma"/>
            <family val="2"/>
          </rPr>
          <t xml:space="preserve">
El STAR no funciona adecuadamente. Requiere mejorar en un 30% su efiiencia de remoción de carga</t>
        </r>
      </text>
    </comment>
    <comment ref="K61"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1.022 %</t>
        </r>
      </text>
    </comment>
    <comment ref="O61" authorId="0" shapeId="0">
      <text>
        <r>
          <rPr>
            <b/>
            <sz val="9"/>
            <color indexed="81"/>
            <rFont val="Tahoma"/>
            <family val="2"/>
          </rPr>
          <t>Luis Fernando Castro:</t>
        </r>
        <r>
          <rPr>
            <sz val="9"/>
            <color indexed="81"/>
            <rFont val="Tahoma"/>
            <family val="2"/>
          </rPr>
          <t xml:space="preserve">
El STAR no funciona adecuadamente. Requiere mejorar en un 30% su efiiencia de remoción de carga</t>
        </r>
      </text>
    </comment>
    <comment ref="P61" authorId="0" shapeId="0">
      <text>
        <r>
          <rPr>
            <b/>
            <sz val="9"/>
            <color indexed="81"/>
            <rFont val="Tahoma"/>
            <family val="2"/>
          </rPr>
          <t>Luis Fernando Castro:</t>
        </r>
        <r>
          <rPr>
            <sz val="9"/>
            <color indexed="81"/>
            <rFont val="Tahoma"/>
            <family val="2"/>
          </rPr>
          <t xml:space="preserve">
No se reducirán puntos de vertimiento en el quinquenio</t>
        </r>
      </text>
    </comment>
    <comment ref="C62"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62"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E62"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F62"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1.022 %</t>
        </r>
      </text>
    </comment>
    <comment ref="J62" authorId="0" shapeId="0">
      <text>
        <r>
          <rPr>
            <b/>
            <sz val="9"/>
            <color indexed="81"/>
            <rFont val="Tahoma"/>
            <family val="2"/>
          </rPr>
          <t>Luis Fernando Castro:</t>
        </r>
        <r>
          <rPr>
            <sz val="9"/>
            <color indexed="81"/>
            <rFont val="Tahoma"/>
            <family val="2"/>
          </rPr>
          <t xml:space="preserve">
El STAR no funciona adecuadamente. Requiere mejorar en un 50% su efiiencia de remoción de carga</t>
        </r>
      </text>
    </comment>
    <comment ref="K62"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1.022 %</t>
        </r>
      </text>
    </comment>
    <comment ref="O62" authorId="0" shapeId="0">
      <text>
        <r>
          <rPr>
            <b/>
            <sz val="9"/>
            <color indexed="81"/>
            <rFont val="Tahoma"/>
            <family val="2"/>
          </rPr>
          <t>Luis Fernando Castro:</t>
        </r>
        <r>
          <rPr>
            <sz val="9"/>
            <color indexed="81"/>
            <rFont val="Tahoma"/>
            <family val="2"/>
          </rPr>
          <t xml:space="preserve">
El STAR no funciona adecuadamente. Requiere mejorar en un 50% su efiiencia de remoción de carga</t>
        </r>
      </text>
    </comment>
    <comment ref="P62" authorId="0" shapeId="0">
      <text>
        <r>
          <rPr>
            <b/>
            <sz val="9"/>
            <color indexed="81"/>
            <rFont val="Tahoma"/>
            <family val="2"/>
          </rPr>
          <t>Luis Fernando Castro:</t>
        </r>
        <r>
          <rPr>
            <sz val="9"/>
            <color indexed="81"/>
            <rFont val="Tahoma"/>
            <family val="2"/>
          </rPr>
          <t xml:space="preserve">
No se reducirán puntos de vertimiento en el quinquenio</t>
        </r>
      </text>
    </comment>
    <comment ref="C64" authorId="0" shapeId="0">
      <text>
        <r>
          <rPr>
            <b/>
            <sz val="9"/>
            <color indexed="81"/>
            <rFont val="Tahoma"/>
            <family val="2"/>
          </rPr>
          <t>Luis Fernando Castro:</t>
        </r>
        <r>
          <rPr>
            <sz val="9"/>
            <color indexed="81"/>
            <rFont val="Tahoma"/>
            <family val="2"/>
          </rPr>
          <t xml:space="preserve">
No presenta propuesta. Se establece con base en estudios de calidad de la descarga adelantados por CORPOCESAR</t>
        </r>
      </text>
    </comment>
    <comment ref="D64"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E64" authorId="0" shapeId="0">
      <text>
        <r>
          <rPr>
            <b/>
            <sz val="9"/>
            <color indexed="81"/>
            <rFont val="Tahoma"/>
            <family val="2"/>
          </rPr>
          <t>Luis Fernando Castro:</t>
        </r>
        <r>
          <rPr>
            <sz val="9"/>
            <color indexed="81"/>
            <rFont val="Tahoma"/>
            <family val="2"/>
          </rPr>
          <t xml:space="preserve">
Se asume como carga base la recientemente monitoreada por la corporación</t>
        </r>
      </text>
    </comment>
    <comment ref="F6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1.015 %</t>
        </r>
      </text>
    </comment>
    <comment ref="J64" authorId="0" shapeId="0">
      <text>
        <r>
          <rPr>
            <b/>
            <sz val="9"/>
            <color indexed="81"/>
            <rFont val="Tahoma"/>
            <family val="2"/>
          </rPr>
          <t>Luis Fernando Castro:</t>
        </r>
        <r>
          <rPr>
            <sz val="9"/>
            <color indexed="81"/>
            <rFont val="Tahoma"/>
            <family val="2"/>
          </rPr>
          <t xml:space="preserve">
El STAR no funciona adecuadamente. Requiere mejorar en un 80% su efiiencia de remoción de carga de DBO5</t>
        </r>
      </text>
    </comment>
    <comment ref="K64"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1.015 %</t>
        </r>
      </text>
    </comment>
    <comment ref="O64" authorId="0" shapeId="0">
      <text>
        <r>
          <rPr>
            <b/>
            <sz val="9"/>
            <color indexed="81"/>
            <rFont val="Tahoma"/>
            <family val="2"/>
          </rPr>
          <t>Luis Fernando Castro:</t>
        </r>
        <r>
          <rPr>
            <sz val="9"/>
            <color indexed="81"/>
            <rFont val="Tahoma"/>
            <family val="2"/>
          </rPr>
          <t xml:space="preserve">
El STAR no funciona adecuadamente. Requiere mejorar en un 50% su efiiencia de remoción de carga de SST</t>
        </r>
      </text>
    </comment>
    <comment ref="P64" authorId="0" shapeId="0">
      <text>
        <r>
          <rPr>
            <b/>
            <sz val="9"/>
            <color indexed="81"/>
            <rFont val="Tahoma"/>
            <family val="2"/>
          </rPr>
          <t>Luis Fernando Castro:</t>
        </r>
        <r>
          <rPr>
            <sz val="9"/>
            <color indexed="81"/>
            <rFont val="Tahoma"/>
            <family val="2"/>
          </rPr>
          <t xml:space="preserve">
No se reducirán puntos de vertimiento en el quinquenio</t>
        </r>
      </text>
    </comment>
    <comment ref="C65" authorId="0" shapeId="0">
      <text>
        <r>
          <rPr>
            <b/>
            <sz val="9"/>
            <color indexed="81"/>
            <rFont val="Tahoma"/>
            <family val="2"/>
          </rPr>
          <t>Luis Fernando Castro:</t>
        </r>
        <r>
          <rPr>
            <sz val="9"/>
            <color indexed="81"/>
            <rFont val="Tahoma"/>
            <family val="2"/>
          </rPr>
          <t xml:space="preserve">
No presenta propuesta. Se establecen cargas y metas  con base en estudios de calidad de la descarga adelantados por CORPOCESAR</t>
        </r>
      </text>
    </comment>
    <comment ref="D65" authorId="0" shapeId="0">
      <text>
        <r>
          <rPr>
            <b/>
            <sz val="9"/>
            <color indexed="81"/>
            <rFont val="Tahoma"/>
            <family val="2"/>
          </rPr>
          <t>Luis Fernando Castro:</t>
        </r>
        <r>
          <rPr>
            <sz val="9"/>
            <color indexed="81"/>
            <rFont val="Tahoma"/>
            <family val="2"/>
          </rPr>
          <t xml:space="preserve">
Linea base publicada en la Consulta</t>
        </r>
      </text>
    </comment>
    <comment ref="E65" authorId="0" shapeId="0">
      <text>
        <r>
          <rPr>
            <b/>
            <sz val="9"/>
            <color indexed="81"/>
            <rFont val="Tahoma"/>
            <family val="2"/>
          </rPr>
          <t>Luis Fernando Castro:</t>
        </r>
        <r>
          <rPr>
            <sz val="9"/>
            <color indexed="81"/>
            <rFont val="Tahoma"/>
            <family val="2"/>
          </rPr>
          <t xml:space="preserve">
Linea base publicada en la Consulta</t>
        </r>
      </text>
    </comment>
    <comment ref="F65"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1.015 %</t>
        </r>
      </text>
    </comment>
    <comment ref="J65"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65"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1.015 %</t>
        </r>
      </text>
    </comment>
    <comment ref="O65"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65" authorId="0" shapeId="0">
      <text>
        <r>
          <rPr>
            <b/>
            <sz val="9"/>
            <color indexed="81"/>
            <rFont val="Tahoma"/>
            <family val="2"/>
          </rPr>
          <t>Luis Fernando Castro:</t>
        </r>
        <r>
          <rPr>
            <sz val="9"/>
            <color indexed="81"/>
            <rFont val="Tahoma"/>
            <family val="2"/>
          </rPr>
          <t xml:space="preserve">
No se reducirán puntos de vertimiento en el quinquenio</t>
        </r>
      </text>
    </comment>
    <comment ref="C66" authorId="0" shapeId="0">
      <text>
        <r>
          <rPr>
            <b/>
            <sz val="9"/>
            <color indexed="81"/>
            <rFont val="Tahoma"/>
            <family val="2"/>
          </rPr>
          <t>Luis Fernando No presenta propuesta. Se establecen cargas y metas  con base en estudios de calidad de la descarga adelantados por CORPOCESARCastro:</t>
        </r>
        <r>
          <rPr>
            <sz val="9"/>
            <color indexed="81"/>
            <rFont val="Tahoma"/>
            <family val="2"/>
          </rPr>
          <t xml:space="preserve">
</t>
        </r>
      </text>
    </comment>
    <comment ref="D66" authorId="0" shapeId="0">
      <text>
        <r>
          <rPr>
            <b/>
            <sz val="9"/>
            <color indexed="81"/>
            <rFont val="Tahoma"/>
            <family val="2"/>
          </rPr>
          <t>Luis Fernando Castro:</t>
        </r>
        <r>
          <rPr>
            <sz val="9"/>
            <color indexed="81"/>
            <rFont val="Tahoma"/>
            <family val="2"/>
          </rPr>
          <t xml:space="preserve">
Los resultados de la ultima carcterizacion reortan caudales suoeriores a los 1500 l/s, los cuales no corresponden con el tamaño de este centro poblado y por eso, es necesario hacer un estimado de caudales y cargas con base en un dato de pobacion. de las consultas en la WEB, se obtiene una poblacion cercana a las 1000 personas. de los textos especializados ( MADS, 2006 con base en EEPPMM 1982) se obtiene un modulo de carga percapita de 0.045 kg/hab - dias de DBO5 Y 0,043 kg/h-d para SST.</t>
        </r>
      </text>
    </comment>
    <comment ref="E66" authorId="0" shapeId="0">
      <text>
        <r>
          <rPr>
            <b/>
            <sz val="9"/>
            <color indexed="81"/>
            <rFont val="Tahoma"/>
            <family val="2"/>
          </rPr>
          <t>Luis Fernando Castro:</t>
        </r>
        <r>
          <rPr>
            <sz val="9"/>
            <color indexed="81"/>
            <rFont val="Tahoma"/>
            <family val="2"/>
          </rPr>
          <t xml:space="preserve">
Una poblacion estimada de 1000 personas y un modulo de acrga percapita de 0.043 kg/hab - dias de SST</t>
        </r>
      </text>
    </comment>
    <comment ref="F66"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1.015 %</t>
        </r>
      </text>
    </comment>
    <comment ref="J66"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66" authorId="0" shapeId="0">
      <text>
        <r>
          <rPr>
            <b/>
            <sz val="9"/>
            <color indexed="81"/>
            <rFont val="Tahoma"/>
            <family val="2"/>
          </rPr>
          <t>Luis Fernando Castro:</t>
        </r>
        <r>
          <rPr>
            <sz val="9"/>
            <color indexed="81"/>
            <rFont val="Tahoma"/>
            <family val="2"/>
          </rPr>
          <t xml:space="preserve">
Incremento de la carga con base en el incremento de la poblacion de acuedo con el inidce del DANE: 1.015 %</t>
        </r>
      </text>
    </comment>
    <comment ref="O66"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66" authorId="0" shapeId="0">
      <text>
        <r>
          <rPr>
            <b/>
            <sz val="9"/>
            <color indexed="81"/>
            <rFont val="Tahoma"/>
            <family val="2"/>
          </rPr>
          <t>Luis Fernando Castro:</t>
        </r>
        <r>
          <rPr>
            <sz val="9"/>
            <color indexed="81"/>
            <rFont val="Tahoma"/>
            <family val="2"/>
          </rPr>
          <t xml:space="preserve">
No se reducirán puntos de vertimiento en el quinquenio</t>
        </r>
      </text>
    </comment>
    <comment ref="C68" authorId="0" shapeId="0">
      <text>
        <r>
          <rPr>
            <b/>
            <sz val="9"/>
            <color indexed="81"/>
            <rFont val="Tahoma"/>
            <family val="2"/>
          </rPr>
          <t>Luis Fernando Castro:</t>
        </r>
        <r>
          <rPr>
            <sz val="9"/>
            <color indexed="81"/>
            <rFont val="Tahoma"/>
            <family val="2"/>
          </rPr>
          <t xml:space="preserve">
No presenta propuesta. La meta se impone a partir de los datos de la linea base publicada en la consulta y con referencia  a 2013.</t>
        </r>
      </text>
    </comment>
    <comment ref="F68" authorId="0" shapeId="0">
      <text>
        <r>
          <rPr>
            <b/>
            <sz val="9"/>
            <color indexed="81"/>
            <rFont val="Tahoma"/>
            <family val="2"/>
          </rPr>
          <t>Luis Fernando Castro:</t>
        </r>
        <r>
          <rPr>
            <sz val="9"/>
            <color indexed="81"/>
            <rFont val="Tahoma"/>
            <family val="2"/>
          </rPr>
          <t xml:space="preserve">
Cargas incrementadas vegetativamente a una tasa DANE del 0.026 (2.6%)</t>
        </r>
      </text>
    </comment>
    <comment ref="J68" authorId="0" shapeId="0">
      <text>
        <r>
          <rPr>
            <b/>
            <sz val="9"/>
            <color indexed="81"/>
            <rFont val="Tahoma"/>
            <family val="2"/>
          </rPr>
          <t>Luis Fernando Castro:</t>
        </r>
        <r>
          <rPr>
            <sz val="9"/>
            <color indexed="81"/>
            <rFont val="Tahoma"/>
            <family val="2"/>
          </rPr>
          <t xml:space="preserve">
SE IMPONE UNA REDUCCION DEL 40% AL FINAL DEL QUINQUENIO PARA AMBAS SUSTANCIAS</t>
        </r>
      </text>
    </comment>
    <comment ref="O68" authorId="0" shapeId="0">
      <text>
        <r>
          <rPr>
            <b/>
            <sz val="9"/>
            <color indexed="81"/>
            <rFont val="Tahoma"/>
            <family val="2"/>
          </rPr>
          <t>Luis Fernando Castro:</t>
        </r>
        <r>
          <rPr>
            <sz val="9"/>
            <color indexed="81"/>
            <rFont val="Tahoma"/>
            <family val="2"/>
          </rPr>
          <t xml:space="preserve">
SE IMPONE UNA REDUCCION DEL 40% AL FINAL DEL QUINQUENIO PARA AMBAS SUSTANCIAS</t>
        </r>
      </text>
    </comment>
    <comment ref="C69" authorId="0" shapeId="0">
      <text>
        <r>
          <rPr>
            <b/>
            <sz val="9"/>
            <color indexed="81"/>
            <rFont val="Tahoma"/>
            <family val="2"/>
          </rPr>
          <t>Luis Fernando Castro:</t>
        </r>
        <r>
          <rPr>
            <sz val="9"/>
            <color indexed="81"/>
            <rFont val="Tahoma"/>
            <family val="2"/>
          </rPr>
          <t xml:space="preserve">
Presenta propuesta de  metas sobre una base de reduccionde cargas actuales en su STAR equivalente al 50% para DBO5 y SST</t>
        </r>
      </text>
    </comment>
    <comment ref="F69" authorId="0" shapeId="0">
      <text>
        <r>
          <rPr>
            <b/>
            <sz val="9"/>
            <color indexed="81"/>
            <rFont val="Tahoma"/>
            <family val="2"/>
          </rPr>
          <t>Luis Fernando Castro:</t>
        </r>
        <r>
          <rPr>
            <sz val="9"/>
            <color indexed="81"/>
            <rFont val="Tahoma"/>
            <family val="2"/>
          </rPr>
          <t xml:space="preserve">
Informacion tomada sin cambios del formulario de la propuesta de metas manejado en la Consulta</t>
        </r>
      </text>
    </comment>
    <comment ref="J69" authorId="0" shapeId="0">
      <text>
        <r>
          <rPr>
            <b/>
            <sz val="9"/>
            <color indexed="81"/>
            <rFont val="Tahoma"/>
            <family val="2"/>
          </rPr>
          <t>Luis Fernando Castro:</t>
        </r>
        <r>
          <rPr>
            <sz val="9"/>
            <color indexed="81"/>
            <rFont val="Tahoma"/>
            <family val="2"/>
          </rPr>
          <t xml:space="preserve">
Se acepta como resultado del mejoramiento del STAR</t>
        </r>
      </text>
    </comment>
    <comment ref="K69" authorId="0" shapeId="0">
      <text>
        <r>
          <rPr>
            <b/>
            <sz val="9"/>
            <color indexed="81"/>
            <rFont val="Tahoma"/>
            <family val="2"/>
          </rPr>
          <t>Luis Fernando Castro:</t>
        </r>
        <r>
          <rPr>
            <sz val="9"/>
            <color indexed="81"/>
            <rFont val="Tahoma"/>
            <family val="2"/>
          </rPr>
          <t xml:space="preserve">
Informacion tomada sin cambios del formulario de la propuesta de metas manejado en la Consulta</t>
        </r>
      </text>
    </comment>
    <comment ref="O69" authorId="0" shapeId="0">
      <text>
        <r>
          <rPr>
            <b/>
            <sz val="9"/>
            <color indexed="81"/>
            <rFont val="Tahoma"/>
            <family val="2"/>
          </rPr>
          <t>Luis Fernando Castro:</t>
        </r>
        <r>
          <rPr>
            <sz val="9"/>
            <color indexed="81"/>
            <rFont val="Tahoma"/>
            <family val="2"/>
          </rPr>
          <t xml:space="preserve">
Se acepta como resultado del emjoramiento del STAR</t>
        </r>
      </text>
    </comment>
    <comment ref="C71" authorId="0" shapeId="0">
      <text>
        <r>
          <rPr>
            <b/>
            <sz val="9"/>
            <color indexed="81"/>
            <rFont val="Tahoma"/>
            <family val="2"/>
          </rPr>
          <t>Luis Fernando Castro:</t>
        </r>
        <r>
          <rPr>
            <sz val="9"/>
            <color indexed="81"/>
            <rFont val="Tahoma"/>
            <family val="2"/>
          </rPr>
          <t xml:space="preserve">
No se presenta propuesta. Se calcualn crecimientos y reducciones con base en la mejor infomacion disponible en CORPOCESAR</t>
        </r>
      </text>
    </comment>
    <comment ref="D71" authorId="0" shapeId="0">
      <text>
        <r>
          <rPr>
            <b/>
            <sz val="9"/>
            <color indexed="81"/>
            <rFont val="Tahoma"/>
            <family val="2"/>
          </rPr>
          <t>Luis Fernando Castro:</t>
        </r>
        <r>
          <rPr>
            <sz val="9"/>
            <color indexed="81"/>
            <rFont val="Tahoma"/>
            <family val="2"/>
          </rPr>
          <t xml:space="preserve">
Publicada en la consulta de metas 2014 -2018</t>
        </r>
      </text>
    </comment>
    <comment ref="E71" authorId="0" shapeId="0">
      <text>
        <r>
          <rPr>
            <b/>
            <sz val="9"/>
            <color indexed="81"/>
            <rFont val="Tahoma"/>
            <family val="2"/>
          </rPr>
          <t>Luis Fernando Castro:</t>
        </r>
        <r>
          <rPr>
            <sz val="9"/>
            <color indexed="81"/>
            <rFont val="Tahoma"/>
            <family val="2"/>
          </rPr>
          <t xml:space="preserve">
Publicada en la consulta de metas 2014 -2018</t>
        </r>
      </text>
    </comment>
    <comment ref="F71" authorId="0" shapeId="0">
      <text>
        <r>
          <rPr>
            <b/>
            <sz val="9"/>
            <color indexed="81"/>
            <rFont val="Tahoma"/>
            <family val="2"/>
          </rPr>
          <t>Luis Fernando Castro:</t>
        </r>
        <r>
          <rPr>
            <sz val="9"/>
            <color indexed="81"/>
            <rFont val="Tahoma"/>
            <family val="2"/>
          </rPr>
          <t xml:space="preserve">
Crecimiento vegetativo 1,006% ( DANE, 2005)</t>
        </r>
      </text>
    </comment>
    <comment ref="J71" authorId="0" shapeId="0">
      <text>
        <r>
          <rPr>
            <b/>
            <sz val="9"/>
            <color indexed="81"/>
            <rFont val="Tahoma"/>
            <family val="2"/>
          </rPr>
          <t>Luis Fernando Castro:</t>
        </r>
        <r>
          <rPr>
            <sz val="9"/>
            <color indexed="81"/>
            <rFont val="Tahoma"/>
            <family val="2"/>
          </rPr>
          <t xml:space="preserve">
Se impone una meta de reduccion de cargas del 80%, dado que este municipio está muy retrasado en  el tema se sanemiento básico urbano. </t>
        </r>
      </text>
    </comment>
    <comment ref="K71" authorId="0" shapeId="0">
      <text>
        <r>
          <rPr>
            <b/>
            <sz val="9"/>
            <color indexed="81"/>
            <rFont val="Tahoma"/>
            <family val="2"/>
          </rPr>
          <t>Luis Fernando Castro:</t>
        </r>
        <r>
          <rPr>
            <sz val="9"/>
            <color indexed="81"/>
            <rFont val="Tahoma"/>
            <family val="2"/>
          </rPr>
          <t xml:space="preserve">
Crecimiento vegetativo 1,006% ( DANE, 2005)</t>
        </r>
      </text>
    </comment>
    <comment ref="O71" authorId="0" shapeId="0">
      <text>
        <r>
          <rPr>
            <b/>
            <sz val="9"/>
            <color indexed="81"/>
            <rFont val="Tahoma"/>
            <family val="2"/>
          </rPr>
          <t>Luis Fernando Castro:</t>
        </r>
        <r>
          <rPr>
            <sz val="9"/>
            <color indexed="81"/>
            <rFont val="Tahoma"/>
            <family val="2"/>
          </rPr>
          <t xml:space="preserve">
Se impone una meta de reduccion de cargas del 80%, dado que este municipio está muy retrasado en  el tema se sanemiento básico urbano</t>
        </r>
      </text>
    </comment>
    <comment ref="T71" authorId="0" shapeId="0">
      <text>
        <r>
          <rPr>
            <b/>
            <sz val="9"/>
            <color indexed="81"/>
            <rFont val="Tahoma"/>
            <family val="2"/>
          </rPr>
          <t>Luis Fernando Castro:</t>
        </r>
        <r>
          <rPr>
            <sz val="9"/>
            <color indexed="81"/>
            <rFont val="Tahoma"/>
            <family val="2"/>
          </rPr>
          <t xml:space="preserve">
dado que no reporta, se espera que la totalidadde puntos de evrtimiento sea eliminados al final del quinquenio</t>
        </r>
      </text>
    </comment>
    <comment ref="C72" authorId="0" shapeId="0">
      <text>
        <r>
          <rPr>
            <b/>
            <sz val="9"/>
            <color indexed="81"/>
            <rFont val="Tahoma"/>
            <family val="2"/>
          </rPr>
          <t>Luis Fernando Castro:</t>
        </r>
        <r>
          <rPr>
            <sz val="9"/>
            <color indexed="81"/>
            <rFont val="Tahoma"/>
            <family val="2"/>
          </rPr>
          <t xml:space="preserve">
No se presenta propuesta. Se calculan crecimientos y reducciones de cargas con base en la mejor infomacion disponible en CORPOCESAR</t>
        </r>
      </text>
    </comment>
    <comment ref="D72" authorId="0" shapeId="0">
      <text>
        <r>
          <rPr>
            <b/>
            <sz val="9"/>
            <color indexed="81"/>
            <rFont val="Tahoma"/>
            <family val="2"/>
          </rPr>
          <t>Luis Fernando Castro:</t>
        </r>
        <r>
          <rPr>
            <sz val="9"/>
            <color indexed="81"/>
            <rFont val="Tahoma"/>
            <family val="2"/>
          </rPr>
          <t xml:space="preserve">
Informacion del ultimo muestreo ralizado por CORPOCESAR</t>
        </r>
      </text>
    </comment>
    <comment ref="E72" authorId="0" shapeId="0">
      <text>
        <r>
          <rPr>
            <b/>
            <sz val="9"/>
            <color indexed="81"/>
            <rFont val="Tahoma"/>
            <family val="2"/>
          </rPr>
          <t>Luis Fernando Castro:</t>
        </r>
        <r>
          <rPr>
            <sz val="9"/>
            <color indexed="81"/>
            <rFont val="Tahoma"/>
            <family val="2"/>
          </rPr>
          <t xml:space="preserve">
Informacion del ultimo muestreo ralizado por CORPOCESAR</t>
        </r>
      </text>
    </comment>
    <comment ref="F72" authorId="0" shapeId="0">
      <text>
        <r>
          <rPr>
            <b/>
            <sz val="9"/>
            <color indexed="81"/>
            <rFont val="Tahoma"/>
            <family val="2"/>
          </rPr>
          <t>Luis Fernando Castro:</t>
        </r>
        <r>
          <rPr>
            <sz val="9"/>
            <color indexed="81"/>
            <rFont val="Tahoma"/>
            <family val="2"/>
          </rPr>
          <t xml:space="preserve">
Crecimiento vegetativo 1,006% ( DANE, 2005)</t>
        </r>
      </text>
    </comment>
    <comment ref="J72" authorId="0" shapeId="0">
      <text>
        <r>
          <rPr>
            <b/>
            <sz val="9"/>
            <color indexed="81"/>
            <rFont val="Tahoma"/>
            <family val="2"/>
          </rPr>
          <t>Luis Fernando Castro:</t>
        </r>
        <r>
          <rPr>
            <sz val="9"/>
            <color indexed="81"/>
            <rFont val="Tahoma"/>
            <family val="2"/>
          </rPr>
          <t xml:space="preserve">
De acuerdo con el ultimo monitoreo se debe mejorar la eficencia en remocionde carga de DBO5 en un 20%</t>
        </r>
      </text>
    </comment>
    <comment ref="K72" authorId="0" shapeId="0">
      <text>
        <r>
          <rPr>
            <b/>
            <sz val="9"/>
            <color indexed="81"/>
            <rFont val="Tahoma"/>
            <family val="2"/>
          </rPr>
          <t>Luis Fernando Castro:</t>
        </r>
        <r>
          <rPr>
            <sz val="9"/>
            <color indexed="81"/>
            <rFont val="Tahoma"/>
            <family val="2"/>
          </rPr>
          <t xml:space="preserve">
Crecimiento vegetativo 1,006% ( DANE, 2005)</t>
        </r>
      </text>
    </comment>
    <comment ref="O72" authorId="0" shapeId="0">
      <text>
        <r>
          <rPr>
            <b/>
            <sz val="9"/>
            <color indexed="81"/>
            <rFont val="Tahoma"/>
            <family val="2"/>
          </rPr>
          <t>Luis Fernando Castro:</t>
        </r>
        <r>
          <rPr>
            <sz val="9"/>
            <color indexed="81"/>
            <rFont val="Tahoma"/>
            <family val="2"/>
          </rPr>
          <t xml:space="preserve">
De acuerdo con el ultimo monitoreo se debe mejorar la eficencia en remocionde carga de SST en un 20%</t>
        </r>
      </text>
    </comment>
    <comment ref="P72" authorId="0" shapeId="0">
      <text>
        <r>
          <rPr>
            <b/>
            <sz val="9"/>
            <color indexed="81"/>
            <rFont val="Tahoma"/>
            <family val="2"/>
          </rPr>
          <t>Luis Fernando Castro:</t>
        </r>
        <r>
          <rPr>
            <sz val="9"/>
            <color indexed="81"/>
            <rFont val="Tahoma"/>
            <family val="2"/>
          </rPr>
          <t xml:space="preserve">
No se imponene metas superiores a cero, de reduccion de puntos de  vertimeinto </t>
        </r>
      </text>
    </comment>
    <comment ref="C73" authorId="0" shapeId="0">
      <text>
        <r>
          <rPr>
            <b/>
            <sz val="9"/>
            <color indexed="81"/>
            <rFont val="Tahoma"/>
            <family val="2"/>
          </rPr>
          <t>Luis Fernando Castro:</t>
        </r>
        <r>
          <rPr>
            <sz val="9"/>
            <color indexed="81"/>
            <rFont val="Tahoma"/>
            <family val="2"/>
          </rPr>
          <t xml:space="preserve">
No se presenta propuesta. Se calculan crecimientos y reducciones de cargas con base en la mejor infomacion disponible en CORPOCESAR</t>
        </r>
      </text>
    </comment>
    <comment ref="D73" authorId="0" shapeId="0">
      <text>
        <r>
          <rPr>
            <b/>
            <sz val="9"/>
            <color indexed="81"/>
            <rFont val="Tahoma"/>
            <family val="2"/>
          </rPr>
          <t>Luis Fernando Castro:</t>
        </r>
        <r>
          <rPr>
            <sz val="9"/>
            <color indexed="81"/>
            <rFont val="Tahoma"/>
            <family val="2"/>
          </rPr>
          <t xml:space="preserve">
Linea abse publicada en la consulta de metas</t>
        </r>
      </text>
    </comment>
    <comment ref="E73" authorId="0" shapeId="0">
      <text>
        <r>
          <rPr>
            <b/>
            <sz val="9"/>
            <color indexed="81"/>
            <rFont val="Tahoma"/>
            <family val="2"/>
          </rPr>
          <t>Luis Fernando Castro:</t>
        </r>
        <r>
          <rPr>
            <sz val="9"/>
            <color indexed="81"/>
            <rFont val="Tahoma"/>
            <family val="2"/>
          </rPr>
          <t xml:space="preserve">
Linea abse publicada en la consulta de metas</t>
        </r>
      </text>
    </comment>
    <comment ref="F73" authorId="0" shapeId="0">
      <text>
        <r>
          <rPr>
            <b/>
            <sz val="9"/>
            <color indexed="81"/>
            <rFont val="Tahoma"/>
            <family val="2"/>
          </rPr>
          <t>Luis Fernando Castro:</t>
        </r>
        <r>
          <rPr>
            <sz val="9"/>
            <color indexed="81"/>
            <rFont val="Tahoma"/>
            <family val="2"/>
          </rPr>
          <t xml:space="preserve">
Crecimiento vegetativo 1,006% ( DANE, 2005)</t>
        </r>
      </text>
    </comment>
    <comment ref="J73"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O73"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P73" authorId="0" shapeId="0">
      <text>
        <r>
          <rPr>
            <b/>
            <sz val="9"/>
            <color indexed="81"/>
            <rFont val="Tahoma"/>
            <family val="2"/>
          </rPr>
          <t>Luis Fernando Castro:</t>
        </r>
        <r>
          <rPr>
            <sz val="9"/>
            <color indexed="81"/>
            <rFont val="Tahoma"/>
            <family val="2"/>
          </rPr>
          <t xml:space="preserve">
No se imponene metas superiores a cero, de reduccion de puntos de  vertimeinto </t>
        </r>
      </text>
    </comment>
    <comment ref="C75" authorId="0" shapeId="0">
      <text>
        <r>
          <rPr>
            <b/>
            <sz val="9"/>
            <color indexed="81"/>
            <rFont val="Tahoma"/>
            <family val="2"/>
          </rPr>
          <t>Luis Fernando Castro:</t>
        </r>
        <r>
          <rPr>
            <sz val="9"/>
            <color indexed="81"/>
            <rFont val="Tahoma"/>
            <family val="2"/>
          </rPr>
          <t xml:space="preserve">
Propuesta presentada y aprobada sin modificaciones.</t>
        </r>
      </text>
    </comment>
    <comment ref="J75" authorId="0" shapeId="0">
      <text>
        <r>
          <rPr>
            <b/>
            <sz val="9"/>
            <color indexed="81"/>
            <rFont val="Tahoma"/>
            <family val="2"/>
          </rPr>
          <t>Luis Fernando Castro:</t>
        </r>
        <r>
          <rPr>
            <sz val="9"/>
            <color indexed="81"/>
            <rFont val="Tahoma"/>
            <family val="2"/>
          </rPr>
          <t xml:space="preserve">
Se propone reduccion del 205 en mejoramiento del STARD</t>
        </r>
      </text>
    </comment>
    <comment ref="C76" authorId="0" shapeId="0">
      <text>
        <r>
          <rPr>
            <b/>
            <sz val="9"/>
            <color indexed="81"/>
            <rFont val="Tahoma"/>
            <family val="2"/>
          </rPr>
          <t>Luis Fernando Castro:</t>
        </r>
        <r>
          <rPr>
            <sz val="9"/>
            <color indexed="81"/>
            <rFont val="Tahoma"/>
            <family val="2"/>
          </rPr>
          <t xml:space="preserve">
No se presenta propuesta. Se propone dejar el quinquenio para la panificacion y gestion de recursos sin que se requieren remociones de cargas.</t>
        </r>
      </text>
    </comment>
    <comment ref="J76" authorId="0" shapeId="0">
      <text>
        <r>
          <rPr>
            <b/>
            <sz val="9"/>
            <color indexed="81"/>
            <rFont val="Tahoma"/>
            <family val="2"/>
          </rPr>
          <t>Luis Fernando Castro:</t>
        </r>
        <r>
          <rPr>
            <sz val="9"/>
            <color indexed="81"/>
            <rFont val="Tahoma"/>
            <family val="2"/>
          </rPr>
          <t xml:space="preserve">
las cargas se incrementan anualmente con una tasa del 1,2% ( datos tomados del municpio en fichas de lso demas corregimientos reportados)</t>
        </r>
      </text>
    </comment>
    <comment ref="O76" authorId="0" shapeId="0">
      <text>
        <r>
          <rPr>
            <b/>
            <sz val="9"/>
            <color indexed="81"/>
            <rFont val="Tahoma"/>
            <family val="2"/>
          </rPr>
          <t>Luis Fernando Castro:</t>
        </r>
        <r>
          <rPr>
            <sz val="9"/>
            <color indexed="81"/>
            <rFont val="Tahoma"/>
            <family val="2"/>
          </rPr>
          <t xml:space="preserve">
las cargas se incrementan anualmente con una tasa del 1,2% ( datos tomados del municpio en fichas de lso demas corregimientos reportados)</t>
        </r>
      </text>
    </comment>
    <comment ref="T76" authorId="0" shapeId="0">
      <text>
        <r>
          <rPr>
            <b/>
            <sz val="9"/>
            <color indexed="81"/>
            <rFont val="Tahoma"/>
            <family val="2"/>
          </rPr>
          <t>Luis Fernando Castro:</t>
        </r>
        <r>
          <rPr>
            <sz val="9"/>
            <color indexed="81"/>
            <rFont val="Tahoma"/>
            <family val="2"/>
          </rPr>
          <t xml:space="preserve">
se asume que no habrán inversiones ene ste item durante el quinquenio. CORPOCESAR debe requerir el PSMV de este corregimiento</t>
        </r>
      </text>
    </comment>
    <comment ref="C77" authorId="0" shapeId="0">
      <text>
        <r>
          <rPr>
            <b/>
            <sz val="9"/>
            <color indexed="81"/>
            <rFont val="Tahoma"/>
            <family val="2"/>
          </rPr>
          <t>Luis Fernando Castro:</t>
        </r>
        <r>
          <rPr>
            <sz val="9"/>
            <color indexed="81"/>
            <rFont val="Tahoma"/>
            <family val="2"/>
          </rPr>
          <t xml:space="preserve">
Propuesta presentada y aprobada sin modificaciones.</t>
        </r>
      </text>
    </comment>
    <comment ref="C78" authorId="0" shapeId="0">
      <text>
        <r>
          <rPr>
            <b/>
            <sz val="9"/>
            <color indexed="81"/>
            <rFont val="Tahoma"/>
            <family val="2"/>
          </rPr>
          <t>Luis Fernando Castro:</t>
        </r>
        <r>
          <rPr>
            <sz val="9"/>
            <color indexed="81"/>
            <rFont val="Tahoma"/>
            <family val="2"/>
          </rPr>
          <t xml:space="preserve">
Propuesta presentada y aprobada sin modificaciones.</t>
        </r>
      </text>
    </comment>
    <comment ref="C79" authorId="0" shapeId="0">
      <text>
        <r>
          <rPr>
            <b/>
            <sz val="9"/>
            <color indexed="81"/>
            <rFont val="Tahoma"/>
            <family val="2"/>
          </rPr>
          <t>Luis Fernando Castro:</t>
        </r>
        <r>
          <rPr>
            <sz val="9"/>
            <color indexed="81"/>
            <rFont val="Tahoma"/>
            <family val="2"/>
          </rPr>
          <t xml:space="preserve">
Propuesta presentada y aprobada sin modificaciones.</t>
        </r>
      </text>
    </comment>
    <comment ref="C81" authorId="0" shapeId="0">
      <text>
        <r>
          <rPr>
            <b/>
            <sz val="9"/>
            <color indexed="81"/>
            <rFont val="Tahoma"/>
            <family val="2"/>
          </rPr>
          <t>Luis Fernando Castro:</t>
        </r>
        <r>
          <rPr>
            <sz val="9"/>
            <color indexed="81"/>
            <rFont val="Tahoma"/>
            <family val="2"/>
          </rPr>
          <t xml:space="preserve">
No se presenta propuesta. Se calculan crecimientos y reducciones con base en la mejor infomacion disponible en CORPOCESAR</t>
        </r>
      </text>
    </comment>
    <comment ref="D81" authorId="0" shapeId="0">
      <text>
        <r>
          <rPr>
            <b/>
            <sz val="9"/>
            <color indexed="81"/>
            <rFont val="Tahoma"/>
            <family val="2"/>
          </rPr>
          <t>Luis Fernando Castro:</t>
        </r>
        <r>
          <rPr>
            <sz val="9"/>
            <color indexed="81"/>
            <rFont val="Tahoma"/>
            <family val="2"/>
          </rPr>
          <t xml:space="preserve">
LINEA BASE publicada en la consulta de etas 2014 -2018</t>
        </r>
      </text>
    </comment>
    <comment ref="E81" authorId="0" shapeId="0">
      <text>
        <r>
          <rPr>
            <b/>
            <sz val="9"/>
            <color indexed="81"/>
            <rFont val="Tahoma"/>
            <family val="2"/>
          </rPr>
          <t>Luis Fernando Castro:</t>
        </r>
        <r>
          <rPr>
            <sz val="9"/>
            <color indexed="81"/>
            <rFont val="Tahoma"/>
            <family val="2"/>
          </rPr>
          <t xml:space="preserve">
LINEA BASE publicada en la consulta de etas 2014 -2018</t>
        </r>
      </text>
    </comment>
    <comment ref="F81" authorId="0" shapeId="0">
      <text>
        <r>
          <rPr>
            <b/>
            <sz val="9"/>
            <color indexed="81"/>
            <rFont val="Tahoma"/>
            <family val="2"/>
          </rPr>
          <t>Luis Fernando Castro:</t>
        </r>
        <r>
          <rPr>
            <sz val="9"/>
            <color indexed="81"/>
            <rFont val="Tahoma"/>
            <family val="2"/>
          </rPr>
          <t xml:space="preserve">
Incremento con base en tasa vegetativa de crecimiento de la poblacion del DANE. ( 1.020% anual)</t>
        </r>
      </text>
    </comment>
    <comment ref="J81" authorId="0" shapeId="0">
      <text>
        <r>
          <rPr>
            <b/>
            <sz val="9"/>
            <color indexed="81"/>
            <rFont val="Tahoma"/>
            <family val="2"/>
          </rPr>
          <t>Luis Fernando Castro:</t>
        </r>
        <r>
          <rPr>
            <sz val="9"/>
            <color indexed="81"/>
            <rFont val="Tahoma"/>
            <family val="2"/>
          </rPr>
          <t xml:space="preserve">
Se imone una meta del 80% a ser cumplida al final del quinto año.</t>
        </r>
      </text>
    </comment>
    <comment ref="K81" authorId="0" shapeId="0">
      <text>
        <r>
          <rPr>
            <b/>
            <sz val="9"/>
            <color indexed="81"/>
            <rFont val="Tahoma"/>
            <family val="2"/>
          </rPr>
          <t>Luis Fernando Castro:</t>
        </r>
        <r>
          <rPr>
            <sz val="9"/>
            <color indexed="81"/>
            <rFont val="Tahoma"/>
            <family val="2"/>
          </rPr>
          <t xml:space="preserve">
Incremento con base en tas avegetativa de crecimeitnode la poblacion del DANE. ( 1.020% anual)</t>
        </r>
      </text>
    </comment>
    <comment ref="O81" authorId="0" shapeId="0">
      <text>
        <r>
          <rPr>
            <b/>
            <sz val="9"/>
            <color indexed="81"/>
            <rFont val="Tahoma"/>
            <family val="2"/>
          </rPr>
          <t>Luis Fernando Castro:</t>
        </r>
        <r>
          <rPr>
            <sz val="9"/>
            <color indexed="81"/>
            <rFont val="Tahoma"/>
            <family val="2"/>
          </rPr>
          <t xml:space="preserve">
Se imone una meta del 80% a ser cumplida al final del quinto año.</t>
        </r>
      </text>
    </comment>
    <comment ref="T81" authorId="0" shapeId="0">
      <text>
        <r>
          <rPr>
            <b/>
            <sz val="9"/>
            <color indexed="81"/>
            <rFont val="Tahoma"/>
            <family val="2"/>
          </rPr>
          <t>Luis Fernando Castro:</t>
        </r>
        <r>
          <rPr>
            <sz val="9"/>
            <color indexed="81"/>
            <rFont val="Tahoma"/>
            <family val="2"/>
          </rPr>
          <t xml:space="preserve">
dado que no indica el numero de puntos de vertimiento a eliminar se impone una meta del 100% de los puntos pero al final del quinquenio.</t>
        </r>
      </text>
    </comment>
    <comment ref="C82" authorId="0" shapeId="0">
      <text>
        <r>
          <rPr>
            <b/>
            <sz val="9"/>
            <color indexed="81"/>
            <rFont val="Tahoma"/>
            <family val="2"/>
          </rPr>
          <t>Luis Fernando Castro:</t>
        </r>
        <r>
          <rPr>
            <sz val="9"/>
            <color indexed="81"/>
            <rFont val="Tahoma"/>
            <family val="2"/>
          </rPr>
          <t xml:space="preserve">
No se presenta propuesta. Se calculan crecimientos y reducciones con base en la mejor infomacion disponible en CORPOCESAR</t>
        </r>
      </text>
    </comment>
    <comment ref="D82" authorId="0" shapeId="0">
      <text>
        <r>
          <rPr>
            <b/>
            <sz val="9"/>
            <color indexed="81"/>
            <rFont val="Tahoma"/>
            <family val="2"/>
          </rPr>
          <t>Luis Fernando Castro:</t>
        </r>
        <r>
          <rPr>
            <sz val="9"/>
            <color indexed="81"/>
            <rFont val="Tahoma"/>
            <family val="2"/>
          </rPr>
          <t xml:space="preserve">
LINEA BASE publicada en la consulta de etas 2014 -2018</t>
        </r>
      </text>
    </comment>
    <comment ref="E82" authorId="0" shapeId="0">
      <text>
        <r>
          <rPr>
            <b/>
            <sz val="9"/>
            <color indexed="81"/>
            <rFont val="Tahoma"/>
            <family val="2"/>
          </rPr>
          <t>Luis Fernando Castro:</t>
        </r>
        <r>
          <rPr>
            <sz val="9"/>
            <color indexed="81"/>
            <rFont val="Tahoma"/>
            <family val="2"/>
          </rPr>
          <t xml:space="preserve">
LINEA BASE publicada en la consulta de etas 2014 -2018</t>
        </r>
      </text>
    </comment>
    <comment ref="F82" authorId="0" shapeId="0">
      <text>
        <r>
          <rPr>
            <b/>
            <sz val="9"/>
            <color indexed="81"/>
            <rFont val="Tahoma"/>
            <family val="2"/>
          </rPr>
          <t>Luis Fernando Castro:</t>
        </r>
        <r>
          <rPr>
            <sz val="9"/>
            <color indexed="81"/>
            <rFont val="Tahoma"/>
            <family val="2"/>
          </rPr>
          <t xml:space="preserve">
Incremento con base en tasa vegetativa de crecimiento de la poblacion del DANE. ( 1.020% anual)</t>
        </r>
      </text>
    </comment>
    <comment ref="J82" authorId="0" shapeId="0">
      <text>
        <r>
          <rPr>
            <b/>
            <sz val="9"/>
            <color indexed="81"/>
            <rFont val="Tahoma"/>
            <family val="2"/>
          </rPr>
          <t>Luis Fernando Castro:</t>
        </r>
        <r>
          <rPr>
            <sz val="9"/>
            <color indexed="81"/>
            <rFont val="Tahoma"/>
            <family val="2"/>
          </rPr>
          <t xml:space="preserve">
Se imone una meta del 80% a ser cumplida al final del quinto año.</t>
        </r>
      </text>
    </comment>
    <comment ref="K82" authorId="0" shapeId="0">
      <text>
        <r>
          <rPr>
            <b/>
            <sz val="9"/>
            <color indexed="81"/>
            <rFont val="Tahoma"/>
            <family val="2"/>
          </rPr>
          <t>Luis Fernando Castro:</t>
        </r>
        <r>
          <rPr>
            <sz val="9"/>
            <color indexed="81"/>
            <rFont val="Tahoma"/>
            <family val="2"/>
          </rPr>
          <t xml:space="preserve">
Incremento con base en tasa vegetativa de crecimiento de la poblacion del DANE. ( 1.020% anual)</t>
        </r>
      </text>
    </comment>
    <comment ref="O82" authorId="0" shapeId="0">
      <text>
        <r>
          <rPr>
            <b/>
            <sz val="9"/>
            <color indexed="81"/>
            <rFont val="Tahoma"/>
            <family val="2"/>
          </rPr>
          <t>Luis Fernando Castro:</t>
        </r>
        <r>
          <rPr>
            <sz val="9"/>
            <color indexed="81"/>
            <rFont val="Tahoma"/>
            <family val="2"/>
          </rPr>
          <t xml:space="preserve">
Se imone una meta del 80% a ser cumplida al final del quinto año.</t>
        </r>
      </text>
    </comment>
    <comment ref="C83" authorId="0" shapeId="0">
      <text>
        <r>
          <rPr>
            <b/>
            <sz val="9"/>
            <color indexed="81"/>
            <rFont val="Tahoma"/>
            <family val="2"/>
          </rPr>
          <t>Luis Fernando Castro:</t>
        </r>
        <r>
          <rPr>
            <sz val="9"/>
            <color indexed="81"/>
            <rFont val="Tahoma"/>
            <family val="2"/>
          </rPr>
          <t xml:space="preserve">
No se presenta propuesta. Se calculan crecimientos y reducciones con base en la mejor infomacion disponible en CORPOCESAR</t>
        </r>
      </text>
    </comment>
    <comment ref="D83" authorId="0" shapeId="0">
      <text>
        <r>
          <rPr>
            <b/>
            <sz val="9"/>
            <color indexed="81"/>
            <rFont val="Tahoma"/>
            <family val="2"/>
          </rPr>
          <t>Luis Fernando Castro:</t>
        </r>
        <r>
          <rPr>
            <sz val="9"/>
            <color indexed="81"/>
            <rFont val="Tahoma"/>
            <family val="2"/>
          </rPr>
          <t xml:space="preserve">
LINEA BASE publicada en la consulta de etas 2014 -2018</t>
        </r>
      </text>
    </comment>
    <comment ref="E83" authorId="0" shapeId="0">
      <text>
        <r>
          <rPr>
            <b/>
            <sz val="9"/>
            <color indexed="81"/>
            <rFont val="Tahoma"/>
            <family val="2"/>
          </rPr>
          <t>Luis Fernando Castro:</t>
        </r>
        <r>
          <rPr>
            <sz val="9"/>
            <color indexed="81"/>
            <rFont val="Tahoma"/>
            <family val="2"/>
          </rPr>
          <t xml:space="preserve">
LINEA BASE publicada en la consulta de etas 2014 -2018</t>
        </r>
      </text>
    </comment>
    <comment ref="F83" authorId="0" shapeId="0">
      <text>
        <r>
          <rPr>
            <b/>
            <sz val="9"/>
            <color indexed="81"/>
            <rFont val="Tahoma"/>
            <family val="2"/>
          </rPr>
          <t>Luis Fernando Castro:</t>
        </r>
        <r>
          <rPr>
            <sz val="9"/>
            <color indexed="81"/>
            <rFont val="Tahoma"/>
            <family val="2"/>
          </rPr>
          <t xml:space="preserve">
Incremento con base en tasa vegetativa de crecimiento de la poblacion del DANE. ( 1.020% anual)</t>
        </r>
      </text>
    </comment>
    <comment ref="J83"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83" authorId="0" shapeId="0">
      <text>
        <r>
          <rPr>
            <b/>
            <sz val="9"/>
            <color indexed="81"/>
            <rFont val="Tahoma"/>
            <family val="2"/>
          </rPr>
          <t>Luis Fernando Castro:</t>
        </r>
        <r>
          <rPr>
            <sz val="9"/>
            <color indexed="81"/>
            <rFont val="Tahoma"/>
            <family val="2"/>
          </rPr>
          <t xml:space="preserve">
Incremento con base en tasa vegetativa de crecimiento de la poblacion del DANE. ( 1.020% anual)</t>
        </r>
      </text>
    </comment>
    <comment ref="O83"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C84" authorId="0" shapeId="0">
      <text>
        <r>
          <rPr>
            <b/>
            <sz val="9"/>
            <color indexed="81"/>
            <rFont val="Tahoma"/>
            <family val="2"/>
          </rPr>
          <t>Luis Fernando Castro:</t>
        </r>
        <r>
          <rPr>
            <sz val="9"/>
            <color indexed="81"/>
            <rFont val="Tahoma"/>
            <family val="2"/>
          </rPr>
          <t xml:space="preserve">
No se presenta propuesta. Se calculan crecimientos y reducciones con base en la mejor infomacion disponible en CORPOCESAR</t>
        </r>
      </text>
    </comment>
    <comment ref="D84" authorId="0" shapeId="0">
      <text>
        <r>
          <rPr>
            <b/>
            <sz val="9"/>
            <color indexed="81"/>
            <rFont val="Tahoma"/>
            <family val="2"/>
          </rPr>
          <t>Luis Fernando Castro:</t>
        </r>
        <r>
          <rPr>
            <sz val="9"/>
            <color indexed="81"/>
            <rFont val="Tahoma"/>
            <family val="2"/>
          </rPr>
          <t xml:space="preserve">
LINEA BASE publicada en la consulta de etas 2014 -2018</t>
        </r>
      </text>
    </comment>
    <comment ref="E84" authorId="0" shapeId="0">
      <text>
        <r>
          <rPr>
            <b/>
            <sz val="9"/>
            <color indexed="81"/>
            <rFont val="Tahoma"/>
            <family val="2"/>
          </rPr>
          <t>Luis Fernando Castro:</t>
        </r>
        <r>
          <rPr>
            <sz val="9"/>
            <color indexed="81"/>
            <rFont val="Tahoma"/>
            <family val="2"/>
          </rPr>
          <t xml:space="preserve">
LINEA BASE publicada en la consulta de etas 2014 -2018</t>
        </r>
      </text>
    </comment>
    <comment ref="F84" authorId="0" shapeId="0">
      <text>
        <r>
          <rPr>
            <b/>
            <sz val="9"/>
            <color indexed="81"/>
            <rFont val="Tahoma"/>
            <family val="2"/>
          </rPr>
          <t>Luis Fernando Castro:</t>
        </r>
        <r>
          <rPr>
            <sz val="9"/>
            <color indexed="81"/>
            <rFont val="Tahoma"/>
            <family val="2"/>
          </rPr>
          <t xml:space="preserve">
Incremento con base en tasa vegetativa de crecimiento de la poblacion del DANE. ( 1.020% anual)</t>
        </r>
      </text>
    </comment>
    <comment ref="J84"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K84" authorId="0" shapeId="0">
      <text>
        <r>
          <rPr>
            <b/>
            <sz val="9"/>
            <color indexed="81"/>
            <rFont val="Tahoma"/>
            <family val="2"/>
          </rPr>
          <t>Luis Fernando Castro:</t>
        </r>
        <r>
          <rPr>
            <sz val="9"/>
            <color indexed="81"/>
            <rFont val="Tahoma"/>
            <family val="2"/>
          </rPr>
          <t xml:space="preserve">
Incremento con base en tasa vegetativa de crecimiento de la poblacion del DANE. ( 1.020% anual)</t>
        </r>
      </text>
    </comment>
    <comment ref="O84" authorId="0" shapeId="0">
      <text>
        <r>
          <rPr>
            <b/>
            <sz val="9"/>
            <color indexed="81"/>
            <rFont val="Tahoma"/>
            <family val="2"/>
          </rPr>
          <t>Luis Fernando Castro:</t>
        </r>
        <r>
          <rPr>
            <sz val="9"/>
            <color indexed="81"/>
            <rFont val="Tahoma"/>
            <family val="2"/>
          </rPr>
          <t xml:space="preserve">
No se imponen reducciones esperando que el municipio adelante la fase de planificacion y preinversion para el mejoramiento de la calidad de la descarga</t>
        </r>
      </text>
    </comment>
    <comment ref="C86" authorId="0" shapeId="0">
      <text>
        <r>
          <rPr>
            <b/>
            <sz val="9"/>
            <color indexed="81"/>
            <rFont val="Tahoma"/>
            <family val="2"/>
          </rPr>
          <t>Luis Fernando Castro:</t>
        </r>
        <r>
          <rPr>
            <sz val="9"/>
            <color indexed="81"/>
            <rFont val="Tahoma"/>
            <family val="2"/>
          </rPr>
          <t xml:space="preserve">
El usuario presenta un formulario incompleto y aporta alguna inofrmacion que se considera para laestimacion de cargas presuntivas</t>
        </r>
      </text>
    </comment>
    <comment ref="D86" authorId="0" shapeId="0">
      <text>
        <r>
          <rPr>
            <b/>
            <sz val="9"/>
            <color indexed="81"/>
            <rFont val="Tahoma"/>
            <family val="2"/>
          </rPr>
          <t>Luis Fernando Castro:</t>
        </r>
        <r>
          <rPr>
            <sz val="9"/>
            <color indexed="81"/>
            <rFont val="Tahoma"/>
            <family val="2"/>
          </rPr>
          <t xml:space="preserve">
El muniicpio cuenta con PTAR pero de acuerdo con los informes de control de Corpocesar, su funcionamiento es deficiete y por tanto, se asume que no existe ninguna remocion de carga, tanto de DBO5 como de SST y por tanto, se adopta la line abase equivalente a la publicada por la autoridada ambiental.</t>
        </r>
      </text>
    </comment>
    <comment ref="F86" authorId="0" shapeId="0">
      <text>
        <r>
          <rPr>
            <b/>
            <sz val="9"/>
            <color indexed="81"/>
            <rFont val="Tahoma"/>
            <family val="2"/>
          </rPr>
          <t>Luis Fernando Castro:</t>
        </r>
        <r>
          <rPr>
            <sz val="9"/>
            <color indexed="81"/>
            <rFont val="Tahoma"/>
            <family val="2"/>
          </rPr>
          <t xml:space="preserve">
CARGA INCREMENTADA DE ACUERDOA LA ATSA DECRECIMIENTO VEGETATIVOD ELA POBLACION ( DANE), 1.01%</t>
        </r>
      </text>
    </comment>
    <comment ref="J86" authorId="0" shapeId="0">
      <text>
        <r>
          <rPr>
            <b/>
            <sz val="9"/>
            <color indexed="81"/>
            <rFont val="Tahoma"/>
            <family val="2"/>
          </rPr>
          <t>Luis Fernando Castro:</t>
        </r>
        <r>
          <rPr>
            <sz val="9"/>
            <color indexed="81"/>
            <rFont val="Tahoma"/>
            <family val="2"/>
          </rPr>
          <t xml:space="preserve">
Se impone una meta del 80% para ambas sustancias para adecuacion del STARD</t>
        </r>
      </text>
    </comment>
    <comment ref="K86" authorId="0" shapeId="0">
      <text>
        <r>
          <rPr>
            <b/>
            <sz val="9"/>
            <color indexed="81"/>
            <rFont val="Tahoma"/>
            <family val="2"/>
          </rPr>
          <t>Luis Fernando Castro:</t>
        </r>
        <r>
          <rPr>
            <sz val="9"/>
            <color indexed="81"/>
            <rFont val="Tahoma"/>
            <family val="2"/>
          </rPr>
          <t xml:space="preserve">
CARGA INCREMENTADA DE ACUERDOA LA ATSA DECRECIMIENTO VEGETATIVOD ELA POBLACION ( DANE), 1.01%</t>
        </r>
      </text>
    </comment>
    <comment ref="O86" authorId="0" shapeId="0">
      <text>
        <r>
          <rPr>
            <b/>
            <sz val="9"/>
            <color indexed="81"/>
            <rFont val="Tahoma"/>
            <family val="2"/>
          </rPr>
          <t>Luis Fernando Castro:</t>
        </r>
        <r>
          <rPr>
            <sz val="9"/>
            <color indexed="81"/>
            <rFont val="Tahoma"/>
            <family val="2"/>
          </rPr>
          <t xml:space="preserve">
Se impone una meta del 80% para ambas sustancias para adecuacion del STARD</t>
        </r>
      </text>
    </comment>
    <comment ref="C87" authorId="0" shapeId="0">
      <text>
        <r>
          <rPr>
            <b/>
            <sz val="9"/>
            <color indexed="81"/>
            <rFont val="Tahoma"/>
            <family val="2"/>
          </rPr>
          <t>Luis Fernando Castro:</t>
        </r>
        <r>
          <rPr>
            <sz val="9"/>
            <color indexed="81"/>
            <rFont val="Tahoma"/>
            <family val="2"/>
          </rPr>
          <t xml:space="preserve">
No presenta propuesta demetas. Las metas seestiman de manera presuntiva con base en a mejor informacion disponible.</t>
        </r>
      </text>
    </comment>
    <comment ref="D87" authorId="0" shapeId="0">
      <text>
        <r>
          <rPr>
            <b/>
            <sz val="9"/>
            <color indexed="81"/>
            <rFont val="Tahoma"/>
            <family val="2"/>
          </rPr>
          <t>Luis Fernando Castro:</t>
        </r>
        <r>
          <rPr>
            <sz val="9"/>
            <color indexed="81"/>
            <rFont val="Tahoma"/>
            <family val="2"/>
          </rPr>
          <t xml:space="preserve">
Linea base publicada por Coprocesar. El usuario no cuenta con STAR</t>
        </r>
      </text>
    </comment>
    <comment ref="F87" authorId="0" shapeId="0">
      <text>
        <r>
          <rPr>
            <b/>
            <sz val="9"/>
            <color indexed="81"/>
            <rFont val="Tahoma"/>
            <family val="2"/>
          </rPr>
          <t>Luis Fernando Castro:</t>
        </r>
        <r>
          <rPr>
            <sz val="9"/>
            <color indexed="81"/>
            <rFont val="Tahoma"/>
            <family val="2"/>
          </rPr>
          <t xml:space="preserve">
CARGA INCREMENTADA DE ACUERDOA LA ATSA DECRECIMIENTO VEGETATIVOD ELA POBLACION ( DANE), 1.01%</t>
        </r>
      </text>
    </comment>
    <comment ref="O87" authorId="0" shapeId="0">
      <text>
        <r>
          <rPr>
            <b/>
            <sz val="9"/>
            <color indexed="81"/>
            <rFont val="Tahoma"/>
            <family val="2"/>
          </rPr>
          <t>Luis Fernando Castro:</t>
        </r>
        <r>
          <rPr>
            <sz val="9"/>
            <color indexed="81"/>
            <rFont val="Tahoma"/>
            <family val="2"/>
          </rPr>
          <t xml:space="preserve">
Se impone una meta del 40% para ambas sustancias para LA COSNTRUCCION  DE LA PTAR del corregimiento.</t>
        </r>
      </text>
    </comment>
    <comment ref="C89" authorId="0" shapeId="0">
      <text>
        <r>
          <rPr>
            <b/>
            <sz val="9"/>
            <color indexed="81"/>
            <rFont val="Tahoma"/>
            <family val="2"/>
          </rPr>
          <t>Luis Fernando Castro:</t>
        </r>
        <r>
          <rPr>
            <sz val="9"/>
            <color indexed="81"/>
            <rFont val="Tahoma"/>
            <family val="2"/>
          </rPr>
          <t xml:space="preserve">
No presenta propuesta demetas. Las metas seestiman de manera presuntiva con base en a mejor informacion disponible.</t>
        </r>
      </text>
    </comment>
    <comment ref="D89" authorId="0" shapeId="0">
      <text>
        <r>
          <rPr>
            <b/>
            <sz val="9"/>
            <color indexed="81"/>
            <rFont val="Tahoma"/>
            <family val="2"/>
          </rPr>
          <t>Luis Fernando Castro:</t>
        </r>
        <r>
          <rPr>
            <sz val="9"/>
            <color indexed="81"/>
            <rFont val="Tahoma"/>
            <family val="2"/>
          </rPr>
          <t xml:space="preserve">
RESULTA DE MULTIPLICAR POBLACION DANE DE GONZALEZ A 2014 CON UNA TASA DE 1.04( 8060.8 HAB) *MODULO DBO5(0.045 K/H-D)*365 DIAS.</t>
        </r>
      </text>
    </comment>
    <comment ref="E89" authorId="0" shapeId="0">
      <text>
        <r>
          <rPr>
            <b/>
            <sz val="9"/>
            <color indexed="81"/>
            <rFont val="Tahoma"/>
            <family val="2"/>
          </rPr>
          <t>Luis Fernando Castro:</t>
        </r>
        <r>
          <rPr>
            <sz val="9"/>
            <color indexed="81"/>
            <rFont val="Tahoma"/>
            <family val="2"/>
          </rPr>
          <t xml:space="preserve">
RESULTA DE MULTIPLICAR POBLACION DANE DE GONZALEZ A 2014 CON UNA TASA DE 1.04( 8060.8 HAB) *MODULO SST(0.043 K/H-D)*365 DIAS.</t>
        </r>
      </text>
    </comment>
    <comment ref="J89" authorId="0" shapeId="0">
      <text>
        <r>
          <rPr>
            <b/>
            <sz val="9"/>
            <color indexed="81"/>
            <rFont val="Tahoma"/>
            <family val="2"/>
          </rPr>
          <t>Luis Fernando Castro:</t>
        </r>
        <r>
          <rPr>
            <sz val="9"/>
            <color indexed="81"/>
            <rFont val="Tahoma"/>
            <family val="2"/>
          </rPr>
          <t xml:space="preserve">
Se impone una reducciondel 80% al quinqto año</t>
        </r>
      </text>
    </comment>
    <comment ref="O89" authorId="0" shapeId="0">
      <text>
        <r>
          <rPr>
            <b/>
            <sz val="9"/>
            <color indexed="81"/>
            <rFont val="Tahoma"/>
            <family val="2"/>
          </rPr>
          <t>Luis Fernando Castro:</t>
        </r>
        <r>
          <rPr>
            <sz val="9"/>
            <color indexed="81"/>
            <rFont val="Tahoma"/>
            <family val="2"/>
          </rPr>
          <t xml:space="preserve">
Se impone una reducciondel 80% al quinqto año</t>
        </r>
      </text>
    </comment>
    <comment ref="C90" authorId="0" shapeId="0">
      <text>
        <r>
          <rPr>
            <b/>
            <sz val="9"/>
            <color indexed="81"/>
            <rFont val="Tahoma"/>
            <family val="2"/>
          </rPr>
          <t>Luis Fernando Castro:</t>
        </r>
        <r>
          <rPr>
            <sz val="9"/>
            <color indexed="81"/>
            <rFont val="Tahoma"/>
            <family val="2"/>
          </rPr>
          <t xml:space="preserve">
Presenta propuesta pero con errores de calculo en los incrementos de  la poblacion </t>
        </r>
      </text>
    </comment>
    <comment ref="F90" authorId="0" shapeId="0">
      <text>
        <r>
          <rPr>
            <b/>
            <sz val="9"/>
            <color indexed="81"/>
            <rFont val="Tahoma"/>
            <family val="2"/>
          </rPr>
          <t>Luis Fernando Castro:</t>
        </r>
        <r>
          <rPr>
            <sz val="9"/>
            <color indexed="81"/>
            <rFont val="Tahoma"/>
            <family val="2"/>
          </rPr>
          <t xml:space="preserve">
Incrementado en indice DANE de crecimiento ( 1.09%)</t>
        </r>
      </text>
    </comment>
    <comment ref="O90" authorId="0" shapeId="0">
      <text>
        <r>
          <rPr>
            <b/>
            <sz val="9"/>
            <color indexed="81"/>
            <rFont val="Tahoma"/>
            <family val="2"/>
          </rPr>
          <t>Luis Fernando Castro:</t>
        </r>
        <r>
          <rPr>
            <sz val="9"/>
            <color indexed="81"/>
            <rFont val="Tahoma"/>
            <family val="2"/>
          </rPr>
          <t xml:space="preserve">
REDUCION DEL 50% AL FINALDEL QUINQUENIO</t>
        </r>
      </text>
    </comment>
    <comment ref="O91" authorId="0" shapeId="0">
      <text>
        <r>
          <rPr>
            <b/>
            <sz val="9"/>
            <color indexed="81"/>
            <rFont val="Tahoma"/>
            <family val="2"/>
          </rPr>
          <t>Luis Fernando Castro:</t>
        </r>
        <r>
          <rPr>
            <sz val="9"/>
            <color indexed="81"/>
            <rFont val="Tahoma"/>
            <family val="2"/>
          </rPr>
          <t xml:space="preserve">
REDUCION DEL 50% AL FINALDEL QUINQUENIO</t>
        </r>
      </text>
    </comment>
  </commentList>
</comments>
</file>

<file path=xl/sharedStrings.xml><?xml version="1.0" encoding="utf-8"?>
<sst xmlns="http://schemas.openxmlformats.org/spreadsheetml/2006/main" count="526" uniqueCount="319">
  <si>
    <t>Corporacion Autónoma Regional del Cesar - CORPOCESAR</t>
  </si>
  <si>
    <t>Programa de Tasas Retributivas por descargas  líquidas puntuales</t>
  </si>
  <si>
    <t>Usuario</t>
  </si>
  <si>
    <t>Linea base (kg/año)</t>
  </si>
  <si>
    <t>DBO5</t>
  </si>
  <si>
    <t>SST</t>
  </si>
  <si>
    <t>Puntos de vertimiento a eliminar</t>
  </si>
  <si>
    <t>Metas de cargas anualizadas (kg/año)</t>
  </si>
  <si>
    <t>Cuenca o tramo (de acuerdo con resolución 428 de 2008)</t>
  </si>
  <si>
    <t>CABECERA MUNICIPAL VALLEDUPAR - GUATAPURÍ ( EMDUPAR S.A E.S.P - STAR EL TARULLAL)</t>
  </si>
  <si>
    <t>Valledupar - Guatapurí</t>
  </si>
  <si>
    <t>PTAP EMDUPAR S.A E.S.P</t>
  </si>
  <si>
    <t>ALCALDIA MUNICIPAL DE VALLEDUPAR (Cabecera urbana - margen derecho del Rio Guatapurí)</t>
  </si>
  <si>
    <t>TRAMO Valledupar - La Paz</t>
  </si>
  <si>
    <t>CABECERA MUNICIPAL VALLEDUPAR - CESAR (EMDUPAR S.A E.S.P - STAR EL SALGUERO)</t>
  </si>
  <si>
    <t>CABECERA LA PAZ (EMPAZ E.S.P)</t>
  </si>
  <si>
    <t>INSTITUTO PENITENCIARIO Y CARCELARIO DE ALTA Y MEDIANA SEGURIDAD DE VALLEDUPAR - INPEC</t>
  </si>
  <si>
    <t>ALCALDIA MUNICIPAL DE VALLEDUPAR (Corregimiento Mariangola)</t>
  </si>
  <si>
    <t>ALCALDIA MUNICIPAL DE VALLEDUPAR (Corregimiento Aguas blancas)</t>
  </si>
  <si>
    <t>ALCALDIA MUNICIPAL DE VALLEDUPAR (Corregimiento Los Venados)</t>
  </si>
  <si>
    <t>ALCALDIA MUNICIPAL DE VALLEDUPAR (Corregimiento Valencia de Jesús)</t>
  </si>
  <si>
    <t>ALCALDIA MUNICIPAL DE VALLEDUPAR (Corregimiento Patillal)</t>
  </si>
  <si>
    <t>ALCALDIA MUNICIPAL DE VALLEDUPAR (Corregimiento Atanquez)</t>
  </si>
  <si>
    <t>CABECERA MUNICIPAL SAN DIEGO (EMPOSANDIEGO E.S.P)</t>
  </si>
  <si>
    <t>ALCALDIA MUNICIPAL DE LA PAZ (Corregimiento San José de Oriente)</t>
  </si>
  <si>
    <t>TRAMO MANAURE</t>
  </si>
  <si>
    <t>TRAMO SAN DIEGO</t>
  </si>
  <si>
    <t>CABECERA MUNICIPAL MANAURE (ESPUMA E.S.P)</t>
  </si>
  <si>
    <t>TRAMO BECERRIL</t>
  </si>
  <si>
    <t>CABECERA MUNICIPAL BECERRIL (EMBECERRIL E.S.P)</t>
  </si>
  <si>
    <t>TRAMO JAGUA DE IBIRICO - CAÑO LAVAR</t>
  </si>
  <si>
    <t>ALCALDIA MUNICIPAL DE LA JAGUA DE IBIRICO</t>
  </si>
  <si>
    <t>TRAMO JAGUA DE IBIRICO - RIO SORORIA</t>
  </si>
  <si>
    <t>ALCALDIA MUNICIPAL DE LA JAGUA
DE IBIRICO (Corregimiento La Victoria
de San Isidro)</t>
  </si>
  <si>
    <t>ALCALDIA MUNICIPAL DE LA JAGUA
DE IBIRICO (Corregimiento La Palmita)</t>
  </si>
  <si>
    <t>TRAMO CURUMANI - CAÑO SAN IGNACIO</t>
  </si>
  <si>
    <t>ALCALDIA MUNICIPAL DE CURUMANI
(Corregimiento San Roque)</t>
  </si>
  <si>
    <t>TRAMO CHIRIGUANÁ</t>
  </si>
  <si>
    <t>ALCALDIA MUNICIPAL DE
CHIRIGUANÁ</t>
  </si>
  <si>
    <t>ALCALDIA MUNICIPAL DE
CHIRIGUANÁ (Corregimiento Rincón
Hondo)</t>
  </si>
  <si>
    <t>TRAMO ASTREA</t>
  </si>
  <si>
    <t>ALCALDIA MUNICIPAL DE ASTREA</t>
  </si>
  <si>
    <t>ALCALDIA MUNICIPAL DE ASTREA
(Corregimiento Arjona)</t>
  </si>
  <si>
    <t>TRAMO EL PASO</t>
  </si>
  <si>
    <t>CABECERA MUNICIPAL EL PASO
(EMPASO E.S.P)</t>
  </si>
  <si>
    <t>ALCALDÍA MUNICIPAL DE EL PASO
(Corregimiento Cuatro Vientos)</t>
  </si>
  <si>
    <t>ALCALDÍA MUNICIPAL DE EL PASO
(Corregimiento La Loma de Calenturas -
STAR 1)</t>
  </si>
  <si>
    <t>ALCALDÍA MUNICIPAL DE EL PASO
(Corregimiento La Loma de Calenturas -
STAR 2)</t>
  </si>
  <si>
    <t>TRAMO BOSCONIA</t>
  </si>
  <si>
    <t>CABECERA MUNICIPAL BOSCONIA (EMPOBOSCONIA E.S.P)</t>
  </si>
  <si>
    <t>TRAMO PUEBLO BELLO</t>
  </si>
  <si>
    <t>CABECERA MUNICIPAL PUEBLO BELLO (EMSEPU E.S.P Rio Ariguaní)</t>
  </si>
  <si>
    <t>CABECERA MUNICIPAL PUEBLO BELLO (EMSEPU E.S.P Rio Ariguanicito)</t>
  </si>
  <si>
    <t>TRAMO COPEY</t>
  </si>
  <si>
    <t>CABECERA MUNICIPAL EL COPEY (EMCOPEY E.S.P)</t>
  </si>
  <si>
    <t>ALCADIA MUNICIPAL DE EL COPEY (Corregimiento de Caracolicito)</t>
  </si>
  <si>
    <t>ALCADIA MUNICIPAL DE EL COPEY (Corregimiento de Chimila)</t>
  </si>
  <si>
    <t>TRAMO CHIMICHAGUA</t>
  </si>
  <si>
    <t>CABECERA MUNICIPAL CHIMICHAGUA (ACUACHIM E.S.P)</t>
  </si>
  <si>
    <t>ALCALDIA MUNICIPAL DE CHIMICHAGUA (Corregimiento La Mata)</t>
  </si>
  <si>
    <t>ALCALDIA MUNICIPAL DE CHIMICHAGUA (Corregimiento Saloa)</t>
  </si>
  <si>
    <t>ALCALDIA MUNICIPAL DE TAMALAMEQUE (Corregimiento Zapatosa)</t>
  </si>
  <si>
    <t>TRAMO CODAZZI</t>
  </si>
  <si>
    <t>CABECERA MUNICIPAL CODAZZI (EMCODAZZI E.S.P)</t>
  </si>
  <si>
    <t>ALCALDIA MUNICIPAL DE CODAZZI (Corregimiento Casacará)</t>
  </si>
  <si>
    <t>TRAMO PAILITAS</t>
  </si>
  <si>
    <t>CABECERA MUNICIPAL PAILITAS (EMSERPUPA E.S.P)</t>
  </si>
  <si>
    <t>TRAMO PELAYA</t>
  </si>
  <si>
    <t>CABECERA MUNICIPAL DE PELAYA (EMSOPEL E.S.P)</t>
  </si>
  <si>
    <t>ALCALDIA MUNICIPAL PELAYA (Corregimiento Costilla)</t>
  </si>
  <si>
    <t>ALCALDIA MUNICIPAL PELAYA (Corregimiento San Bernardo)</t>
  </si>
  <si>
    <t>TRAMO TAMALAMEQUE</t>
  </si>
  <si>
    <t>ALCALDIA MUNICIPAL DE TAMALAMEQUE (Cabecera Municipal)</t>
  </si>
  <si>
    <t>ALCALDIA MUNICIPAL TAMALAMEQUE (Corregimiento de Antequera)</t>
  </si>
  <si>
    <t>TRAMO AGUACHICA</t>
  </si>
  <si>
    <t>EMPRESA SERVICIOS PÚBLICOS DE ACUEDUCTO Y ALCANTARILADO DEL MUNICIPIO DE AGUACHICA (Sector El Cristo)</t>
  </si>
  <si>
    <t>EMPRESA SERVICIOS PÚBLICOS DE ACUEDUCTO Y ALCANTARILADO DEL MUNICIPIO DE AGUACHICA (Sector El Pital)</t>
  </si>
  <si>
    <t>TRAMO GAMARRA</t>
  </si>
  <si>
    <t>ALCALDIA MUNICIPAL DE GAMARRA (Oficina de servicios publicos) EMPOGAMARRA</t>
  </si>
  <si>
    <t>ALCALDIA MUNICIPAL DE GAMARRA (Corregimiento Puerto Mosquito)</t>
  </si>
  <si>
    <t>ALCALDIA MUNICIPAL DE GAMARRA (Corregimiento Acapulco)</t>
  </si>
  <si>
    <t>TRAMO LA GLORIA</t>
  </si>
  <si>
    <t>CABECERA MUNICIPAL LA GLORIA (EMPOGLORIA E.S.P)</t>
  </si>
  <si>
    <t>ALCALDIA MUNICIPAL LA GLORIA (Corregimiento Simaña)</t>
  </si>
  <si>
    <t>ALCALDIA MUNICIPAL LA GLORIA (Corregimiento Ayacucho)</t>
  </si>
  <si>
    <t>TRAMO SAN MARTIN</t>
  </si>
  <si>
    <t>ALCALDIA MUNICIPAL DE SAN MARTIN (Corregimiento Aguas Blancas)</t>
  </si>
  <si>
    <t>ALCALDIA MUNICIPAL DE SAN MARTIN (Corregimiento Terraplén)</t>
  </si>
  <si>
    <t>TRAMO SAN ALBERTO</t>
  </si>
  <si>
    <t xml:space="preserve">CABECERA MUNICIPAL SAN ALBERTO (EMPOSANAL E.S.P)
</t>
  </si>
  <si>
    <t>ALCALDÍA MUNICIPAL DE SAN ALBERTO (Corregimiento El Líbano)</t>
  </si>
  <si>
    <t>TRAMO GONZALEZ</t>
  </si>
  <si>
    <t>CABECERA MUNICIPAL GONZALEZ</t>
  </si>
  <si>
    <t>TRAMO RIO DE ORO - CATATUMBO</t>
  </si>
  <si>
    <t>Cuadro de metas para usuarios de proyectos localizados en tramos genericos  mineros</t>
  </si>
  <si>
    <t>TRAMO VALLEDUPAR - LA PAZ</t>
  </si>
  <si>
    <t>CARBONES DE LA JAGUA (LAGUNA No 5)</t>
  </si>
  <si>
    <t>CARBONES DE LA JAGUA (CARCAMO TALLER)</t>
  </si>
  <si>
    <t>CARBONES DE LA JAGUA (BOMBEO SUR)</t>
  </si>
  <si>
    <t>TRAMO JAGUA DE IBIRICO - MINERIA</t>
  </si>
  <si>
    <t>CARBONES DE LA JAGUA (CMU)</t>
  </si>
  <si>
    <t>CARBONES DE LA JAGUA (BOMBEO
ALUVION)</t>
  </si>
  <si>
    <t>CARBONES DE LA JAGUA (BOMBEO
NORTE)</t>
  </si>
  <si>
    <t>C.I NORCARBON S.A.S</t>
  </si>
  <si>
    <t>DRUMMOND LTD. (Caño Garrapata,
Piscina 04, Vertimiento EH16)</t>
  </si>
  <si>
    <t>DRUMMOND LTD. (Caño El Mocho,
Piscina D01, Vertimiento EHD04)</t>
  </si>
  <si>
    <t>DRUMMOND LTD. (Caño San Antonio,
Piscina 06, Vertimiento EH39)</t>
  </si>
  <si>
    <t>DRUMMOND LTD. (Caño San Antonio,
Piscina 07, Vertimiento EH23)</t>
  </si>
  <si>
    <t>DRUMMOND LTD. (Caño El Zorro,
Piscina D3, Vertimiento EHD10)</t>
  </si>
  <si>
    <t>DRUMMOND LTD. (Caño Paujil, Piscina
05, Vertimiento EH27)</t>
  </si>
  <si>
    <t>CNR III LTD SUCURSAL COLOMBIA -
EL HATILLO</t>
  </si>
  <si>
    <t>C.I. COLOMBIA NATURAL
RESOURCES I S.A.S - LA FRANCIA</t>
  </si>
  <si>
    <t>COOLECHERA LTDA</t>
  </si>
  <si>
    <t>Tramo genérico agropecuario</t>
  </si>
  <si>
    <t>EXTRACTORA PALMARIGUANI S.A.</t>
  </si>
  <si>
    <t>MATADERO MUNICIPAL DE PUEBLO BELLO</t>
  </si>
  <si>
    <t>CENTRAL SICARARE S.A.S</t>
  </si>
  <si>
    <t>OLEOFLORES S.A</t>
  </si>
  <si>
    <t>EXTRACTORA SICARARE S.A.S.</t>
  </si>
  <si>
    <t>PALMAS OLEAGINOSAS DE CASACARÁ LTDA</t>
  </si>
  <si>
    <t>FRESKALECHE S.A</t>
  </si>
  <si>
    <t>FRIGORÍFICO FOGASA S.A.</t>
  </si>
  <si>
    <t>AGROINCE LTDA Y CIA S.C.A</t>
  </si>
  <si>
    <t>ALCALDIA MUNICIPAL DE GAMARRA (Matadero Municipal)</t>
  </si>
  <si>
    <t>ECOPETROL S.A - (Planta Ayacucho)</t>
  </si>
  <si>
    <t>PETRONORTE (LOS ANGELES, Quebrada Tisquirama)</t>
  </si>
  <si>
    <t>PETRONORTE (Santa Lucía - Río Cáchira)</t>
  </si>
  <si>
    <t>PALMAS DEL CESAR S.A</t>
  </si>
  <si>
    <t>ECOPETROL S.A - ESTACION TISQUIRAMA</t>
  </si>
  <si>
    <t>ALCALDÍA MUNICIPAL DE SAN ALBERTO (Matadero Municipal)</t>
  </si>
  <si>
    <t>INDUPALMA</t>
  </si>
  <si>
    <t>ENFRIADORA LA VALLENATA LTDA</t>
  </si>
  <si>
    <t>EDS RAFAEL</t>
  </si>
  <si>
    <t>EDS EL REMANSO (Caño Alto Sano)</t>
  </si>
  <si>
    <t>LAVADERO DE CARROS - LA CABAÑA</t>
  </si>
  <si>
    <t>EDS EL RETORNO</t>
  </si>
  <si>
    <t>TRAMO RIO DE ORO</t>
  </si>
  <si>
    <t>EDS EL TOPE</t>
  </si>
  <si>
    <t>EDS RIO DE ORO</t>
  </si>
  <si>
    <t>Cuadro de metas para usuarios de proyectos localizados en tramos genericos  agropecuarios</t>
  </si>
  <si>
    <t>951,78</t>
  </si>
  <si>
    <t>1477,4</t>
  </si>
  <si>
    <t>5473,9</t>
  </si>
  <si>
    <t>5909,7</t>
  </si>
  <si>
    <t>5909,8</t>
  </si>
  <si>
    <t>114,2</t>
  </si>
  <si>
    <t>177,2</t>
  </si>
  <si>
    <t>656,9</t>
  </si>
  <si>
    <t>709,2</t>
  </si>
  <si>
    <t>709,3</t>
  </si>
  <si>
    <t>3553,2</t>
  </si>
  <si>
    <t>1486,8</t>
  </si>
  <si>
    <t>3664,4</t>
  </si>
  <si>
    <t>1533,4</t>
  </si>
  <si>
    <t>PALMAGRO S.A EL PASO</t>
  </si>
  <si>
    <t>EXTRACTORA LA GLORIA</t>
  </si>
  <si>
    <t>ALCALDIA MUNICIPAL DE ASTREA
(Matadero Municipal Astrea)</t>
  </si>
  <si>
    <t>Municipio</t>
  </si>
  <si>
    <t>Tasa</t>
  </si>
  <si>
    <t>Cabecera 1995</t>
  </si>
  <si>
    <t>Cabecera 1996</t>
  </si>
  <si>
    <t>Cabecera 1997</t>
  </si>
  <si>
    <t>Cabecera 1998</t>
  </si>
  <si>
    <t>Cabecera 1999</t>
  </si>
  <si>
    <t>Cabecera 2000</t>
  </si>
  <si>
    <t>Cabecera 2001</t>
  </si>
  <si>
    <t>Cabecera 2002</t>
  </si>
  <si>
    <t>Cabecera 2003</t>
  </si>
  <si>
    <t>Cabecera 2004</t>
  </si>
  <si>
    <t>Cabecera 2005</t>
  </si>
  <si>
    <t>Cabecera 2006</t>
  </si>
  <si>
    <t>Cabecera 2007</t>
  </si>
  <si>
    <t>Cabecera 2008</t>
  </si>
  <si>
    <t>Cabecera 2009</t>
  </si>
  <si>
    <t>Cabecera 2010</t>
  </si>
  <si>
    <t>Cabecera 2011</t>
  </si>
  <si>
    <t>Valledupar</t>
  </si>
  <si>
    <t>Aguachica</t>
  </si>
  <si>
    <t>Agustín Codazzi</t>
  </si>
  <si>
    <t>Astrea</t>
  </si>
  <si>
    <t>Becerril</t>
  </si>
  <si>
    <t>Bosconia</t>
  </si>
  <si>
    <t>Chimichagua</t>
  </si>
  <si>
    <t>Chiriguaná</t>
  </si>
  <si>
    <t>Curumaní</t>
  </si>
  <si>
    <t>El Copey</t>
  </si>
  <si>
    <t>El Paso</t>
  </si>
  <si>
    <t>Gamarra</t>
  </si>
  <si>
    <t>González</t>
  </si>
  <si>
    <t>La Gloria</t>
  </si>
  <si>
    <t>La Jagua Ibirico</t>
  </si>
  <si>
    <t>Manaure Balcón Del Cesar</t>
  </si>
  <si>
    <t>Pailitas</t>
  </si>
  <si>
    <t>Pelaya2</t>
  </si>
  <si>
    <t>Pueblo Bello1</t>
  </si>
  <si>
    <t>Río De Oro</t>
  </si>
  <si>
    <t>Robles (La Paz)</t>
  </si>
  <si>
    <t>San Alberto</t>
  </si>
  <si>
    <t>San Diego</t>
  </si>
  <si>
    <t>San Martín</t>
  </si>
  <si>
    <t>Tamalameque2</t>
  </si>
  <si>
    <t>MEMORIA TÉCNICA: Cuadro de metas de cargas contaminates individuales y globales de DBO5 y SST y compromisos para el quinquenio 2014 -2018</t>
  </si>
  <si>
    <t>Municipio/subtramo  de referencia</t>
  </si>
  <si>
    <t>Linea base y metas quinquenales del tramo</t>
  </si>
  <si>
    <t>DRUMMOND LTD. (Caño Paraluz,Piscina 1A, Vertimiento EH34)- POND 1A</t>
  </si>
  <si>
    <t>170000</t>
  </si>
  <si>
    <t>6701,72</t>
  </si>
  <si>
    <t>3674,73</t>
  </si>
  <si>
    <t>6972,46</t>
  </si>
  <si>
    <t>7175,21</t>
  </si>
  <si>
    <t>7383,85</t>
  </si>
  <si>
    <t>5907,08</t>
  </si>
  <si>
    <t>3823,19</t>
  </si>
  <si>
    <t>3934,36</t>
  </si>
  <si>
    <t>4048,77</t>
  </si>
  <si>
    <t>3239,01</t>
  </si>
  <si>
    <t>Cuadro de metas para usuarios de los tramos genéricos urbanos</t>
  </si>
  <si>
    <t>6985,85</t>
  </si>
  <si>
    <t>6045,4</t>
  </si>
  <si>
    <t>7110,76</t>
  </si>
  <si>
    <t>7362,92</t>
  </si>
  <si>
    <t>1472,58</t>
  </si>
  <si>
    <t>6153,54</t>
  </si>
  <si>
    <t>6261,70</t>
  </si>
  <si>
    <t>6371,76</t>
  </si>
  <si>
    <t>6483,75</t>
  </si>
  <si>
    <t>1296,75</t>
  </si>
  <si>
    <t>ALCALDIA MUNICIPAL LA GLORIA (Corregimiento BESOTE)</t>
  </si>
  <si>
    <t>8668,75</t>
  </si>
  <si>
    <t>10402,5</t>
  </si>
  <si>
    <t>8778,25</t>
  </si>
  <si>
    <t>1775,72</t>
  </si>
  <si>
    <t>1792,15</t>
  </si>
  <si>
    <t>1814,05</t>
  </si>
  <si>
    <t>1843,25</t>
  </si>
  <si>
    <t>10553,9</t>
  </si>
  <si>
    <t>2130,87</t>
  </si>
  <si>
    <t>2150,58</t>
  </si>
  <si>
    <t>2176,86</t>
  </si>
  <si>
    <t>2211,9</t>
  </si>
  <si>
    <t>ALCALDIA MUNICIPAL LA GLORIA (Corregimiento MOLINA)</t>
  </si>
  <si>
    <t>2034,87</t>
  </si>
  <si>
    <t>2441,85</t>
  </si>
  <si>
    <t>2135,25</t>
  </si>
  <si>
    <t>427,05</t>
  </si>
  <si>
    <t>461,72</t>
  </si>
  <si>
    <t>483,62</t>
  </si>
  <si>
    <t>505,52</t>
  </si>
  <si>
    <t>2562,3</t>
  </si>
  <si>
    <t>512,46</t>
  </si>
  <si>
    <t>554,07</t>
  </si>
  <si>
    <t>580,35</t>
  </si>
  <si>
    <t>606,63</t>
  </si>
  <si>
    <t>47701</t>
  </si>
  <si>
    <t>37343</t>
  </si>
  <si>
    <t>48049</t>
  </si>
  <si>
    <t>48773</t>
  </si>
  <si>
    <t>37691</t>
  </si>
  <si>
    <t>38415</t>
  </si>
  <si>
    <t>NI</t>
  </si>
  <si>
    <t>CONVENCIONES:</t>
  </si>
  <si>
    <t>CABECERA MUNICIPAL RIO DE ORO EMCAR E.S.P. (Rio de oro )</t>
  </si>
  <si>
    <t>CABECERA MUNICIPAL RIO DE ORO EMCAR E.S.P. ( Quebraditas)</t>
  </si>
  <si>
    <t>Las filas sombreadas coresponden a los usuarios que presenatron propuestas. Las demás son metas estimadas por CORPOCESAR</t>
  </si>
  <si>
    <t>TRAMO LA PAZ</t>
  </si>
  <si>
    <t>127296</t>
  </si>
  <si>
    <t>71576</t>
  </si>
  <si>
    <t>49438</t>
  </si>
  <si>
    <t>47761</t>
  </si>
  <si>
    <t>45907</t>
  </si>
  <si>
    <t>43866</t>
  </si>
  <si>
    <t>41619</t>
  </si>
  <si>
    <t>68048</t>
  </si>
  <si>
    <t>65142</t>
  </si>
  <si>
    <t>60398</t>
  </si>
  <si>
    <t>58102</t>
  </si>
  <si>
    <t>55090</t>
  </si>
  <si>
    <t>191834</t>
  </si>
  <si>
    <t>122827</t>
  </si>
  <si>
    <r>
      <rPr>
        <b/>
        <sz val="8"/>
        <color theme="1"/>
        <rFont val="Calibri"/>
        <family val="2"/>
        <scheme val="minor"/>
      </rPr>
      <t xml:space="preserve">NI: </t>
    </r>
    <r>
      <rPr>
        <sz val="8"/>
        <color theme="1"/>
        <rFont val="Calibri"/>
        <family val="2"/>
        <scheme val="minor"/>
      </rPr>
      <t>No Indica</t>
    </r>
  </si>
  <si>
    <t>IBIRICO (Corregimiento Boquerón)</t>
  </si>
  <si>
    <t>ALCALDIA MUNICIPAL LA JAGUA DE IBIRICO (Corregimiento Boquerón)</t>
  </si>
  <si>
    <t>CABECERA MUNICIPAL SAN MARTIN (APCES E.S.P) R LEBRIJA</t>
  </si>
  <si>
    <t>CABECERA MUNICIPAL SAN MARTIN - LA RAYITA</t>
  </si>
  <si>
    <t>Subtotal subtramo Valledupar Guatapurí</t>
  </si>
  <si>
    <t>Total subtramo Valledupar La Paz</t>
  </si>
  <si>
    <t>Total tramo La Jagua de Ibirico</t>
  </si>
  <si>
    <t>Total tramo Chiriguaná</t>
  </si>
  <si>
    <t>Total tramo ASTREA</t>
  </si>
  <si>
    <t>Total tramo El Paso</t>
  </si>
  <si>
    <t>Total tramo Pueblo Bello</t>
  </si>
  <si>
    <t>Total tramo E Copey</t>
  </si>
  <si>
    <t>Total tramo Chimichagua</t>
  </si>
  <si>
    <t>Total tramo Codazzi</t>
  </si>
  <si>
    <t>Total tramo Pelaya</t>
  </si>
  <si>
    <t>Total tramo Tamalameque</t>
  </si>
  <si>
    <t>Total tramo Aguachica</t>
  </si>
  <si>
    <t>Total tramo Gamarra</t>
  </si>
  <si>
    <t>Total tramo La Gloria</t>
  </si>
  <si>
    <t>Total tramo San Martin</t>
  </si>
  <si>
    <t>Total tramo San Alberto</t>
  </si>
  <si>
    <t>total tramo Rio de Oro</t>
  </si>
  <si>
    <t>Cuadro de metas GLOBALES POR TRAMOS URBANOS  de cargas contaminates de DBO5 y SST  para el quinquenio 2014 -2018</t>
  </si>
  <si>
    <t>OBSERVACIONES</t>
  </si>
  <si>
    <t>Metas de cargas anualizadas a 2018(kg/año)</t>
  </si>
  <si>
    <t>Total tramo Rio de Oro</t>
  </si>
  <si>
    <t>1. Los tramos totalizados incluyen las cargas de la cabecera, corregimientos y centros poblados. 2.Estas metas de tramo, son las que afectan el FACTOR REGIONAL cada año, CUANDO NO SE CUMPLE LA META INDIVIDUAL O GRUPAL</t>
  </si>
  <si>
    <t>MEMORIA TÉCNICA: Cuadro de metas de cargas contaminantes individuales y globales de DBO5 y SST y compromisos para el quinquenio 2014 -2018</t>
  </si>
  <si>
    <t>Meta global del tamo Minero</t>
  </si>
  <si>
    <t>Cuadro de metas GLOBAL a 2018 para el tramo genérico de mineria</t>
  </si>
  <si>
    <t>Linea base 2013  (kg/año)</t>
  </si>
  <si>
    <t>Meta global tramo generico agropecuario</t>
  </si>
  <si>
    <t xml:space="preserve">TRAMO </t>
  </si>
  <si>
    <t>Linea base a 2013 (kg/año)</t>
  </si>
  <si>
    <t>Cuadro de meta GLOBAL  tramo generico  agropecuario - ( AGROINDUSTRIALES)</t>
  </si>
  <si>
    <t>Carga meta del tramo genérico a 2018 (kg/año)</t>
  </si>
  <si>
    <t>Industrias manufactureras, palmicultoras, centros de benefico de ganado, etc.</t>
  </si>
  <si>
    <t xml:space="preserve"> (todas las empresas dedicadas a la mineria en la jurisdicción de Corpocesar)</t>
  </si>
  <si>
    <t>Metas de cargas a 2018 (Kg/año)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</si>
</sst>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0.000"/>
    <numFmt numFmtId="166" formatCode="0.000"/>
    <numFmt numFmtId="167" formatCode="0.0"/>
    <numFmt numFmtId="168" formatCode="_(* #,##0_);_(* \(#,##0\);_(* &quot;-&quot;??_);_(@_)"/>
  </numFmts>
  <fonts count="14" x14ac:knownFonts="1">
    <font>
      <sz val="11"/>
      <color theme="1"/>
      <name val="Calibri"/>
      <family val="2"/>
      <scheme val="minor"/>
    </font>
    <font>
      <sz val="8"/>
      <color theme="1"/>
      <name val="Calibri"/>
      <family val="2"/>
      <scheme val="minor"/>
    </font>
    <font>
      <b/>
      <sz val="8"/>
      <color theme="1"/>
      <name val="Calibri"/>
      <family val="2"/>
      <scheme val="minor"/>
    </font>
    <font>
      <sz val="8"/>
      <color rgb="FFFF0000"/>
      <name val="Calibri"/>
      <family val="2"/>
      <scheme val="minor"/>
    </font>
    <font>
      <b/>
      <sz val="8"/>
      <name val="Calibri"/>
      <family val="2"/>
      <scheme val="minor"/>
    </font>
    <font>
      <sz val="9"/>
      <color indexed="81"/>
      <name val="Tahoma"/>
      <family val="2"/>
    </font>
    <font>
      <b/>
      <sz val="9"/>
      <color indexed="81"/>
      <name val="Tahoma"/>
      <family val="2"/>
    </font>
    <font>
      <sz val="11"/>
      <color rgb="FFFF0000"/>
      <name val="Calibri"/>
      <family val="2"/>
      <scheme val="minor"/>
    </font>
    <font>
      <b/>
      <sz val="11"/>
      <color theme="1"/>
      <name val="Calibri"/>
      <family val="2"/>
      <scheme val="minor"/>
    </font>
    <font>
      <b/>
      <sz val="8"/>
      <color theme="0"/>
      <name val="Calibri"/>
      <family val="2"/>
      <scheme val="minor"/>
    </font>
    <font>
      <sz val="8"/>
      <color theme="0"/>
      <name val="Calibri"/>
      <family val="2"/>
      <scheme val="minor"/>
    </font>
    <font>
      <sz val="11"/>
      <color theme="1"/>
      <name val="Calibri"/>
      <family val="2"/>
      <scheme val="minor"/>
    </font>
    <font>
      <sz val="9"/>
      <color indexed="81"/>
      <name val="Tahoma"/>
      <charset val="1"/>
    </font>
    <font>
      <b/>
      <sz val="9"/>
      <color indexed="81"/>
      <name val="Tahoma"/>
      <charset val="1"/>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theme="0" tint="-0.249977111117893"/>
        <bgColor indexed="64"/>
      </patternFill>
    </fill>
    <fill>
      <patternFill patternType="solid">
        <fgColor theme="0" tint="-0.34998626667073579"/>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bottom style="medium">
        <color indexed="64"/>
      </bottom>
      <diagonal/>
    </border>
  </borders>
  <cellStyleXfs count="2">
    <xf numFmtId="0" fontId="0" fillId="0" borderId="0"/>
    <xf numFmtId="164" fontId="11" fillId="0" borderId="0" applyFont="0" applyFill="0" applyBorder="0" applyAlignment="0" applyProtection="0"/>
  </cellStyleXfs>
  <cellXfs count="398">
    <xf numFmtId="0" fontId="0" fillId="0" borderId="0" xfId="0"/>
    <xf numFmtId="0" fontId="1" fillId="0" borderId="1" xfId="0" applyFont="1" applyBorder="1"/>
    <xf numFmtId="0" fontId="1" fillId="0" borderId="17" xfId="0" applyFont="1" applyBorder="1"/>
    <xf numFmtId="0" fontId="1" fillId="0" borderId="18" xfId="0" applyFont="1" applyBorder="1"/>
    <xf numFmtId="0" fontId="1" fillId="0" borderId="27" xfId="0" applyFont="1" applyBorder="1"/>
    <xf numFmtId="0" fontId="1" fillId="0" borderId="13" xfId="0" applyFont="1" applyBorder="1"/>
    <xf numFmtId="0" fontId="1" fillId="0" borderId="19" xfId="0" applyFont="1" applyBorder="1"/>
    <xf numFmtId="0" fontId="1" fillId="0" borderId="14" xfId="0" applyFont="1" applyBorder="1"/>
    <xf numFmtId="0" fontId="1" fillId="0" borderId="15" xfId="0" applyFont="1" applyBorder="1"/>
    <xf numFmtId="0" fontId="1" fillId="0" borderId="3" xfId="0" applyFont="1" applyBorder="1"/>
    <xf numFmtId="0" fontId="1" fillId="0" borderId="32" xfId="0" applyFont="1" applyBorder="1"/>
    <xf numFmtId="0" fontId="1" fillId="0" borderId="32" xfId="0" applyFont="1" applyBorder="1" applyAlignment="1">
      <alignment wrapText="1"/>
    </xf>
    <xf numFmtId="0" fontId="1" fillId="0" borderId="33" xfId="0" applyFont="1" applyBorder="1"/>
    <xf numFmtId="0" fontId="1" fillId="0" borderId="34" xfId="0" applyFont="1" applyBorder="1" applyAlignment="1">
      <alignment wrapText="1"/>
    </xf>
    <xf numFmtId="0" fontId="1" fillId="0" borderId="16" xfId="0" applyFont="1" applyBorder="1"/>
    <xf numFmtId="0" fontId="0" fillId="0" borderId="0" xfId="0" applyFill="1"/>
    <xf numFmtId="0" fontId="1" fillId="2" borderId="32" xfId="0" applyFont="1" applyFill="1" applyBorder="1" applyAlignment="1">
      <alignment wrapText="1"/>
    </xf>
    <xf numFmtId="0" fontId="1" fillId="2" borderId="32" xfId="0" applyFont="1" applyFill="1" applyBorder="1"/>
    <xf numFmtId="0" fontId="1" fillId="0" borderId="32" xfId="0" applyFont="1" applyFill="1" applyBorder="1"/>
    <xf numFmtId="0" fontId="1" fillId="2" borderId="0" xfId="0" applyFont="1" applyFill="1" applyBorder="1"/>
    <xf numFmtId="166" fontId="7" fillId="0" borderId="0" xfId="0" applyNumberFormat="1" applyFont="1"/>
    <xf numFmtId="0" fontId="8" fillId="0" borderId="0" xfId="0" applyFont="1"/>
    <xf numFmtId="0" fontId="0" fillId="3" borderId="0" xfId="0" applyFill="1"/>
    <xf numFmtId="166" fontId="7" fillId="3" borderId="0" xfId="0" applyNumberFormat="1" applyFont="1" applyFill="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4" xfId="0" applyFont="1" applyBorder="1" applyAlignment="1">
      <alignment wrapText="1"/>
    </xf>
    <xf numFmtId="0" fontId="1" fillId="0" borderId="34" xfId="0" applyFont="1" applyBorder="1"/>
    <xf numFmtId="0" fontId="2" fillId="0" borderId="8" xfId="0" applyFont="1" applyBorder="1" applyAlignment="1">
      <alignment wrapText="1"/>
    </xf>
    <xf numFmtId="0" fontId="1" fillId="0" borderId="31" xfId="0" applyFont="1" applyBorder="1"/>
    <xf numFmtId="0" fontId="1" fillId="0" borderId="31" xfId="0" applyFont="1" applyBorder="1" applyAlignment="1">
      <alignment wrapText="1"/>
    </xf>
    <xf numFmtId="0" fontId="0" fillId="0" borderId="8" xfId="0" applyBorder="1"/>
    <xf numFmtId="0" fontId="0" fillId="0" borderId="37" xfId="0" applyBorder="1"/>
    <xf numFmtId="3" fontId="1" fillId="0" borderId="27" xfId="0" applyNumberFormat="1" applyFont="1" applyBorder="1" applyAlignment="1">
      <alignment horizontal="center" vertical="center"/>
    </xf>
    <xf numFmtId="3" fontId="4" fillId="2" borderId="27" xfId="0" applyNumberFormat="1" applyFont="1" applyFill="1" applyBorder="1" applyAlignment="1">
      <alignment horizontal="center" vertical="center"/>
    </xf>
    <xf numFmtId="0" fontId="1" fillId="0" borderId="27" xfId="0" applyFont="1" applyBorder="1" applyAlignment="1">
      <alignment horizontal="center" vertical="center"/>
    </xf>
    <xf numFmtId="3" fontId="1" fillId="2" borderId="27" xfId="0" applyNumberFormat="1" applyFont="1" applyFill="1" applyBorder="1" applyAlignment="1">
      <alignment horizontal="center" vertical="center"/>
    </xf>
    <xf numFmtId="0" fontId="1" fillId="2" borderId="27" xfId="0" applyFont="1" applyFill="1" applyBorder="1" applyAlignment="1">
      <alignment horizontal="center" vertical="center"/>
    </xf>
    <xf numFmtId="0" fontId="3" fillId="2" borderId="27" xfId="0" applyFont="1" applyFill="1" applyBorder="1" applyAlignment="1">
      <alignment horizontal="center" vertical="center"/>
    </xf>
    <xf numFmtId="3" fontId="3" fillId="2" borderId="27" xfId="0" applyNumberFormat="1" applyFont="1" applyFill="1" applyBorder="1" applyAlignment="1">
      <alignment horizontal="center" vertical="center"/>
    </xf>
    <xf numFmtId="3" fontId="1" fillId="0" borderId="38" xfId="0" applyNumberFormat="1" applyFont="1" applyBorder="1" applyAlignment="1">
      <alignment horizontal="center" vertical="center"/>
    </xf>
    <xf numFmtId="0" fontId="1" fillId="0" borderId="13" xfId="0" applyFont="1" applyBorder="1" applyAlignment="1">
      <alignment horizontal="center" vertical="center"/>
    </xf>
    <xf numFmtId="3" fontId="4" fillId="2" borderId="1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3" xfId="0" applyFont="1" applyFill="1" applyBorder="1" applyAlignment="1">
      <alignment horizontal="center" vertical="center"/>
    </xf>
    <xf numFmtId="3" fontId="3" fillId="2" borderId="13" xfId="0" applyNumberFormat="1" applyFont="1" applyFill="1" applyBorder="1" applyAlignment="1">
      <alignment horizontal="center" vertical="center"/>
    </xf>
    <xf numFmtId="3" fontId="1" fillId="0" borderId="13" xfId="0" applyNumberFormat="1" applyFont="1" applyBorder="1" applyAlignment="1">
      <alignment horizontal="center" vertical="center"/>
    </xf>
    <xf numFmtId="1" fontId="1" fillId="0" borderId="27" xfId="0" applyNumberFormat="1" applyFont="1" applyBorder="1" applyAlignment="1">
      <alignment horizontal="center" vertical="center"/>
    </xf>
    <xf numFmtId="0" fontId="3" fillId="2" borderId="13" xfId="0" applyFont="1" applyFill="1" applyBorder="1" applyAlignment="1">
      <alignment horizontal="center" vertical="center"/>
    </xf>
    <xf numFmtId="0" fontId="1" fillId="2" borderId="32" xfId="0" applyFont="1" applyFill="1" applyBorder="1" applyAlignment="1">
      <alignment horizontal="center" vertical="center"/>
    </xf>
    <xf numFmtId="3" fontId="1" fillId="2" borderId="13" xfId="0" applyNumberFormat="1" applyFont="1" applyFill="1" applyBorder="1" applyAlignment="1">
      <alignment horizontal="center" vertical="center"/>
    </xf>
    <xf numFmtId="165" fontId="1" fillId="2" borderId="27" xfId="0" applyNumberFormat="1"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32" xfId="0" applyFont="1" applyBorder="1" applyAlignment="1">
      <alignment horizontal="center" vertical="center"/>
    </xf>
    <xf numFmtId="0" fontId="1" fillId="0" borderId="39" xfId="0" applyFont="1" applyBorder="1" applyAlignment="1">
      <alignment horizontal="center" vertical="center"/>
    </xf>
    <xf numFmtId="1" fontId="1" fillId="0" borderId="38" xfId="0" applyNumberFormat="1" applyFont="1" applyBorder="1" applyAlignment="1">
      <alignment horizontal="center" vertical="center"/>
    </xf>
    <xf numFmtId="0" fontId="1" fillId="0" borderId="38" xfId="0" applyFont="1" applyBorder="1" applyAlignment="1">
      <alignment horizontal="center" vertical="center"/>
    </xf>
    <xf numFmtId="0" fontId="1" fillId="0" borderId="4" xfId="0" applyFont="1" applyBorder="1" applyAlignment="1">
      <alignment horizontal="center" vertical="center"/>
    </xf>
    <xf numFmtId="0" fontId="0" fillId="0" borderId="6" xfId="0" applyBorder="1" applyAlignment="1">
      <alignment horizontal="center" vertical="center"/>
    </xf>
    <xf numFmtId="3" fontId="10" fillId="4" borderId="38" xfId="0" applyNumberFormat="1" applyFont="1" applyFill="1" applyBorder="1" applyAlignment="1">
      <alignment horizontal="center" vertical="center"/>
    </xf>
    <xf numFmtId="0" fontId="2" fillId="0" borderId="41"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0" xfId="0" applyFont="1" applyBorder="1" applyAlignment="1">
      <alignment horizontal="center" vertical="center" wrapText="1"/>
    </xf>
    <xf numFmtId="1" fontId="1" fillId="0" borderId="1" xfId="0" applyNumberFormat="1" applyFont="1" applyBorder="1"/>
    <xf numFmtId="0" fontId="1" fillId="0" borderId="30" xfId="0" applyFont="1" applyFill="1" applyBorder="1" applyAlignment="1">
      <alignment wrapText="1"/>
    </xf>
    <xf numFmtId="0" fontId="2" fillId="0" borderId="30" xfId="0" applyFont="1" applyFill="1" applyBorder="1" applyAlignment="1">
      <alignment wrapText="1"/>
    </xf>
    <xf numFmtId="3" fontId="1" fillId="0" borderId="45" xfId="0" applyNumberFormat="1" applyFont="1" applyFill="1" applyBorder="1" applyAlignment="1">
      <alignment horizontal="center" vertical="center"/>
    </xf>
    <xf numFmtId="3" fontId="1" fillId="0" borderId="46" xfId="0" applyNumberFormat="1" applyFont="1" applyFill="1" applyBorder="1" applyAlignment="1">
      <alignment horizontal="center" vertical="center"/>
    </xf>
    <xf numFmtId="3" fontId="1" fillId="0" borderId="47" xfId="0" applyNumberFormat="1" applyFont="1" applyFill="1" applyBorder="1" applyAlignment="1">
      <alignment horizontal="center" vertical="center"/>
    </xf>
    <xf numFmtId="0" fontId="1" fillId="0" borderId="46" xfId="0" applyFont="1" applyFill="1" applyBorder="1" applyAlignment="1">
      <alignment horizontal="center" vertical="center"/>
    </xf>
    <xf numFmtId="167" fontId="1" fillId="0" borderId="16" xfId="0" applyNumberFormat="1" applyFont="1" applyBorder="1"/>
    <xf numFmtId="167" fontId="1" fillId="0" borderId="17" xfId="0" applyNumberFormat="1" applyFont="1" applyBorder="1"/>
    <xf numFmtId="3" fontId="1" fillId="0" borderId="16" xfId="0" applyNumberFormat="1" applyFont="1" applyBorder="1"/>
    <xf numFmtId="3" fontId="1" fillId="0" borderId="13" xfId="0" applyNumberFormat="1" applyFont="1" applyBorder="1"/>
    <xf numFmtId="3" fontId="1" fillId="0" borderId="27" xfId="0" applyNumberFormat="1" applyFont="1" applyBorder="1"/>
    <xf numFmtId="3" fontId="1" fillId="0" borderId="48" xfId="0" applyNumberFormat="1" applyFont="1" applyBorder="1"/>
    <xf numFmtId="0" fontId="0" fillId="0" borderId="44" xfId="0" applyBorder="1" applyAlignment="1">
      <alignment horizontal="center" vertical="center"/>
    </xf>
    <xf numFmtId="3" fontId="2" fillId="5" borderId="37" xfId="0" applyNumberFormat="1" applyFont="1" applyFill="1" applyBorder="1" applyAlignment="1">
      <alignment horizontal="center" vertical="center"/>
    </xf>
    <xf numFmtId="0" fontId="1" fillId="0" borderId="0" xfId="0" applyFont="1"/>
    <xf numFmtId="2" fontId="1" fillId="0" borderId="0" xfId="0" applyNumberFormat="1" applyFont="1"/>
    <xf numFmtId="0" fontId="1" fillId="0" borderId="9" xfId="0" applyFont="1" applyFill="1" applyBorder="1" applyAlignment="1">
      <alignment wrapText="1"/>
    </xf>
    <xf numFmtId="0" fontId="2" fillId="0" borderId="4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7" xfId="0" applyFont="1" applyFill="1" applyBorder="1"/>
    <xf numFmtId="0" fontId="9" fillId="4" borderId="9" xfId="0" applyFont="1" applyFill="1" applyBorder="1" applyAlignment="1">
      <alignment horizontal="center" vertical="center" wrapText="1"/>
    </xf>
    <xf numFmtId="3" fontId="1" fillId="0" borderId="29" xfId="0" applyNumberFormat="1" applyFont="1" applyBorder="1" applyAlignment="1">
      <alignment horizontal="center" vertical="center"/>
    </xf>
    <xf numFmtId="3" fontId="1" fillId="0" borderId="11" xfId="0" applyNumberFormat="1" applyFont="1" applyBorder="1" applyAlignment="1">
      <alignment horizontal="center" vertical="center"/>
    </xf>
    <xf numFmtId="168" fontId="1" fillId="0" borderId="16" xfId="1" applyNumberFormat="1" applyFont="1" applyBorder="1" applyAlignment="1">
      <alignment horizontal="center" vertical="center"/>
    </xf>
    <xf numFmtId="168" fontId="1" fillId="0" borderId="17" xfId="1" applyNumberFormat="1" applyFont="1" applyBorder="1" applyAlignment="1">
      <alignment horizontal="center" vertical="center"/>
    </xf>
    <xf numFmtId="168" fontId="1" fillId="0" borderId="29" xfId="1" applyNumberFormat="1" applyFont="1" applyBorder="1" applyAlignment="1">
      <alignment horizontal="center" vertical="center"/>
    </xf>
    <xf numFmtId="0" fontId="1" fillId="0" borderId="29" xfId="0" applyFont="1" applyBorder="1" applyAlignment="1">
      <alignment horizontal="center" vertical="center"/>
    </xf>
    <xf numFmtId="0" fontId="1" fillId="0" borderId="12" xfId="0" applyFont="1" applyBorder="1" applyAlignment="1">
      <alignment horizontal="center" vertical="center"/>
    </xf>
    <xf numFmtId="168" fontId="1" fillId="0" borderId="3" xfId="1" applyNumberFormat="1" applyFont="1" applyBorder="1" applyAlignment="1">
      <alignment horizontal="center" vertical="center"/>
    </xf>
    <xf numFmtId="168" fontId="1" fillId="0" borderId="2" xfId="1" applyNumberFormat="1" applyFont="1" applyBorder="1" applyAlignment="1">
      <alignment horizontal="center" vertical="center"/>
    </xf>
    <xf numFmtId="3" fontId="1" fillId="0" borderId="21" xfId="0" applyNumberFormat="1" applyFont="1" applyBorder="1" applyAlignment="1">
      <alignment horizontal="center" vertical="center"/>
    </xf>
    <xf numFmtId="3" fontId="1" fillId="0" borderId="35" xfId="0" applyNumberFormat="1" applyFont="1" applyBorder="1" applyAlignment="1">
      <alignment horizontal="center" vertical="center"/>
    </xf>
    <xf numFmtId="168" fontId="1" fillId="0" borderId="5" xfId="1" applyNumberFormat="1" applyFont="1" applyBorder="1" applyAlignment="1">
      <alignment horizontal="center" vertical="center"/>
    </xf>
    <xf numFmtId="168" fontId="1" fillId="0" borderId="6" xfId="1" applyNumberFormat="1" applyFont="1" applyBorder="1" applyAlignment="1">
      <alignment horizontal="center" vertical="center"/>
    </xf>
    <xf numFmtId="168" fontId="1" fillId="0" borderId="44" xfId="1" applyNumberFormat="1" applyFont="1" applyBorder="1" applyAlignment="1">
      <alignment horizontal="center" vertical="center"/>
    </xf>
    <xf numFmtId="0" fontId="1" fillId="0" borderId="44" xfId="0" applyFont="1" applyBorder="1" applyAlignment="1">
      <alignment horizontal="center" vertical="center"/>
    </xf>
    <xf numFmtId="0" fontId="1" fillId="0" borderId="10" xfId="0" applyFont="1" applyBorder="1" applyAlignment="1">
      <alignment horizontal="center" vertical="center"/>
    </xf>
    <xf numFmtId="3" fontId="2" fillId="6" borderId="44" xfId="0" applyNumberFormat="1" applyFont="1" applyFill="1" applyBorder="1" applyAlignment="1">
      <alignment horizontal="center" vertical="center"/>
    </xf>
    <xf numFmtId="3" fontId="2" fillId="6" borderId="49" xfId="0" applyNumberFormat="1" applyFont="1" applyFill="1" applyBorder="1" applyAlignment="1">
      <alignment horizontal="center" vertical="center"/>
    </xf>
    <xf numFmtId="0" fontId="2" fillId="6" borderId="5"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44" xfId="0" applyFont="1" applyFill="1" applyBorder="1" applyAlignment="1">
      <alignment horizontal="center" vertical="center"/>
    </xf>
    <xf numFmtId="168" fontId="2" fillId="6" borderId="7" xfId="0" applyNumberFormat="1" applyFont="1" applyFill="1" applyBorder="1" applyAlignment="1">
      <alignment horizontal="center" vertical="center"/>
    </xf>
    <xf numFmtId="168" fontId="1" fillId="0" borderId="50" xfId="1" applyNumberFormat="1" applyFont="1" applyBorder="1" applyAlignment="1">
      <alignment horizontal="center" vertical="center"/>
    </xf>
    <xf numFmtId="168" fontId="1" fillId="0" borderId="51" xfId="1" applyNumberFormat="1" applyFont="1" applyBorder="1" applyAlignment="1">
      <alignment horizontal="center" vertical="center"/>
    </xf>
    <xf numFmtId="168" fontId="1" fillId="0" borderId="45" xfId="1" applyNumberFormat="1" applyFont="1" applyBorder="1" applyAlignment="1">
      <alignment horizontal="center" vertical="center"/>
    </xf>
    <xf numFmtId="168" fontId="1" fillId="0" borderId="47" xfId="1" applyNumberFormat="1" applyFont="1" applyBorder="1" applyAlignment="1">
      <alignment horizontal="center" vertical="center"/>
    </xf>
    <xf numFmtId="0" fontId="1" fillId="0" borderId="50" xfId="0" applyFont="1" applyBorder="1" applyAlignment="1">
      <alignment horizontal="center" vertical="center"/>
    </xf>
    <xf numFmtId="1" fontId="1" fillId="2" borderId="3"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2"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3" fontId="1" fillId="0" borderId="3" xfId="0" applyNumberFormat="1" applyFont="1" applyBorder="1" applyAlignment="1">
      <alignment horizontal="center" vertical="center"/>
    </xf>
    <xf numFmtId="3" fontId="1" fillId="0" borderId="2" xfId="0" applyNumberFormat="1" applyFont="1" applyBorder="1" applyAlignment="1">
      <alignment horizontal="center" vertical="center"/>
    </xf>
    <xf numFmtId="168" fontId="1" fillId="0" borderId="27" xfId="1" applyNumberFormat="1" applyFont="1" applyBorder="1" applyAlignment="1">
      <alignment horizontal="center" vertical="center"/>
    </xf>
    <xf numFmtId="168" fontId="1" fillId="0" borderId="1" xfId="1" applyNumberFormat="1" applyFont="1" applyBorder="1" applyAlignment="1">
      <alignment horizontal="center" vertical="center"/>
    </xf>
    <xf numFmtId="0" fontId="1" fillId="0" borderId="3" xfId="0" applyFont="1" applyBorder="1" applyAlignment="1">
      <alignment horizontal="center" vertical="center"/>
    </xf>
    <xf numFmtId="3" fontId="1" fillId="0" borderId="53" xfId="0" applyNumberFormat="1" applyFont="1" applyBorder="1" applyAlignment="1">
      <alignment horizontal="center" vertical="center"/>
    </xf>
    <xf numFmtId="3" fontId="1" fillId="0" borderId="54" xfId="0" applyNumberFormat="1" applyFont="1" applyBorder="1" applyAlignment="1">
      <alignment horizontal="center" vertical="center"/>
    </xf>
    <xf numFmtId="168" fontId="1" fillId="0" borderId="38" xfId="1" applyNumberFormat="1" applyFont="1" applyBorder="1" applyAlignment="1">
      <alignment horizontal="center" vertical="center"/>
    </xf>
    <xf numFmtId="168" fontId="1" fillId="0" borderId="4" xfId="1" applyNumberFormat="1" applyFont="1" applyBorder="1" applyAlignment="1">
      <alignment horizontal="center" vertical="center"/>
    </xf>
    <xf numFmtId="168" fontId="1" fillId="0" borderId="53" xfId="1" applyNumberFormat="1" applyFont="1" applyBorder="1" applyAlignment="1">
      <alignment horizontal="center" vertical="center"/>
    </xf>
    <xf numFmtId="0" fontId="1" fillId="0" borderId="53" xfId="0" applyFont="1" applyBorder="1" applyAlignment="1">
      <alignment horizontal="center" vertical="center"/>
    </xf>
    <xf numFmtId="168" fontId="1" fillId="6" borderId="5" xfId="1" applyNumberFormat="1" applyFont="1" applyFill="1" applyBorder="1" applyAlignment="1">
      <alignment horizontal="center" vertical="center"/>
    </xf>
    <xf numFmtId="168" fontId="1" fillId="6" borderId="6" xfId="1" applyNumberFormat="1" applyFont="1" applyFill="1" applyBorder="1" applyAlignment="1">
      <alignment horizontal="center" vertical="center"/>
    </xf>
    <xf numFmtId="168" fontId="2" fillId="6" borderId="49" xfId="1" applyNumberFormat="1" applyFont="1" applyFill="1" applyBorder="1" applyAlignment="1">
      <alignment horizontal="center" vertical="center"/>
    </xf>
    <xf numFmtId="168" fontId="1" fillId="6" borderId="44" xfId="1" applyNumberFormat="1" applyFont="1" applyFill="1" applyBorder="1" applyAlignment="1">
      <alignment horizontal="center" vertical="center"/>
    </xf>
    <xf numFmtId="0" fontId="1" fillId="6" borderId="44" xfId="0" applyFont="1" applyFill="1" applyBorder="1" applyAlignment="1">
      <alignment horizontal="center" vertical="center"/>
    </xf>
    <xf numFmtId="0" fontId="1" fillId="6" borderId="6" xfId="0" applyFont="1" applyFill="1" applyBorder="1" applyAlignment="1">
      <alignment horizontal="center" vertical="center"/>
    </xf>
    <xf numFmtId="0" fontId="1" fillId="6" borderId="7"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1" fontId="2" fillId="0" borderId="7" xfId="0" applyNumberFormat="1" applyFont="1" applyFill="1" applyBorder="1" applyAlignment="1">
      <alignment horizontal="center" vertical="center"/>
    </xf>
    <xf numFmtId="0" fontId="1" fillId="0" borderId="44" xfId="0" applyFont="1" applyFill="1" applyBorder="1" applyAlignment="1">
      <alignment horizontal="center" vertical="center"/>
    </xf>
    <xf numFmtId="0" fontId="1" fillId="0" borderId="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9"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10" xfId="0" applyFont="1" applyFill="1" applyBorder="1" applyAlignment="1">
      <alignment horizontal="center" vertical="center"/>
    </xf>
    <xf numFmtId="1" fontId="1" fillId="2" borderId="5" xfId="0" applyNumberFormat="1" applyFont="1" applyFill="1" applyBorder="1" applyAlignment="1">
      <alignment horizontal="center" vertical="center"/>
    </xf>
    <xf numFmtId="1" fontId="1" fillId="2" borderId="6" xfId="0" applyNumberFormat="1" applyFont="1" applyFill="1" applyBorder="1" applyAlignment="1">
      <alignment horizontal="center" vertical="center"/>
    </xf>
    <xf numFmtId="1" fontId="2" fillId="2" borderId="6" xfId="0" applyNumberFormat="1" applyFont="1" applyFill="1" applyBorder="1" applyAlignment="1">
      <alignment horizontal="center" vertical="center"/>
    </xf>
    <xf numFmtId="1" fontId="1" fillId="2" borderId="44" xfId="0" applyNumberFormat="1" applyFont="1" applyFill="1" applyBorder="1" applyAlignment="1">
      <alignment horizontal="center" vertical="center"/>
    </xf>
    <xf numFmtId="0" fontId="2" fillId="0" borderId="44" xfId="0" applyFont="1" applyBorder="1" applyAlignment="1">
      <alignment horizontal="center" vertical="center"/>
    </xf>
    <xf numFmtId="1" fontId="2" fillId="0" borderId="6" xfId="0" applyNumberFormat="1" applyFont="1" applyBorder="1" applyAlignment="1">
      <alignment horizontal="center" vertical="center"/>
    </xf>
    <xf numFmtId="1" fontId="2" fillId="0" borderId="44" xfId="0" applyNumberFormat="1" applyFont="1" applyBorder="1" applyAlignment="1">
      <alignment horizontal="center" vertical="center"/>
    </xf>
    <xf numFmtId="0" fontId="2" fillId="0" borderId="10" xfId="0" applyFont="1" applyBorder="1" applyAlignment="1">
      <alignment horizontal="center" vertical="center"/>
    </xf>
    <xf numFmtId="1" fontId="1" fillId="0" borderId="47" xfId="0" applyNumberFormat="1" applyFont="1" applyBorder="1" applyAlignment="1">
      <alignment horizontal="center" vertical="center"/>
    </xf>
    <xf numFmtId="1" fontId="1" fillId="0" borderId="50" xfId="0" applyNumberFormat="1" applyFont="1" applyBorder="1" applyAlignment="1">
      <alignment horizontal="center" vertical="center"/>
    </xf>
    <xf numFmtId="1" fontId="1" fillId="0" borderId="1" xfId="0" applyNumberFormat="1" applyFont="1" applyBorder="1" applyAlignment="1">
      <alignment horizontal="center" vertical="center"/>
    </xf>
    <xf numFmtId="1" fontId="1" fillId="0" borderId="3" xfId="0" applyNumberFormat="1" applyFont="1" applyBorder="1" applyAlignment="1">
      <alignment horizontal="center" vertical="center"/>
    </xf>
    <xf numFmtId="0" fontId="2" fillId="6" borderId="49" xfId="0" applyFont="1" applyFill="1" applyBorder="1" applyAlignment="1">
      <alignment horizontal="center" vertical="center"/>
    </xf>
    <xf numFmtId="1" fontId="1" fillId="6" borderId="5" xfId="0" applyNumberFormat="1" applyFont="1" applyFill="1" applyBorder="1" applyAlignment="1">
      <alignment horizontal="center" vertical="center"/>
    </xf>
    <xf numFmtId="1" fontId="1" fillId="6" borderId="6" xfId="0" applyNumberFormat="1" applyFont="1" applyFill="1" applyBorder="1" applyAlignment="1">
      <alignment horizontal="center" vertical="center"/>
    </xf>
    <xf numFmtId="1" fontId="2" fillId="6" borderId="6" xfId="0" applyNumberFormat="1" applyFont="1" applyFill="1" applyBorder="1" applyAlignment="1">
      <alignment horizontal="center" vertical="center"/>
    </xf>
    <xf numFmtId="1" fontId="1" fillId="6" borderId="44" xfId="0" applyNumberFormat="1" applyFont="1" applyFill="1" applyBorder="1" applyAlignment="1">
      <alignment horizontal="center" vertical="center"/>
    </xf>
    <xf numFmtId="0" fontId="1" fillId="6" borderId="10" xfId="0" applyFont="1" applyFill="1" applyBorder="1" applyAlignment="1">
      <alignment horizontal="center" vertical="center"/>
    </xf>
    <xf numFmtId="0" fontId="1" fillId="0" borderId="45" xfId="0" applyFont="1" applyBorder="1" applyAlignment="1">
      <alignment horizontal="center" vertical="center"/>
    </xf>
    <xf numFmtId="0" fontId="1" fillId="0" borderId="47" xfId="0" applyFont="1" applyBorder="1" applyAlignment="1">
      <alignment horizontal="center" vertical="center"/>
    </xf>
    <xf numFmtId="1" fontId="2" fillId="6" borderId="49" xfId="0" applyNumberFormat="1" applyFont="1" applyFill="1" applyBorder="1" applyAlignment="1">
      <alignment horizontal="center" vertical="center"/>
    </xf>
    <xf numFmtId="0" fontId="1" fillId="6" borderId="5" xfId="0" applyFont="1" applyFill="1" applyBorder="1" applyAlignment="1">
      <alignment horizontal="center" vertical="center"/>
    </xf>
    <xf numFmtId="0" fontId="1" fillId="0" borderId="6" xfId="0" applyFont="1" applyBorder="1" applyAlignment="1">
      <alignment horizontal="center" vertical="center"/>
    </xf>
    <xf numFmtId="168" fontId="2" fillId="6" borderId="6" xfId="1" applyNumberFormat="1" applyFont="1" applyFill="1" applyBorder="1" applyAlignment="1">
      <alignment horizontal="center" vertical="center"/>
    </xf>
    <xf numFmtId="0" fontId="1" fillId="0" borderId="46" xfId="0" applyFont="1" applyBorder="1" applyAlignment="1">
      <alignment horizontal="center" vertical="center"/>
    </xf>
    <xf numFmtId="0" fontId="1" fillId="2" borderId="50"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46" xfId="0" applyFont="1" applyFill="1" applyBorder="1" applyAlignment="1">
      <alignment horizontal="center" vertical="center"/>
    </xf>
    <xf numFmtId="0" fontId="1" fillId="0" borderId="7" xfId="0" applyFont="1" applyBorder="1" applyAlignment="1">
      <alignment horizontal="center" vertical="center"/>
    </xf>
    <xf numFmtId="0" fontId="2" fillId="6" borderId="9" xfId="0" applyFont="1" applyFill="1" applyBorder="1" applyAlignment="1">
      <alignment horizontal="center" vertical="center"/>
    </xf>
    <xf numFmtId="1" fontId="2" fillId="6" borderId="44" xfId="0" applyNumberFormat="1" applyFont="1" applyFill="1" applyBorder="1" applyAlignment="1">
      <alignment horizontal="center" vertical="center"/>
    </xf>
    <xf numFmtId="0" fontId="1" fillId="0" borderId="50"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53" xfId="0" applyFont="1" applyFill="1" applyBorder="1" applyAlignment="1">
      <alignment horizontal="center" vertical="center"/>
    </xf>
    <xf numFmtId="168" fontId="2" fillId="6" borderId="37" xfId="1" applyNumberFormat="1" applyFont="1" applyFill="1" applyBorder="1" applyAlignment="1">
      <alignment horizontal="center" vertical="center"/>
    </xf>
    <xf numFmtId="0" fontId="1" fillId="0" borderId="3" xfId="0" applyFont="1" applyFill="1" applyBorder="1" applyAlignment="1">
      <alignment horizontal="center" vertical="center"/>
    </xf>
    <xf numFmtId="168" fontId="2" fillId="6" borderId="44" xfId="1" applyNumberFormat="1" applyFont="1" applyFill="1" applyBorder="1" applyAlignment="1">
      <alignment horizontal="center" vertical="center"/>
    </xf>
    <xf numFmtId="168" fontId="2" fillId="6" borderId="5" xfId="1" applyNumberFormat="1" applyFont="1" applyFill="1" applyBorder="1" applyAlignment="1">
      <alignment horizontal="center" vertical="center"/>
    </xf>
    <xf numFmtId="0" fontId="1" fillId="0" borderId="53"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57" xfId="0" applyFont="1" applyFill="1" applyBorder="1" applyAlignment="1">
      <alignment horizontal="center" vertical="center"/>
    </xf>
    <xf numFmtId="168" fontId="2" fillId="6" borderId="7" xfId="1" applyNumberFormat="1" applyFont="1" applyFill="1" applyBorder="1" applyAlignment="1">
      <alignment horizontal="center" vertical="center"/>
    </xf>
    <xf numFmtId="0" fontId="1" fillId="0" borderId="34" xfId="0" applyFont="1" applyBorder="1" applyAlignment="1">
      <alignment horizontal="justify" vertical="center" wrapText="1"/>
    </xf>
    <xf numFmtId="0" fontId="1" fillId="0" borderId="32" xfId="0" applyFont="1" applyBorder="1" applyAlignment="1">
      <alignment horizontal="justify" vertical="center" wrapText="1"/>
    </xf>
    <xf numFmtId="0" fontId="1" fillId="0" borderId="33" xfId="0" applyFont="1" applyBorder="1" applyAlignment="1">
      <alignment horizontal="justify" vertical="center" wrapText="1"/>
    </xf>
    <xf numFmtId="0" fontId="1" fillId="0" borderId="30" xfId="0" applyFont="1" applyBorder="1" applyAlignment="1">
      <alignment horizontal="justify" vertical="center" wrapText="1"/>
    </xf>
    <xf numFmtId="0" fontId="1" fillId="2" borderId="32" xfId="0" applyFont="1" applyFill="1" applyBorder="1" applyAlignment="1">
      <alignment horizontal="justify" vertical="center" wrapText="1"/>
    </xf>
    <xf numFmtId="0" fontId="1" fillId="0" borderId="31" xfId="0" applyFont="1" applyBorder="1" applyAlignment="1">
      <alignment horizontal="justify" vertical="center" wrapText="1"/>
    </xf>
    <xf numFmtId="0" fontId="1" fillId="0" borderId="5" xfId="0" applyFont="1" applyBorder="1" applyAlignment="1">
      <alignment horizontal="justify" vertical="center"/>
    </xf>
    <xf numFmtId="0" fontId="1" fillId="0" borderId="10" xfId="0" applyFont="1" applyFill="1" applyBorder="1" applyAlignment="1">
      <alignment horizontal="justify" vertical="center" wrapText="1"/>
    </xf>
    <xf numFmtId="0" fontId="1" fillId="0" borderId="37" xfId="0" applyFont="1" applyBorder="1" applyAlignment="1">
      <alignment horizontal="justify" vertical="center"/>
    </xf>
    <xf numFmtId="0" fontId="1" fillId="2" borderId="37" xfId="0" applyFont="1" applyFill="1" applyBorder="1" applyAlignment="1">
      <alignment horizontal="justify" vertical="center" wrapText="1"/>
    </xf>
    <xf numFmtId="0" fontId="1" fillId="0" borderId="37"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48" xfId="0" applyFont="1" applyBorder="1" applyAlignment="1">
      <alignment horizontal="justify" vertical="center" wrapText="1"/>
    </xf>
    <xf numFmtId="0" fontId="1" fillId="0" borderId="57" xfId="0" applyFont="1" applyBorder="1" applyAlignment="1">
      <alignment horizontal="justify" vertical="center" wrapText="1"/>
    </xf>
    <xf numFmtId="0" fontId="1" fillId="0" borderId="56" xfId="0" applyFont="1" applyBorder="1" applyAlignment="1">
      <alignment horizontal="justify" vertical="center" wrapText="1"/>
    </xf>
    <xf numFmtId="0" fontId="1" fillId="2" borderId="30" xfId="0" applyFont="1" applyFill="1" applyBorder="1" applyAlignment="1">
      <alignment horizontal="justify" vertical="center" wrapText="1"/>
    </xf>
    <xf numFmtId="0" fontId="1" fillId="0" borderId="30"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0" borderId="32" xfId="0" applyFont="1" applyFill="1" applyBorder="1" applyAlignment="1">
      <alignment horizontal="justify" vertical="center" wrapText="1"/>
    </xf>
    <xf numFmtId="0" fontId="1" fillId="0" borderId="31"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14" xfId="0" applyFont="1" applyFill="1" applyBorder="1" applyAlignment="1">
      <alignment horizontal="justify" vertical="center" wrapText="1"/>
    </xf>
    <xf numFmtId="0" fontId="2" fillId="0" borderId="7" xfId="0" applyFont="1" applyFill="1" applyBorder="1" applyAlignment="1">
      <alignment horizontal="center" vertical="center"/>
    </xf>
    <xf numFmtId="168" fontId="1" fillId="0" borderId="5" xfId="1" applyNumberFormat="1" applyFont="1" applyFill="1" applyBorder="1" applyAlignment="1">
      <alignment horizontal="center" vertical="center"/>
    </xf>
    <xf numFmtId="168" fontId="1" fillId="0" borderId="6" xfId="1" applyNumberFormat="1" applyFont="1" applyFill="1" applyBorder="1" applyAlignment="1">
      <alignment horizontal="center" vertical="center"/>
    </xf>
    <xf numFmtId="168" fontId="1" fillId="0" borderId="44" xfId="1" applyNumberFormat="1" applyFont="1" applyFill="1" applyBorder="1" applyAlignment="1">
      <alignment horizontal="center" vertical="center"/>
    </xf>
    <xf numFmtId="0" fontId="1" fillId="0" borderId="5" xfId="0" applyFont="1" applyFill="1" applyBorder="1" applyAlignment="1">
      <alignment horizontal="justify" vertical="center"/>
    </xf>
    <xf numFmtId="0" fontId="1" fillId="0" borderId="37" xfId="0" applyFont="1" applyFill="1" applyBorder="1" applyAlignment="1">
      <alignment horizontal="justify" vertical="center"/>
    </xf>
    <xf numFmtId="0" fontId="1" fillId="0" borderId="37" xfId="0" applyFont="1" applyFill="1" applyBorder="1" applyAlignment="1">
      <alignment horizontal="justify" vertical="center" wrapText="1"/>
    </xf>
    <xf numFmtId="1" fontId="1" fillId="0" borderId="44" xfId="0" applyNumberFormat="1" applyFont="1" applyFill="1" applyBorder="1" applyAlignment="1">
      <alignment horizontal="center" vertical="center"/>
    </xf>
    <xf numFmtId="0" fontId="1" fillId="0" borderId="55" xfId="0" applyFont="1" applyFill="1" applyBorder="1" applyAlignment="1">
      <alignment horizontal="justify" vertical="center" wrapText="1"/>
    </xf>
    <xf numFmtId="0" fontId="1" fillId="0" borderId="52" xfId="0" applyFont="1" applyFill="1" applyBorder="1" applyAlignment="1">
      <alignment horizontal="justify" vertical="center" wrapText="1"/>
    </xf>
    <xf numFmtId="1" fontId="1" fillId="0" borderId="7" xfId="0" applyNumberFormat="1" applyFont="1" applyFill="1" applyBorder="1" applyAlignment="1">
      <alignment horizontal="center" vertical="center"/>
    </xf>
    <xf numFmtId="168" fontId="1" fillId="0" borderId="7" xfId="0" applyNumberFormat="1" applyFont="1" applyFill="1" applyBorder="1" applyAlignment="1">
      <alignment horizontal="center" vertical="center"/>
    </xf>
    <xf numFmtId="168" fontId="1" fillId="0" borderId="7" xfId="1" applyNumberFormat="1" applyFont="1" applyFill="1" applyBorder="1" applyAlignment="1">
      <alignment horizontal="center" vertical="center"/>
    </xf>
    <xf numFmtId="1" fontId="1" fillId="0" borderId="10" xfId="0" applyNumberFormat="1" applyFont="1" applyFill="1" applyBorder="1" applyAlignment="1">
      <alignment horizontal="center" vertical="center"/>
    </xf>
    <xf numFmtId="168" fontId="1" fillId="0" borderId="37" xfId="1" applyNumberFormat="1" applyFont="1" applyFill="1" applyBorder="1" applyAlignment="1">
      <alignment horizontal="center" vertical="center"/>
    </xf>
    <xf numFmtId="0" fontId="1" fillId="0" borderId="37" xfId="0" applyFont="1" applyFill="1" applyBorder="1" applyAlignment="1">
      <alignment horizontal="center" vertical="center"/>
    </xf>
    <xf numFmtId="1" fontId="2" fillId="0" borderId="44" xfId="0" applyNumberFormat="1" applyFont="1" applyFill="1" applyBorder="1" applyAlignment="1">
      <alignment horizontal="center" vertical="center"/>
    </xf>
    <xf numFmtId="0" fontId="2" fillId="0" borderId="37" xfId="0" applyFont="1" applyFill="1" applyBorder="1" applyAlignment="1">
      <alignment horizontal="center" vertical="center" wrapText="1"/>
    </xf>
    <xf numFmtId="0" fontId="2" fillId="0" borderId="37" xfId="0" applyFont="1" applyFill="1" applyBorder="1" applyAlignment="1">
      <alignment horizontal="justify" vertical="center"/>
    </xf>
    <xf numFmtId="0" fontId="1" fillId="0" borderId="10" xfId="0" applyFont="1" applyFill="1" applyBorder="1" applyAlignment="1">
      <alignment horizontal="center" vertical="center"/>
    </xf>
    <xf numFmtId="168" fontId="1" fillId="0" borderId="9" xfId="1" applyNumberFormat="1" applyFont="1" applyFill="1" applyBorder="1" applyAlignment="1">
      <alignment horizontal="center" vertical="center"/>
    </xf>
    <xf numFmtId="168" fontId="1" fillId="0" borderId="10" xfId="1" applyNumberFormat="1" applyFont="1" applyFill="1" applyBorder="1" applyAlignment="1">
      <alignment horizontal="center" vertical="center"/>
    </xf>
    <xf numFmtId="0" fontId="2" fillId="0" borderId="10" xfId="0" applyFont="1" applyFill="1" applyBorder="1" applyAlignment="1">
      <alignment horizontal="center" vertical="center"/>
    </xf>
    <xf numFmtId="1" fontId="2" fillId="2" borderId="44" xfId="0" applyNumberFormat="1" applyFont="1" applyFill="1" applyBorder="1" applyAlignment="1">
      <alignment horizontal="center" vertical="center"/>
    </xf>
    <xf numFmtId="0" fontId="9" fillId="4" borderId="27" xfId="0" applyFont="1" applyFill="1" applyBorder="1" applyAlignment="1">
      <alignment horizontal="center" vertical="center" wrapText="1"/>
    </xf>
    <xf numFmtId="0" fontId="2" fillId="0" borderId="13" xfId="0" applyFont="1" applyBorder="1" applyAlignment="1">
      <alignment horizontal="center" vertical="center" wrapText="1"/>
    </xf>
    <xf numFmtId="3" fontId="1" fillId="0" borderId="5" xfId="0" applyNumberFormat="1" applyFont="1" applyFill="1" applyBorder="1" applyAlignment="1">
      <alignment horizontal="center" vertical="center"/>
    </xf>
    <xf numFmtId="3" fontId="1" fillId="0" borderId="7"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3" fontId="1" fillId="0" borderId="45" xfId="0" applyNumberFormat="1" applyFont="1" applyBorder="1" applyAlignment="1">
      <alignment horizontal="center" vertical="center"/>
    </xf>
    <xf numFmtId="3" fontId="1" fillId="0" borderId="46" xfId="0" applyNumberFormat="1" applyFont="1" applyBorder="1" applyAlignment="1">
      <alignment horizontal="center" vertical="center"/>
    </xf>
    <xf numFmtId="1" fontId="1" fillId="0" borderId="46" xfId="0" applyNumberFormat="1" applyFont="1" applyBorder="1" applyAlignment="1">
      <alignment horizontal="center" vertical="center"/>
    </xf>
    <xf numFmtId="3" fontId="1" fillId="0" borderId="10" xfId="0" applyNumberFormat="1" applyFont="1" applyFill="1" applyBorder="1" applyAlignment="1">
      <alignment horizontal="center" vertical="center"/>
    </xf>
    <xf numFmtId="0" fontId="1" fillId="0" borderId="33" xfId="0" applyFont="1" applyBorder="1" applyAlignment="1">
      <alignment wrapText="1"/>
    </xf>
    <xf numFmtId="3" fontId="1" fillId="0" borderId="15" xfId="0" applyNumberFormat="1" applyFont="1" applyBorder="1"/>
    <xf numFmtId="168" fontId="1" fillId="0" borderId="5" xfId="1" applyNumberFormat="1" applyFont="1" applyBorder="1"/>
    <xf numFmtId="168" fontId="0" fillId="0" borderId="9" xfId="1" applyNumberFormat="1" applyFont="1" applyBorder="1"/>
    <xf numFmtId="168" fontId="1" fillId="0" borderId="7" xfId="1" applyNumberFormat="1" applyFont="1" applyFill="1" applyBorder="1"/>
    <xf numFmtId="168" fontId="1" fillId="0" borderId="37" xfId="1" applyNumberFormat="1" applyFont="1" applyBorder="1"/>
    <xf numFmtId="3" fontId="10" fillId="4" borderId="6" xfId="0" applyNumberFormat="1" applyFont="1" applyFill="1" applyBorder="1" applyAlignment="1">
      <alignment horizontal="center" vertical="center"/>
    </xf>
    <xf numFmtId="3" fontId="2" fillId="5" borderId="6" xfId="0" applyNumberFormat="1" applyFont="1" applyFill="1" applyBorder="1" applyAlignment="1">
      <alignment horizontal="center" vertical="center"/>
    </xf>
    <xf numFmtId="3" fontId="2" fillId="5" borderId="7" xfId="0" applyNumberFormat="1" applyFont="1" applyFill="1" applyBorder="1" applyAlignment="1">
      <alignment horizontal="center" vertical="center"/>
    </xf>
    <xf numFmtId="0" fontId="0" fillId="0" borderId="6" xfId="0" applyBorder="1" applyAlignment="1">
      <alignment horizontal="justify" vertical="center" wrapText="1"/>
    </xf>
    <xf numFmtId="168" fontId="2" fillId="0" borderId="44" xfId="1" applyNumberFormat="1" applyFont="1" applyFill="1" applyBorder="1" applyAlignment="1">
      <alignment horizontal="center" vertical="center"/>
    </xf>
    <xf numFmtId="168" fontId="2" fillId="0" borderId="49" xfId="1" applyNumberFormat="1" applyFont="1" applyFill="1" applyBorder="1" applyAlignment="1">
      <alignment horizontal="center" vertical="center"/>
    </xf>
    <xf numFmtId="168" fontId="2" fillId="0" borderId="7" xfId="1" applyNumberFormat="1" applyFont="1" applyFill="1" applyBorder="1" applyAlignment="1">
      <alignment horizontal="center" vertical="center"/>
    </xf>
    <xf numFmtId="168" fontId="2" fillId="0" borderId="44" xfId="1" applyNumberFormat="1" applyFont="1" applyBorder="1" applyAlignment="1">
      <alignment horizontal="center" vertical="center"/>
    </xf>
    <xf numFmtId="168" fontId="2" fillId="0" borderId="49" xfId="1" applyNumberFormat="1" applyFont="1" applyBorder="1" applyAlignment="1">
      <alignment horizontal="center" vertical="center"/>
    </xf>
    <xf numFmtId="168" fontId="2" fillId="0" borderId="5" xfId="1" applyNumberFormat="1" applyFont="1" applyBorder="1" applyAlignment="1">
      <alignment horizontal="center" vertical="center"/>
    </xf>
    <xf numFmtId="168" fontId="2" fillId="0" borderId="6" xfId="1" applyNumberFormat="1" applyFont="1" applyBorder="1" applyAlignment="1">
      <alignment horizontal="center" vertical="center"/>
    </xf>
    <xf numFmtId="168" fontId="1" fillId="0" borderId="54" xfId="1" applyNumberFormat="1" applyFont="1" applyBorder="1" applyAlignment="1">
      <alignment horizontal="center" vertical="center"/>
    </xf>
    <xf numFmtId="168" fontId="1" fillId="0" borderId="52" xfId="1" applyNumberFormat="1" applyFont="1" applyFill="1" applyBorder="1" applyAlignment="1">
      <alignment horizontal="center" vertical="center"/>
    </xf>
    <xf numFmtId="168" fontId="1" fillId="0" borderId="49" xfId="1" applyNumberFormat="1" applyFont="1" applyBorder="1" applyAlignment="1">
      <alignment horizontal="center" vertical="center"/>
    </xf>
    <xf numFmtId="168" fontId="1" fillId="2" borderId="50" xfId="1" applyNumberFormat="1" applyFont="1" applyFill="1" applyBorder="1" applyAlignment="1">
      <alignment horizontal="center" vertical="center"/>
    </xf>
    <xf numFmtId="168" fontId="1" fillId="2" borderId="51" xfId="1" applyNumberFormat="1" applyFont="1" applyFill="1" applyBorder="1" applyAlignment="1">
      <alignment horizontal="center" vertical="center"/>
    </xf>
    <xf numFmtId="168" fontId="1" fillId="2" borderId="45" xfId="1" applyNumberFormat="1" applyFont="1" applyFill="1" applyBorder="1" applyAlignment="1">
      <alignment horizontal="center" vertical="center"/>
    </xf>
    <xf numFmtId="168" fontId="1" fillId="2" borderId="47" xfId="1" applyNumberFormat="1" applyFont="1" applyFill="1" applyBorder="1" applyAlignment="1">
      <alignment horizontal="center" vertical="center"/>
    </xf>
    <xf numFmtId="168" fontId="1" fillId="2" borderId="46" xfId="1" applyNumberFormat="1" applyFont="1" applyFill="1" applyBorder="1" applyAlignment="1">
      <alignment horizontal="center" vertical="center"/>
    </xf>
    <xf numFmtId="168" fontId="1" fillId="0" borderId="50" xfId="1" applyNumberFormat="1" applyFont="1" applyFill="1" applyBorder="1" applyAlignment="1">
      <alignment horizontal="center" vertical="center"/>
    </xf>
    <xf numFmtId="168" fontId="1" fillId="0" borderId="51" xfId="1" applyNumberFormat="1" applyFont="1" applyFill="1" applyBorder="1" applyAlignment="1">
      <alignment horizontal="center" vertical="center"/>
    </xf>
    <xf numFmtId="168" fontId="1" fillId="0" borderId="45" xfId="1" applyNumberFormat="1" applyFont="1" applyFill="1" applyBorder="1" applyAlignment="1">
      <alignment horizontal="center" vertical="center"/>
    </xf>
    <xf numFmtId="168" fontId="1" fillId="2" borderId="53" xfId="1" applyNumberFormat="1" applyFont="1" applyFill="1" applyBorder="1" applyAlignment="1">
      <alignment horizontal="center" vertical="center"/>
    </xf>
    <xf numFmtId="168" fontId="1" fillId="2" borderId="54" xfId="1" applyNumberFormat="1" applyFont="1" applyFill="1" applyBorder="1" applyAlignment="1">
      <alignment horizontal="center" vertical="center"/>
    </xf>
    <xf numFmtId="168" fontId="1" fillId="2" borderId="38" xfId="1" applyNumberFormat="1" applyFont="1" applyFill="1" applyBorder="1" applyAlignment="1">
      <alignment horizontal="center" vertical="center"/>
    </xf>
    <xf numFmtId="168" fontId="1" fillId="2" borderId="4" xfId="1" applyNumberFormat="1" applyFont="1" applyFill="1" applyBorder="1" applyAlignment="1">
      <alignment horizontal="center" vertical="center"/>
    </xf>
    <xf numFmtId="168" fontId="1" fillId="2" borderId="39" xfId="1" applyNumberFormat="1" applyFont="1" applyFill="1" applyBorder="1" applyAlignment="1">
      <alignment horizontal="center" vertical="center"/>
    </xf>
    <xf numFmtId="168" fontId="1" fillId="6" borderId="49" xfId="1" applyNumberFormat="1" applyFont="1" applyFill="1" applyBorder="1" applyAlignment="1">
      <alignment horizontal="center" vertical="center"/>
    </xf>
    <xf numFmtId="168" fontId="1" fillId="0" borderId="2" xfId="1" applyNumberFormat="1" applyFont="1" applyFill="1" applyBorder="1" applyAlignment="1">
      <alignment horizontal="center" vertical="center"/>
    </xf>
    <xf numFmtId="168" fontId="1" fillId="0" borderId="3" xfId="1" applyNumberFormat="1" applyFont="1" applyFill="1" applyBorder="1" applyAlignment="1">
      <alignment horizontal="center" vertical="center"/>
    </xf>
    <xf numFmtId="168" fontId="1" fillId="0" borderId="1" xfId="1" applyNumberFormat="1" applyFont="1" applyFill="1" applyBorder="1" applyAlignment="1">
      <alignment horizontal="center" vertical="center"/>
    </xf>
    <xf numFmtId="168" fontId="1" fillId="2" borderId="3" xfId="1" applyNumberFormat="1" applyFont="1" applyFill="1" applyBorder="1" applyAlignment="1">
      <alignment horizontal="center" vertical="center"/>
    </xf>
    <xf numFmtId="168" fontId="1" fillId="2" borderId="2" xfId="1" applyNumberFormat="1" applyFont="1" applyFill="1" applyBorder="1" applyAlignment="1">
      <alignment horizontal="center" vertical="center"/>
    </xf>
    <xf numFmtId="168" fontId="1" fillId="2" borderId="27" xfId="1" applyNumberFormat="1" applyFont="1" applyFill="1" applyBorder="1" applyAlignment="1">
      <alignment horizontal="center" vertical="center"/>
    </xf>
    <xf numFmtId="168" fontId="1" fillId="2" borderId="1" xfId="1" applyNumberFormat="1" applyFont="1" applyFill="1" applyBorder="1" applyAlignment="1">
      <alignment horizontal="center" vertical="center"/>
    </xf>
    <xf numFmtId="168" fontId="1" fillId="2" borderId="13" xfId="1" applyNumberFormat="1" applyFont="1" applyFill="1" applyBorder="1" applyAlignment="1">
      <alignment horizontal="center" vertical="center"/>
    </xf>
    <xf numFmtId="168" fontId="1" fillId="0" borderId="53" xfId="1" applyNumberFormat="1" applyFont="1" applyFill="1" applyBorder="1" applyAlignment="1">
      <alignment horizontal="center" vertical="center"/>
    </xf>
    <xf numFmtId="168" fontId="1" fillId="0" borderId="54" xfId="1" applyNumberFormat="1" applyFont="1" applyFill="1" applyBorder="1" applyAlignment="1">
      <alignment horizontal="center" vertical="center"/>
    </xf>
    <xf numFmtId="168" fontId="1" fillId="0" borderId="38" xfId="1" applyNumberFormat="1" applyFont="1" applyFill="1" applyBorder="1" applyAlignment="1">
      <alignment horizontal="center" vertical="center"/>
    </xf>
    <xf numFmtId="168" fontId="1" fillId="0" borderId="4" xfId="1" applyNumberFormat="1" applyFont="1" applyFill="1" applyBorder="1" applyAlignment="1">
      <alignment horizontal="center" vertical="center"/>
    </xf>
    <xf numFmtId="168" fontId="1" fillId="2" borderId="29" xfId="1" applyNumberFormat="1" applyFont="1" applyFill="1" applyBorder="1" applyAlignment="1">
      <alignment horizontal="center" vertical="center"/>
    </xf>
    <xf numFmtId="168" fontId="1" fillId="2" borderId="11" xfId="1" applyNumberFormat="1" applyFont="1" applyFill="1" applyBorder="1" applyAlignment="1">
      <alignment horizontal="center" vertical="center"/>
    </xf>
    <xf numFmtId="168" fontId="1" fillId="2" borderId="16" xfId="1" applyNumberFormat="1" applyFont="1" applyFill="1" applyBorder="1" applyAlignment="1">
      <alignment horizontal="center" vertical="center"/>
    </xf>
    <xf numFmtId="168" fontId="1" fillId="2" borderId="17" xfId="1" applyNumberFormat="1" applyFont="1" applyFill="1" applyBorder="1" applyAlignment="1">
      <alignment horizontal="center" vertical="center"/>
    </xf>
    <xf numFmtId="0" fontId="2" fillId="0" borderId="37" xfId="0" applyFont="1" applyBorder="1" applyAlignment="1">
      <alignment horizontal="center" vertical="center" wrapText="1"/>
    </xf>
    <xf numFmtId="0" fontId="8" fillId="0" borderId="8" xfId="0" applyFont="1" applyBorder="1" applyAlignment="1">
      <alignment horizontal="justify" vertical="center"/>
    </xf>
    <xf numFmtId="0" fontId="8" fillId="0" borderId="44" xfId="0" applyFont="1" applyBorder="1" applyAlignment="1">
      <alignment horizontal="justify" vertical="center"/>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9" fillId="4" borderId="5" xfId="0" applyFont="1" applyFill="1" applyBorder="1" applyAlignment="1">
      <alignment horizontal="center" wrapText="1"/>
    </xf>
    <xf numFmtId="0" fontId="9" fillId="4" borderId="6" xfId="0" applyFont="1" applyFill="1" applyBorder="1" applyAlignment="1">
      <alignment horizontal="center" wrapText="1"/>
    </xf>
    <xf numFmtId="0" fontId="9" fillId="4" borderId="7" xfId="0" applyFont="1" applyFill="1" applyBorder="1" applyAlignment="1">
      <alignment horizontal="center" wrapText="1"/>
    </xf>
    <xf numFmtId="0" fontId="2" fillId="0" borderId="42"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6" xfId="0" applyFont="1" applyBorder="1" applyAlignment="1">
      <alignment horizontal="center" vertical="center" wrapText="1"/>
    </xf>
    <xf numFmtId="0" fontId="8" fillId="0" borderId="8" xfId="0" applyFont="1" applyBorder="1" applyAlignment="1">
      <alignment horizontal="center"/>
    </xf>
    <xf numFmtId="0" fontId="8" fillId="0" borderId="10" xfId="0" applyFont="1" applyBorder="1" applyAlignment="1">
      <alignment horizontal="center"/>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9" fillId="4" borderId="8" xfId="0" applyFont="1" applyFill="1" applyBorder="1" applyAlignment="1">
      <alignment horizontal="center" wrapText="1"/>
    </xf>
    <xf numFmtId="0" fontId="9" fillId="4" borderId="9" xfId="0" applyFont="1" applyFill="1" applyBorder="1" applyAlignment="1">
      <alignment horizontal="center" wrapText="1"/>
    </xf>
    <xf numFmtId="0" fontId="9" fillId="4" borderId="10" xfId="0" applyFont="1" applyFill="1" applyBorder="1" applyAlignment="1">
      <alignment horizontal="center" wrapText="1"/>
    </xf>
    <xf numFmtId="0" fontId="2" fillId="0" borderId="25" xfId="0" applyFont="1" applyBorder="1" applyAlignment="1">
      <alignment horizontal="center" vertical="center" wrapText="1"/>
    </xf>
    <xf numFmtId="0" fontId="2" fillId="0" borderId="8" xfId="0" applyFont="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8" xfId="0" applyFont="1" applyFill="1" applyBorder="1" applyAlignment="1">
      <alignment horizontal="left" wrapText="1"/>
    </xf>
    <xf numFmtId="0" fontId="1" fillId="0" borderId="9" xfId="0" applyFont="1" applyFill="1" applyBorder="1" applyAlignment="1">
      <alignment horizontal="left" wrapText="1"/>
    </xf>
    <xf numFmtId="0" fontId="1" fillId="0" borderId="10" xfId="0" applyFont="1" applyFill="1" applyBorder="1" applyAlignment="1">
      <alignment horizontal="left" wrapText="1"/>
    </xf>
    <xf numFmtId="0" fontId="2" fillId="0" borderId="8" xfId="0" applyFont="1" applyFill="1" applyBorder="1" applyAlignment="1">
      <alignment horizontal="justify" vertical="center" wrapText="1"/>
    </xf>
    <xf numFmtId="0" fontId="2" fillId="0" borderId="10" xfId="0" applyFont="1" applyFill="1" applyBorder="1" applyAlignment="1">
      <alignment horizontal="justify" vertical="center" wrapText="1"/>
    </xf>
    <xf numFmtId="0" fontId="2" fillId="0" borderId="8" xfId="0" applyFont="1" applyFill="1" applyBorder="1" applyAlignment="1">
      <alignment horizontal="justify" vertical="center"/>
    </xf>
    <xf numFmtId="0" fontId="2" fillId="0" borderId="10" xfId="0" applyFont="1" applyFill="1" applyBorder="1" applyAlignment="1">
      <alignment horizontal="justify" vertical="center"/>
    </xf>
    <xf numFmtId="0" fontId="2" fillId="0" borderId="9" xfId="0" applyFont="1" applyFill="1" applyBorder="1" applyAlignment="1">
      <alignment horizontal="justify" vertical="center"/>
    </xf>
    <xf numFmtId="0" fontId="1" fillId="0" borderId="8" xfId="0" applyFont="1" applyFill="1" applyBorder="1" applyAlignment="1">
      <alignment horizontal="center"/>
    </xf>
    <xf numFmtId="0" fontId="1" fillId="0" borderId="9" xfId="0" applyFont="1" applyFill="1" applyBorder="1" applyAlignment="1">
      <alignment horizontal="center"/>
    </xf>
    <xf numFmtId="0" fontId="1" fillId="0" borderId="10" xfId="0" applyFont="1" applyFill="1" applyBorder="1" applyAlignment="1">
      <alignment horizontal="center"/>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9" xfId="0" applyFont="1" applyBorder="1" applyAlignment="1">
      <alignment horizontal="center" vertical="center" wrapText="1"/>
    </xf>
    <xf numFmtId="0" fontId="9" fillId="4" borderId="11" xfId="0" applyFont="1" applyFill="1" applyBorder="1" applyAlignment="1">
      <alignment horizontal="center" wrapText="1"/>
    </xf>
    <xf numFmtId="0" fontId="9" fillId="4" borderId="20" xfId="0" applyFont="1" applyFill="1" applyBorder="1" applyAlignment="1">
      <alignment horizontal="center" wrapText="1"/>
    </xf>
    <xf numFmtId="0" fontId="9" fillId="4" borderId="29" xfId="0" applyFont="1" applyFill="1" applyBorder="1" applyAlignment="1">
      <alignment horizontal="center" wrapText="1"/>
    </xf>
    <xf numFmtId="0" fontId="2" fillId="0" borderId="35" xfId="0" applyFont="1" applyBorder="1" applyAlignment="1">
      <alignment horizontal="center" wrapText="1"/>
    </xf>
    <xf numFmtId="0" fontId="2" fillId="0" borderId="58" xfId="0" applyFont="1" applyBorder="1" applyAlignment="1">
      <alignment horizontal="center" wrapText="1"/>
    </xf>
    <xf numFmtId="0" fontId="2" fillId="0" borderId="21" xfId="0" applyFont="1" applyBorder="1" applyAlignment="1">
      <alignment horizontal="center" wrapText="1"/>
    </xf>
    <xf numFmtId="0" fontId="2" fillId="0" borderId="3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2" fillId="6" borderId="8" xfId="0" applyFont="1" applyFill="1" applyBorder="1" applyAlignment="1">
      <alignment horizontal="justify" vertical="center" wrapText="1"/>
    </xf>
    <xf numFmtId="0" fontId="2" fillId="6" borderId="10" xfId="0" applyFont="1" applyFill="1" applyBorder="1" applyAlignment="1">
      <alignment horizontal="justify" vertical="center" wrapText="1"/>
    </xf>
    <xf numFmtId="0" fontId="1" fillId="2" borderId="8" xfId="0" applyFont="1" applyFill="1" applyBorder="1" applyAlignment="1">
      <alignment horizontal="left"/>
    </xf>
    <xf numFmtId="0" fontId="1" fillId="2" borderId="9" xfId="0" applyFont="1" applyFill="1" applyBorder="1" applyAlignment="1">
      <alignment horizontal="left"/>
    </xf>
    <xf numFmtId="0" fontId="1" fillId="2" borderId="10" xfId="0" applyFont="1" applyFill="1" applyBorder="1" applyAlignment="1">
      <alignment horizontal="left"/>
    </xf>
    <xf numFmtId="0" fontId="2" fillId="0" borderId="2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5" xfId="0" applyFont="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9" xfId="0" applyFont="1" applyBorder="1" applyAlignment="1">
      <alignment horizontal="center" vertical="center" wrapText="1"/>
    </xf>
    <xf numFmtId="0" fontId="1" fillId="0" borderId="25" xfId="0" applyFont="1" applyBorder="1" applyAlignment="1">
      <alignment horizontal="justify" vertical="center" wrapText="1"/>
    </xf>
    <xf numFmtId="0" fontId="1" fillId="0" borderId="25" xfId="0" applyFont="1" applyBorder="1" applyAlignment="1">
      <alignment horizontal="justify" vertical="center"/>
    </xf>
    <xf numFmtId="0" fontId="1" fillId="0" borderId="31" xfId="0" applyFont="1" applyBorder="1" applyAlignment="1">
      <alignment horizontal="justify" vertical="center"/>
    </xf>
    <xf numFmtId="0" fontId="1" fillId="0" borderId="24" xfId="0" applyFont="1" applyBorder="1" applyAlignment="1">
      <alignment horizontal="justify" vertical="center" wrapText="1"/>
    </xf>
    <xf numFmtId="0" fontId="1" fillId="0" borderId="26" xfId="0" applyFont="1" applyBorder="1" applyAlignment="1">
      <alignment horizontal="justify" vertical="center" wrapText="1"/>
    </xf>
    <xf numFmtId="0" fontId="2" fillId="6" borderId="8" xfId="0" applyFont="1" applyFill="1" applyBorder="1" applyAlignment="1">
      <alignment horizontal="justify" vertical="center"/>
    </xf>
    <xf numFmtId="0" fontId="2" fillId="6" borderId="10" xfId="0" applyFont="1" applyFill="1" applyBorder="1" applyAlignment="1">
      <alignment horizontal="justify" vertical="center"/>
    </xf>
    <xf numFmtId="0" fontId="1" fillId="0" borderId="24" xfId="0" applyFont="1" applyBorder="1" applyAlignment="1">
      <alignment horizontal="justify" vertical="center"/>
    </xf>
    <xf numFmtId="0" fontId="2" fillId="6" borderId="9" xfId="0" applyFont="1" applyFill="1" applyBorder="1" applyAlignment="1">
      <alignment horizontal="justify" vertic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22" xfId="0" applyFont="1" applyBorder="1" applyAlignment="1">
      <alignment horizontal="justify" vertical="center" wrapText="1"/>
    </xf>
    <xf numFmtId="0" fontId="1" fillId="0" borderId="23" xfId="0" applyFont="1" applyBorder="1" applyAlignment="1">
      <alignment horizontal="justify"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H8"/>
  <sheetViews>
    <sheetView tabSelected="1" workbookViewId="0">
      <selection activeCell="D15" sqref="D15"/>
    </sheetView>
  </sheetViews>
  <sheetFormatPr baseColWidth="10" defaultRowHeight="15" x14ac:dyDescent="0.25"/>
  <cols>
    <col min="2" max="2" width="20.28515625" customWidth="1"/>
    <col min="3" max="3" width="19.42578125" customWidth="1"/>
    <col min="4" max="4" width="26" customWidth="1"/>
    <col min="5" max="5" width="8.140625" customWidth="1"/>
    <col min="6" max="6" width="9.5703125" customWidth="1"/>
    <col min="7" max="7" width="7.85546875" customWidth="1"/>
    <col min="8" max="8" width="8.5703125" customWidth="1"/>
  </cols>
  <sheetData>
    <row r="1" spans="2:8" ht="15.75" thickBot="1" x14ac:dyDescent="0.3"/>
    <row r="2" spans="2:8" ht="15.75" thickBot="1" x14ac:dyDescent="0.3">
      <c r="B2" s="308" t="s">
        <v>0</v>
      </c>
      <c r="C2" s="309"/>
      <c r="D2" s="309"/>
      <c r="E2" s="309"/>
      <c r="F2" s="309"/>
      <c r="G2" s="309"/>
      <c r="H2" s="310"/>
    </row>
    <row r="3" spans="2:8" ht="15.75" thickBot="1" x14ac:dyDescent="0.3">
      <c r="B3" s="308" t="s">
        <v>1</v>
      </c>
      <c r="C3" s="309"/>
      <c r="D3" s="309"/>
      <c r="E3" s="309"/>
      <c r="F3" s="309"/>
      <c r="G3" s="309"/>
      <c r="H3" s="310"/>
    </row>
    <row r="4" spans="2:8" ht="14.45" customHeight="1" thickBot="1" x14ac:dyDescent="0.3">
      <c r="B4" s="311" t="s">
        <v>201</v>
      </c>
      <c r="C4" s="312"/>
      <c r="D4" s="312"/>
      <c r="E4" s="312"/>
      <c r="F4" s="312"/>
      <c r="G4" s="312"/>
      <c r="H4" s="313"/>
    </row>
    <row r="5" spans="2:8" ht="15.75" thickBot="1" x14ac:dyDescent="0.3">
      <c r="B5" s="308" t="s">
        <v>314</v>
      </c>
      <c r="C5" s="309"/>
      <c r="D5" s="309"/>
      <c r="E5" s="309"/>
      <c r="F5" s="309"/>
      <c r="G5" s="309"/>
      <c r="H5" s="310"/>
    </row>
    <row r="6" spans="2:8" ht="44.45" customHeight="1" thickBot="1" x14ac:dyDescent="0.3">
      <c r="B6" s="318" t="s">
        <v>312</v>
      </c>
      <c r="C6" s="315"/>
      <c r="D6" s="321" t="s">
        <v>2</v>
      </c>
      <c r="E6" s="314" t="s">
        <v>313</v>
      </c>
      <c r="F6" s="315"/>
      <c r="G6" s="316" t="s">
        <v>315</v>
      </c>
      <c r="H6" s="317"/>
    </row>
    <row r="7" spans="2:8" ht="21.75" customHeight="1" thickBot="1" x14ac:dyDescent="0.3">
      <c r="B7" s="319"/>
      <c r="C7" s="320"/>
      <c r="D7" s="322"/>
      <c r="E7" s="305" t="s">
        <v>4</v>
      </c>
      <c r="F7" s="305" t="s">
        <v>5</v>
      </c>
      <c r="G7" s="305" t="s">
        <v>4</v>
      </c>
      <c r="H7" s="305" t="s">
        <v>5</v>
      </c>
    </row>
    <row r="8" spans="2:8" ht="45.75" thickBot="1" x14ac:dyDescent="0.3">
      <c r="B8" s="306" t="s">
        <v>311</v>
      </c>
      <c r="C8" s="307"/>
      <c r="D8" s="264" t="s">
        <v>316</v>
      </c>
      <c r="E8" s="261">
        <v>212184</v>
      </c>
      <c r="F8" s="262">
        <v>352636</v>
      </c>
      <c r="G8" s="261">
        <v>118235.22433200639</v>
      </c>
      <c r="H8" s="263">
        <v>116642.23710115557</v>
      </c>
    </row>
  </sheetData>
  <mergeCells count="9">
    <mergeCell ref="B8:C8"/>
    <mergeCell ref="B2:H2"/>
    <mergeCell ref="B3:H3"/>
    <mergeCell ref="B4:H4"/>
    <mergeCell ref="B5:H5"/>
    <mergeCell ref="E6:F6"/>
    <mergeCell ref="G6:H6"/>
    <mergeCell ref="B6:C7"/>
    <mergeCell ref="D6:D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G8"/>
  <sheetViews>
    <sheetView workbookViewId="0">
      <selection activeCell="B11" sqref="B11"/>
    </sheetView>
  </sheetViews>
  <sheetFormatPr baseColWidth="10" defaultRowHeight="15" x14ac:dyDescent="0.25"/>
  <cols>
    <col min="2" max="2" width="19.42578125" customWidth="1"/>
    <col min="3" max="3" width="26" customWidth="1"/>
    <col min="4" max="4" width="11.140625" customWidth="1"/>
    <col min="5" max="5" width="10.85546875" customWidth="1"/>
    <col min="6" max="6" width="9.85546875" customWidth="1"/>
    <col min="7" max="7" width="10" customWidth="1"/>
  </cols>
  <sheetData>
    <row r="1" spans="2:7" ht="15.75" thickBot="1" x14ac:dyDescent="0.3"/>
    <row r="2" spans="2:7" ht="15" customHeight="1" thickBot="1" x14ac:dyDescent="0.3">
      <c r="B2" s="325" t="s">
        <v>0</v>
      </c>
      <c r="C2" s="326"/>
      <c r="D2" s="326"/>
      <c r="E2" s="326"/>
      <c r="F2" s="326"/>
      <c r="G2" s="327"/>
    </row>
    <row r="3" spans="2:7" ht="15" customHeight="1" thickBot="1" x14ac:dyDescent="0.3">
      <c r="B3" s="325" t="s">
        <v>1</v>
      </c>
      <c r="C3" s="326"/>
      <c r="D3" s="326"/>
      <c r="E3" s="326"/>
      <c r="F3" s="326"/>
      <c r="G3" s="327"/>
    </row>
    <row r="4" spans="2:7" ht="30.6" customHeight="1" thickBot="1" x14ac:dyDescent="0.3">
      <c r="B4" s="328" t="s">
        <v>307</v>
      </c>
      <c r="C4" s="329"/>
      <c r="D4" s="329"/>
      <c r="E4" s="329"/>
      <c r="F4" s="329"/>
      <c r="G4" s="330"/>
    </row>
    <row r="5" spans="2:7" ht="15" customHeight="1" thickBot="1" x14ac:dyDescent="0.3">
      <c r="B5" s="325" t="s">
        <v>309</v>
      </c>
      <c r="C5" s="326"/>
      <c r="D5" s="326"/>
      <c r="E5" s="326"/>
      <c r="F5" s="326"/>
      <c r="G5" s="327"/>
    </row>
    <row r="6" spans="2:7" ht="25.5" customHeight="1" thickBot="1" x14ac:dyDescent="0.3">
      <c r="B6" s="321" t="s">
        <v>2</v>
      </c>
      <c r="C6" s="321" t="s">
        <v>317</v>
      </c>
      <c r="D6" s="332" t="s">
        <v>310</v>
      </c>
      <c r="E6" s="317"/>
      <c r="F6" s="314" t="s">
        <v>318</v>
      </c>
      <c r="G6" s="315"/>
    </row>
    <row r="7" spans="2:7" ht="15.75" thickBot="1" x14ac:dyDescent="0.3">
      <c r="B7" s="331"/>
      <c r="C7" s="331"/>
      <c r="D7" s="87" t="s">
        <v>4</v>
      </c>
      <c r="E7" s="87" t="s">
        <v>5</v>
      </c>
      <c r="F7" s="86" t="s">
        <v>4</v>
      </c>
      <c r="G7" s="86" t="s">
        <v>5</v>
      </c>
    </row>
    <row r="8" spans="2:7" ht="15.75" thickBot="1" x14ac:dyDescent="0.3">
      <c r="B8" s="323" t="s">
        <v>308</v>
      </c>
      <c r="C8" s="324"/>
      <c r="D8" s="257">
        <v>1092382</v>
      </c>
      <c r="E8" s="257">
        <v>9713191</v>
      </c>
      <c r="F8" s="259">
        <v>218476.39999999994</v>
      </c>
      <c r="G8" s="260">
        <v>1944656.1999999997</v>
      </c>
    </row>
  </sheetData>
  <mergeCells count="9">
    <mergeCell ref="B8:C8"/>
    <mergeCell ref="B2:G2"/>
    <mergeCell ref="B3:G3"/>
    <mergeCell ref="B4:G4"/>
    <mergeCell ref="B5:G5"/>
    <mergeCell ref="B6:B7"/>
    <mergeCell ref="C6:C7"/>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B1:G34"/>
  <sheetViews>
    <sheetView zoomScale="90" zoomScaleNormal="90" workbookViewId="0">
      <selection activeCell="E10" sqref="E10"/>
    </sheetView>
  </sheetViews>
  <sheetFormatPr baseColWidth="10" defaultRowHeight="15" x14ac:dyDescent="0.25"/>
  <cols>
    <col min="2" max="2" width="16" customWidth="1"/>
    <col min="3" max="3" width="42.5703125" customWidth="1"/>
    <col min="4" max="4" width="8.28515625" customWidth="1"/>
    <col min="5" max="5" width="8.7109375" bestFit="1" customWidth="1"/>
    <col min="6" max="6" width="8.28515625" customWidth="1"/>
    <col min="7" max="7" width="8.7109375" customWidth="1"/>
  </cols>
  <sheetData>
    <row r="1" spans="2:7" ht="15.75" thickBot="1" x14ac:dyDescent="0.3"/>
    <row r="2" spans="2:7" ht="15" customHeight="1" thickBot="1" x14ac:dyDescent="0.3">
      <c r="B2" s="332" t="s">
        <v>0</v>
      </c>
      <c r="C2" s="316"/>
      <c r="D2" s="316"/>
      <c r="E2" s="316"/>
      <c r="F2" s="316"/>
      <c r="G2" s="317"/>
    </row>
    <row r="3" spans="2:7" ht="15" customHeight="1" thickBot="1" x14ac:dyDescent="0.3">
      <c r="B3" s="332" t="s">
        <v>1</v>
      </c>
      <c r="C3" s="316"/>
      <c r="D3" s="316"/>
      <c r="E3" s="316"/>
      <c r="F3" s="316"/>
      <c r="G3" s="317"/>
    </row>
    <row r="4" spans="2:7" ht="33.6" customHeight="1" thickBot="1" x14ac:dyDescent="0.3">
      <c r="B4" s="333" t="s">
        <v>302</v>
      </c>
      <c r="C4" s="334"/>
      <c r="D4" s="334"/>
      <c r="E4" s="334"/>
      <c r="F4" s="334"/>
      <c r="G4" s="335"/>
    </row>
    <row r="5" spans="2:7" ht="35.450000000000003" customHeight="1" thickBot="1" x14ac:dyDescent="0.3">
      <c r="B5" s="321" t="s">
        <v>202</v>
      </c>
      <c r="C5" s="321" t="s">
        <v>2</v>
      </c>
      <c r="D5" s="336" t="s">
        <v>3</v>
      </c>
      <c r="E5" s="337"/>
      <c r="F5" s="316" t="s">
        <v>304</v>
      </c>
      <c r="G5" s="317"/>
    </row>
    <row r="6" spans="2:7" ht="15.75" thickBot="1" x14ac:dyDescent="0.3">
      <c r="B6" s="331"/>
      <c r="C6" s="331"/>
      <c r="D6" s="243" t="s">
        <v>4</v>
      </c>
      <c r="E6" s="244" t="s">
        <v>5</v>
      </c>
      <c r="F6" s="89" t="s">
        <v>4</v>
      </c>
      <c r="G6" s="236" t="s">
        <v>5</v>
      </c>
    </row>
    <row r="7" spans="2:7" ht="15.75" thickBot="1" x14ac:dyDescent="0.3">
      <c r="B7" s="341" t="s">
        <v>284</v>
      </c>
      <c r="C7" s="342"/>
      <c r="D7" s="245">
        <v>850074</v>
      </c>
      <c r="E7" s="246">
        <v>1154680</v>
      </c>
      <c r="F7" s="238">
        <v>841364.47841434996</v>
      </c>
      <c r="G7" s="230">
        <v>969828.3764036193</v>
      </c>
    </row>
    <row r="8" spans="2:7" ht="15.75" thickBot="1" x14ac:dyDescent="0.3">
      <c r="B8" s="341" t="s">
        <v>285</v>
      </c>
      <c r="C8" s="342"/>
      <c r="D8" s="245">
        <v>1066053</v>
      </c>
      <c r="E8" s="246">
        <v>1182779</v>
      </c>
      <c r="F8" s="239">
        <v>971227.01205142133</v>
      </c>
      <c r="G8" s="231">
        <v>1220712.216007848</v>
      </c>
    </row>
    <row r="9" spans="2:7" ht="15.75" thickBot="1" x14ac:dyDescent="0.3">
      <c r="B9" s="223" t="s">
        <v>26</v>
      </c>
      <c r="C9" s="204" t="s">
        <v>23</v>
      </c>
      <c r="D9" s="220">
        <v>259785</v>
      </c>
      <c r="E9" s="231">
        <v>244550</v>
      </c>
      <c r="F9" s="240">
        <v>224994.86063388252</v>
      </c>
      <c r="G9" s="231">
        <v>211800.11612685863</v>
      </c>
    </row>
    <row r="10" spans="2:7" ht="23.25" thickBot="1" x14ac:dyDescent="0.3">
      <c r="B10" s="224" t="s">
        <v>264</v>
      </c>
      <c r="C10" s="225" t="s">
        <v>24</v>
      </c>
      <c r="D10" s="247" t="s">
        <v>265</v>
      </c>
      <c r="E10" s="219">
        <v>71576</v>
      </c>
      <c r="F10" s="241" t="s">
        <v>271</v>
      </c>
      <c r="G10" s="219" t="s">
        <v>276</v>
      </c>
    </row>
    <row r="11" spans="2:7" ht="15.75" thickBot="1" x14ac:dyDescent="0.3">
      <c r="B11" s="224" t="s">
        <v>25</v>
      </c>
      <c r="C11" s="225" t="s">
        <v>27</v>
      </c>
      <c r="D11" s="248">
        <f>52.8*365</f>
        <v>19272</v>
      </c>
      <c r="E11" s="150">
        <f>59.8*365</f>
        <v>21827</v>
      </c>
      <c r="F11" s="242">
        <f>'T urbano'!J24</f>
        <v>18222.982905478766</v>
      </c>
      <c r="G11" s="155">
        <f>'T urbano'!O24</f>
        <v>20638.908669462689</v>
      </c>
    </row>
    <row r="12" spans="2:7" ht="23.45" customHeight="1" thickBot="1" x14ac:dyDescent="0.3">
      <c r="B12" s="224" t="s">
        <v>28</v>
      </c>
      <c r="C12" s="225" t="s">
        <v>29</v>
      </c>
      <c r="D12" s="249">
        <v>7791</v>
      </c>
      <c r="E12" s="250">
        <v>21400</v>
      </c>
      <c r="F12" s="159">
        <f>'T urbano'!J25</f>
        <v>6422.041311285011</v>
      </c>
      <c r="G12" s="158">
        <f>'T urbano'!O25</f>
        <v>20235.151213016063</v>
      </c>
    </row>
    <row r="13" spans="2:7" ht="15.75" thickBot="1" x14ac:dyDescent="0.3">
      <c r="B13" s="341" t="s">
        <v>286</v>
      </c>
      <c r="C13" s="342"/>
      <c r="D13" s="247">
        <v>192603</v>
      </c>
      <c r="E13" s="219">
        <v>450114</v>
      </c>
      <c r="F13" s="235">
        <v>104163.88628990983</v>
      </c>
      <c r="G13" s="143">
        <v>398023.49058662</v>
      </c>
    </row>
    <row r="14" spans="2:7" ht="23.25" thickBot="1" x14ac:dyDescent="0.3">
      <c r="B14" s="228" t="s">
        <v>35</v>
      </c>
      <c r="C14" s="227" t="s">
        <v>36</v>
      </c>
      <c r="D14" s="251">
        <v>10643</v>
      </c>
      <c r="E14" s="252">
        <v>8855</v>
      </c>
      <c r="F14" s="162">
        <f>'T urbano'!J32</f>
        <v>11766.868747438222</v>
      </c>
      <c r="G14" s="161">
        <f>'T urbano'!O32</f>
        <v>9776.635512335999</v>
      </c>
    </row>
    <row r="15" spans="2:7" ht="18" customHeight="1" thickBot="1" x14ac:dyDescent="0.3">
      <c r="B15" s="343" t="s">
        <v>287</v>
      </c>
      <c r="C15" s="344"/>
      <c r="D15" s="245">
        <v>60879</v>
      </c>
      <c r="E15" s="246">
        <v>64555.999999999993</v>
      </c>
      <c r="F15" s="226">
        <v>23918.258861401097</v>
      </c>
      <c r="G15" s="229">
        <v>23496.606021381118</v>
      </c>
    </row>
    <row r="16" spans="2:7" ht="15.75" thickBot="1" x14ac:dyDescent="0.3">
      <c r="B16" s="343" t="s">
        <v>288</v>
      </c>
      <c r="C16" s="344"/>
      <c r="D16" s="171">
        <v>111617</v>
      </c>
      <c r="E16" s="253">
        <v>206006</v>
      </c>
      <c r="F16" s="162">
        <v>34773.165589449971</v>
      </c>
      <c r="G16" s="161">
        <v>222718.43508594716</v>
      </c>
    </row>
    <row r="17" spans="2:7" ht="15.75" thickBot="1" x14ac:dyDescent="0.3">
      <c r="B17" s="343" t="s">
        <v>289</v>
      </c>
      <c r="C17" s="344"/>
      <c r="D17" s="245">
        <v>142300</v>
      </c>
      <c r="E17" s="246">
        <v>169832</v>
      </c>
      <c r="F17" s="226">
        <v>84110.04386782262</v>
      </c>
      <c r="G17" s="229">
        <v>89203.792895480918</v>
      </c>
    </row>
    <row r="18" spans="2:7" ht="15.75" thickBot="1" x14ac:dyDescent="0.3">
      <c r="B18" s="225" t="s">
        <v>48</v>
      </c>
      <c r="C18" s="225" t="s">
        <v>49</v>
      </c>
      <c r="D18" s="141">
        <v>125049.00000000001</v>
      </c>
      <c r="E18" s="145">
        <v>108405</v>
      </c>
      <c r="F18" s="226">
        <v>64422.879278564949</v>
      </c>
      <c r="G18" s="229">
        <v>55848.205329053679</v>
      </c>
    </row>
    <row r="19" spans="2:7" ht="19.149999999999999" customHeight="1" thickBot="1" x14ac:dyDescent="0.3">
      <c r="B19" s="341" t="s">
        <v>290</v>
      </c>
      <c r="C19" s="342"/>
      <c r="D19" s="245">
        <v>94824.254400000005</v>
      </c>
      <c r="E19" s="246">
        <v>95129.508799999996</v>
      </c>
      <c r="F19" s="222">
        <v>66695.416006462125</v>
      </c>
      <c r="G19" s="231">
        <v>68859.600497608393</v>
      </c>
    </row>
    <row r="20" spans="2:7" ht="15.75" thickBot="1" x14ac:dyDescent="0.3">
      <c r="B20" s="343" t="s">
        <v>291</v>
      </c>
      <c r="C20" s="344"/>
      <c r="D20" s="245">
        <v>87314</v>
      </c>
      <c r="E20" s="246">
        <v>125077</v>
      </c>
      <c r="F20" s="239">
        <v>21890.250299466097</v>
      </c>
      <c r="G20" s="231">
        <v>19331.19130466874</v>
      </c>
    </row>
    <row r="21" spans="2:7" ht="15.75" thickBot="1" x14ac:dyDescent="0.3">
      <c r="B21" s="341" t="s">
        <v>292</v>
      </c>
      <c r="C21" s="342"/>
      <c r="D21" s="245">
        <v>5280</v>
      </c>
      <c r="E21" s="246">
        <v>4368</v>
      </c>
      <c r="F21" s="222">
        <v>15891.03864338914</v>
      </c>
      <c r="G21" s="231">
        <v>12766.397422621927</v>
      </c>
    </row>
    <row r="22" spans="2:7" ht="15.75" thickBot="1" x14ac:dyDescent="0.3">
      <c r="B22" s="343" t="s">
        <v>293</v>
      </c>
      <c r="C22" s="344"/>
      <c r="D22" s="245">
        <v>179579</v>
      </c>
      <c r="E22" s="246">
        <v>96612</v>
      </c>
      <c r="F22" s="222">
        <v>50023.958040999154</v>
      </c>
      <c r="G22" s="231">
        <v>29730.963300049068</v>
      </c>
    </row>
    <row r="23" spans="2:7" ht="15.75" thickBot="1" x14ac:dyDescent="0.3">
      <c r="B23" s="224" t="s">
        <v>65</v>
      </c>
      <c r="C23" s="225" t="s">
        <v>66</v>
      </c>
      <c r="D23" s="141">
        <v>147314</v>
      </c>
      <c r="E23" s="145">
        <v>136838.5</v>
      </c>
      <c r="F23" s="144">
        <v>107844.47317027609</v>
      </c>
      <c r="G23" s="229">
        <v>100175.65161431248</v>
      </c>
    </row>
    <row r="24" spans="2:7" ht="15.75" thickBot="1" x14ac:dyDescent="0.3">
      <c r="B24" s="343" t="s">
        <v>294</v>
      </c>
      <c r="C24" s="344"/>
      <c r="D24" s="245">
        <v>89225.1</v>
      </c>
      <c r="E24" s="246">
        <v>100278.9</v>
      </c>
      <c r="F24" s="222">
        <v>30090.842871995024</v>
      </c>
      <c r="G24" s="231">
        <v>31286.183829195808</v>
      </c>
    </row>
    <row r="25" spans="2:7" ht="15.75" thickBot="1" x14ac:dyDescent="0.3">
      <c r="B25" s="341" t="s">
        <v>295</v>
      </c>
      <c r="C25" s="342"/>
      <c r="D25" s="141">
        <v>29547</v>
      </c>
      <c r="E25" s="238">
        <v>47303</v>
      </c>
      <c r="F25" s="226">
        <v>25185.822726812788</v>
      </c>
      <c r="G25" s="232">
        <v>24634.210995072888</v>
      </c>
    </row>
    <row r="26" spans="2:7" ht="15.75" thickBot="1" x14ac:dyDescent="0.3">
      <c r="B26" s="341" t="s">
        <v>296</v>
      </c>
      <c r="C26" s="342"/>
      <c r="D26" s="245">
        <v>341412</v>
      </c>
      <c r="E26" s="246">
        <v>360378</v>
      </c>
      <c r="F26" s="239">
        <v>323449.28586</v>
      </c>
      <c r="G26" s="231">
        <v>294376.81202999997</v>
      </c>
    </row>
    <row r="27" spans="2:7" ht="15.75" thickBot="1" x14ac:dyDescent="0.3">
      <c r="B27" s="343" t="s">
        <v>297</v>
      </c>
      <c r="C27" s="344"/>
      <c r="D27" s="245">
        <v>93826</v>
      </c>
      <c r="E27" s="246">
        <v>91205</v>
      </c>
      <c r="F27" s="240">
        <v>23792.71100366913</v>
      </c>
      <c r="G27" s="233">
        <v>21081.209926339896</v>
      </c>
    </row>
    <row r="28" spans="2:7" ht="15.75" thickBot="1" x14ac:dyDescent="0.3">
      <c r="B28" s="341" t="s">
        <v>298</v>
      </c>
      <c r="C28" s="342"/>
      <c r="D28" s="220">
        <v>4984</v>
      </c>
      <c r="E28" s="231">
        <v>4750</v>
      </c>
      <c r="F28" s="240">
        <v>5306.0049268247158</v>
      </c>
      <c r="G28" s="233">
        <v>8295.8967179810188</v>
      </c>
    </row>
    <row r="29" spans="2:7" ht="15.75" thickBot="1" x14ac:dyDescent="0.3">
      <c r="B29" s="341" t="s">
        <v>299</v>
      </c>
      <c r="C29" s="342"/>
      <c r="D29" s="245">
        <v>151300</v>
      </c>
      <c r="E29" s="246">
        <v>120353</v>
      </c>
      <c r="F29" s="144">
        <v>52210.656286364159</v>
      </c>
      <c r="G29" s="145">
        <v>42218.504201243515</v>
      </c>
    </row>
    <row r="30" spans="2:7" ht="15.75" thickBot="1" x14ac:dyDescent="0.3">
      <c r="B30" s="341" t="s">
        <v>300</v>
      </c>
      <c r="C30" s="342"/>
      <c r="D30" s="245">
        <v>138715</v>
      </c>
      <c r="E30" s="246">
        <v>159709</v>
      </c>
      <c r="F30" s="238">
        <v>29158.171819924297</v>
      </c>
      <c r="G30" s="234">
        <v>35321.71515773073</v>
      </c>
    </row>
    <row r="31" spans="2:7" ht="15.75" thickBot="1" x14ac:dyDescent="0.3">
      <c r="B31" s="224" t="s">
        <v>91</v>
      </c>
      <c r="C31" s="225" t="s">
        <v>92</v>
      </c>
      <c r="D31" s="245">
        <v>132398</v>
      </c>
      <c r="E31" s="254">
        <v>126513</v>
      </c>
      <c r="F31" s="226">
        <v>32216.482194391036</v>
      </c>
      <c r="G31" s="229">
        <v>30784.481728266244</v>
      </c>
    </row>
    <row r="32" spans="2:7" ht="15.75" thickBot="1" x14ac:dyDescent="0.3">
      <c r="B32" s="343" t="s">
        <v>305</v>
      </c>
      <c r="C32" s="345"/>
      <c r="D32" s="220">
        <v>67199</v>
      </c>
      <c r="E32" s="231">
        <v>66719</v>
      </c>
      <c r="F32" s="222">
        <v>35313.412178334947</v>
      </c>
      <c r="G32" s="231">
        <v>35061.169766310952</v>
      </c>
    </row>
    <row r="33" spans="2:7" ht="15.75" thickBot="1" x14ac:dyDescent="0.3">
      <c r="B33" s="346"/>
      <c r="C33" s="347"/>
      <c r="D33" s="347"/>
      <c r="E33" s="347"/>
      <c r="F33" s="347"/>
      <c r="G33" s="348"/>
    </row>
    <row r="34" spans="2:7" ht="40.9" customHeight="1" thickBot="1" x14ac:dyDescent="0.3">
      <c r="B34" s="237" t="s">
        <v>303</v>
      </c>
      <c r="C34" s="338" t="s">
        <v>306</v>
      </c>
      <c r="D34" s="339"/>
      <c r="E34" s="339"/>
      <c r="F34" s="339"/>
      <c r="G34" s="340"/>
    </row>
  </sheetData>
  <mergeCells count="27">
    <mergeCell ref="B13:C13"/>
    <mergeCell ref="B15:C15"/>
    <mergeCell ref="B16:C16"/>
    <mergeCell ref="B7:C7"/>
    <mergeCell ref="B8:C8"/>
    <mergeCell ref="B21:C21"/>
    <mergeCell ref="B22:C22"/>
    <mergeCell ref="B24:C24"/>
    <mergeCell ref="B17:C17"/>
    <mergeCell ref="B19:C19"/>
    <mergeCell ref="B20:C20"/>
    <mergeCell ref="C34:G34"/>
    <mergeCell ref="B28:C28"/>
    <mergeCell ref="B29:C29"/>
    <mergeCell ref="B30:C30"/>
    <mergeCell ref="B25:C25"/>
    <mergeCell ref="B26:C26"/>
    <mergeCell ref="B27:C27"/>
    <mergeCell ref="B32:C32"/>
    <mergeCell ref="B33:G33"/>
    <mergeCell ref="F5:G5"/>
    <mergeCell ref="B2:G2"/>
    <mergeCell ref="B3:G3"/>
    <mergeCell ref="B4:G4"/>
    <mergeCell ref="B5:B6"/>
    <mergeCell ref="C5:C6"/>
    <mergeCell ref="D5:E5"/>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2"/>
  <sheetViews>
    <sheetView workbookViewId="0">
      <selection activeCell="A14" sqref="A14:XFD14"/>
    </sheetView>
  </sheetViews>
  <sheetFormatPr baseColWidth="10" defaultRowHeight="15" x14ac:dyDescent="0.25"/>
  <cols>
    <col min="4" max="4" width="13" customWidth="1"/>
    <col min="5" max="5" width="13.85546875" customWidth="1"/>
    <col min="14" max="14" width="15" customWidth="1"/>
  </cols>
  <sheetData>
    <row r="1" spans="2:20" x14ac:dyDescent="0.25">
      <c r="B1" t="s">
        <v>157</v>
      </c>
      <c r="C1" t="s">
        <v>158</v>
      </c>
      <c r="D1" t="s">
        <v>159</v>
      </c>
      <c r="E1" t="s">
        <v>160</v>
      </c>
      <c r="F1" t="s">
        <v>161</v>
      </c>
      <c r="G1" t="s">
        <v>162</v>
      </c>
      <c r="H1" t="s">
        <v>163</v>
      </c>
      <c r="I1" t="s">
        <v>164</v>
      </c>
      <c r="J1" t="s">
        <v>165</v>
      </c>
      <c r="K1" t="s">
        <v>166</v>
      </c>
      <c r="L1" t="s">
        <v>167</v>
      </c>
      <c r="M1" t="s">
        <v>168</v>
      </c>
      <c r="N1" t="s">
        <v>169</v>
      </c>
      <c r="O1" t="s">
        <v>170</v>
      </c>
      <c r="P1" t="s">
        <v>171</v>
      </c>
      <c r="Q1" t="s">
        <v>172</v>
      </c>
      <c r="R1" t="s">
        <v>173</v>
      </c>
      <c r="S1" t="s">
        <v>174</v>
      </c>
      <c r="T1" t="s">
        <v>175</v>
      </c>
    </row>
    <row r="2" spans="2:20" x14ac:dyDescent="0.25">
      <c r="B2" t="s">
        <v>176</v>
      </c>
      <c r="C2" s="20">
        <v>2.652105612714558E-2</v>
      </c>
      <c r="D2" s="21">
        <v>236624</v>
      </c>
      <c r="E2">
        <v>242991</v>
      </c>
      <c r="F2">
        <v>249559</v>
      </c>
      <c r="G2">
        <v>256310</v>
      </c>
      <c r="H2">
        <v>263247</v>
      </c>
      <c r="I2">
        <v>270375</v>
      </c>
      <c r="J2">
        <v>277675</v>
      </c>
      <c r="K2">
        <v>285142</v>
      </c>
      <c r="L2">
        <v>292760</v>
      </c>
      <c r="M2">
        <v>300550</v>
      </c>
      <c r="N2">
        <v>308488</v>
      </c>
      <c r="O2">
        <v>316778.88309547817</v>
      </c>
      <c r="P2">
        <v>325292.5908794463</v>
      </c>
      <c r="Q2">
        <v>334035.11195905623</v>
      </c>
      <c r="R2">
        <v>343012.59589048143</v>
      </c>
      <c r="S2">
        <v>352231.35750456195</v>
      </c>
      <c r="T2">
        <v>361697.88134870469</v>
      </c>
    </row>
    <row r="3" spans="2:20" x14ac:dyDescent="0.25">
      <c r="B3" t="s">
        <v>177</v>
      </c>
      <c r="C3" s="20">
        <v>2.5751452596033543E-2</v>
      </c>
      <c r="D3">
        <v>56794</v>
      </c>
      <c r="E3">
        <v>58278</v>
      </c>
      <c r="F3">
        <v>59807</v>
      </c>
      <c r="G3">
        <v>61378</v>
      </c>
      <c r="H3">
        <v>62991</v>
      </c>
      <c r="I3">
        <v>64647</v>
      </c>
      <c r="J3">
        <v>66341</v>
      </c>
      <c r="K3">
        <v>68073</v>
      </c>
      <c r="L3">
        <v>69837</v>
      </c>
      <c r="M3">
        <v>71640</v>
      </c>
      <c r="N3">
        <v>73475</v>
      </c>
      <c r="O3">
        <v>75391.660458714949</v>
      </c>
      <c r="P3">
        <v>77358.318703261844</v>
      </c>
      <c r="Q3">
        <v>79376.278970171828</v>
      </c>
      <c r="R3">
        <v>81446.879518141286</v>
      </c>
      <c r="S3">
        <v>83571.493515530092</v>
      </c>
      <c r="T3">
        <v>85751.529951011136</v>
      </c>
    </row>
    <row r="4" spans="2:20" x14ac:dyDescent="0.25">
      <c r="B4" t="s">
        <v>178</v>
      </c>
      <c r="C4" s="20">
        <v>2.3785562298140578E-2</v>
      </c>
      <c r="D4">
        <v>40659</v>
      </c>
      <c r="E4">
        <v>41643</v>
      </c>
      <c r="F4">
        <v>42655</v>
      </c>
      <c r="G4">
        <v>43692</v>
      </c>
      <c r="H4">
        <v>44754</v>
      </c>
      <c r="I4">
        <v>45841</v>
      </c>
      <c r="J4">
        <v>46949</v>
      </c>
      <c r="K4">
        <v>48078</v>
      </c>
      <c r="L4">
        <v>49225</v>
      </c>
      <c r="M4">
        <v>50393</v>
      </c>
      <c r="N4">
        <v>51577</v>
      </c>
      <c r="O4">
        <v>52818.494234848025</v>
      </c>
      <c r="P4">
        <v>54089.872098739244</v>
      </c>
      <c r="Q4">
        <v>55391.852911393173</v>
      </c>
      <c r="R4">
        <v>56725.173307054894</v>
      </c>
      <c r="S4">
        <v>58090.587651267699</v>
      </c>
      <c r="T4">
        <v>59488.868467677778</v>
      </c>
    </row>
    <row r="5" spans="2:20" x14ac:dyDescent="0.25">
      <c r="B5" t="s">
        <v>179</v>
      </c>
      <c r="C5" s="20">
        <v>1.1799173856854655E-2</v>
      </c>
      <c r="D5">
        <v>7985</v>
      </c>
      <c r="E5">
        <v>8093</v>
      </c>
      <c r="F5">
        <v>8200</v>
      </c>
      <c r="G5">
        <v>8306</v>
      </c>
      <c r="H5">
        <v>8411</v>
      </c>
      <c r="I5">
        <v>8515</v>
      </c>
      <c r="J5">
        <v>8615</v>
      </c>
      <c r="K5">
        <v>8713</v>
      </c>
      <c r="L5">
        <v>8808</v>
      </c>
      <c r="M5">
        <v>8899</v>
      </c>
      <c r="N5">
        <v>8985</v>
      </c>
      <c r="O5">
        <v>9091.6434924138284</v>
      </c>
      <c r="P5">
        <v>9199.5527426990229</v>
      </c>
      <c r="Q5">
        <v>9308.7427742100572</v>
      </c>
      <c r="R5">
        <v>9419.2287886144823</v>
      </c>
      <c r="S5">
        <v>9531.0261680093317</v>
      </c>
      <c r="T5">
        <v>9644.1504770626543</v>
      </c>
    </row>
    <row r="6" spans="2:20" x14ac:dyDescent="0.25">
      <c r="B6" t="s">
        <v>180</v>
      </c>
      <c r="C6" s="20">
        <v>6.2627961384610353E-3</v>
      </c>
      <c r="D6">
        <v>8448</v>
      </c>
      <c r="E6">
        <v>8511</v>
      </c>
      <c r="F6">
        <v>8574</v>
      </c>
      <c r="G6">
        <v>8635</v>
      </c>
      <c r="H6">
        <v>8695</v>
      </c>
      <c r="I6">
        <v>8753</v>
      </c>
      <c r="J6">
        <v>8808</v>
      </c>
      <c r="K6">
        <v>8860</v>
      </c>
      <c r="L6">
        <v>8909</v>
      </c>
      <c r="M6">
        <v>8954</v>
      </c>
      <c r="N6">
        <v>8994</v>
      </c>
      <c r="O6">
        <v>9050.504341367563</v>
      </c>
      <c r="P6">
        <v>9107.3636683470213</v>
      </c>
      <c r="Q6">
        <v>9164.5802111171815</v>
      </c>
      <c r="R6">
        <v>9222.1562138678346</v>
      </c>
      <c r="S6">
        <v>9280.0939348877801</v>
      </c>
      <c r="T6">
        <v>9338.3956466533964</v>
      </c>
    </row>
    <row r="7" spans="2:20" x14ac:dyDescent="0.25">
      <c r="B7" t="s">
        <v>181</v>
      </c>
      <c r="C7" s="20">
        <v>6.0489327480849108E-3</v>
      </c>
      <c r="D7">
        <v>23045</v>
      </c>
      <c r="E7">
        <v>23214</v>
      </c>
      <c r="F7">
        <v>23381</v>
      </c>
      <c r="G7">
        <v>23544</v>
      </c>
      <c r="H7">
        <v>23702</v>
      </c>
      <c r="I7">
        <v>23855</v>
      </c>
      <c r="J7">
        <v>24000</v>
      </c>
      <c r="K7">
        <v>24137</v>
      </c>
      <c r="L7">
        <v>24262</v>
      </c>
      <c r="M7">
        <v>24378</v>
      </c>
      <c r="N7">
        <v>24482</v>
      </c>
      <c r="O7">
        <v>24630.538769137034</v>
      </c>
      <c r="P7">
        <v>24779.978762272789</v>
      </c>
      <c r="Q7">
        <v>24930.32544737163</v>
      </c>
      <c r="R7">
        <v>25081.584325573502</v>
      </c>
      <c r="S7">
        <v>25233.760931395223</v>
      </c>
      <c r="T7">
        <v>25386.860832932991</v>
      </c>
    </row>
    <row r="8" spans="2:20" x14ac:dyDescent="0.25">
      <c r="B8" t="s">
        <v>182</v>
      </c>
      <c r="C8" s="20">
        <v>2.8223117145165122E-2</v>
      </c>
      <c r="D8">
        <v>12647</v>
      </c>
      <c r="E8">
        <v>13016</v>
      </c>
      <c r="F8">
        <v>13397</v>
      </c>
      <c r="G8">
        <v>13786</v>
      </c>
      <c r="H8">
        <v>14186</v>
      </c>
      <c r="I8">
        <v>14596</v>
      </c>
      <c r="J8">
        <v>15014</v>
      </c>
      <c r="K8">
        <v>15441</v>
      </c>
      <c r="L8">
        <v>15876</v>
      </c>
      <c r="M8">
        <v>16320</v>
      </c>
      <c r="N8">
        <v>16771</v>
      </c>
      <c r="O8">
        <v>17251.072604144058</v>
      </c>
      <c r="P8">
        <v>17744.887364703929</v>
      </c>
      <c r="Q8">
        <v>18252.83765314328</v>
      </c>
      <c r="R8">
        <v>18775.328101247935</v>
      </c>
      <c r="S8">
        <v>19312.774923454432</v>
      </c>
      <c r="T8">
        <v>19865.606248405285</v>
      </c>
    </row>
    <row r="9" spans="2:20" x14ac:dyDescent="0.25">
      <c r="B9" t="s">
        <v>183</v>
      </c>
      <c r="C9" s="20">
        <v>1.9804170939323476E-2</v>
      </c>
      <c r="D9">
        <v>12465</v>
      </c>
      <c r="E9">
        <v>12721</v>
      </c>
      <c r="F9">
        <v>12983</v>
      </c>
      <c r="G9">
        <v>13249</v>
      </c>
      <c r="H9">
        <v>13519</v>
      </c>
      <c r="I9">
        <v>13793</v>
      </c>
      <c r="J9">
        <v>14070</v>
      </c>
      <c r="K9">
        <v>14349</v>
      </c>
      <c r="L9">
        <v>14630</v>
      </c>
      <c r="M9">
        <v>14912</v>
      </c>
      <c r="N9">
        <v>15195</v>
      </c>
      <c r="O9">
        <v>15498.923924789187</v>
      </c>
      <c r="P9">
        <v>15808.926806607613</v>
      </c>
      <c r="Q9">
        <v>16125.130234167284</v>
      </c>
      <c r="R9">
        <v>16447.65822814589</v>
      </c>
      <c r="S9">
        <v>16776.637289829949</v>
      </c>
      <c r="T9">
        <v>17112.196450730888</v>
      </c>
    </row>
    <row r="10" spans="2:20" x14ac:dyDescent="0.25">
      <c r="B10" t="s">
        <v>184</v>
      </c>
      <c r="C10" s="20">
        <v>1.9843218820337318E-2</v>
      </c>
      <c r="D10">
        <v>18133</v>
      </c>
      <c r="E10">
        <v>18503</v>
      </c>
      <c r="F10">
        <v>18882</v>
      </c>
      <c r="G10">
        <v>19268</v>
      </c>
      <c r="H10">
        <v>19661</v>
      </c>
      <c r="I10">
        <v>20060</v>
      </c>
      <c r="J10">
        <v>20463</v>
      </c>
      <c r="K10">
        <v>20871</v>
      </c>
      <c r="L10">
        <v>21282</v>
      </c>
      <c r="M10">
        <v>21697</v>
      </c>
      <c r="N10">
        <v>22113</v>
      </c>
      <c r="O10">
        <v>22556.175570963256</v>
      </c>
      <c r="P10">
        <v>23008.233002673522</v>
      </c>
      <c r="Q10">
        <v>23469.350300092032</v>
      </c>
      <c r="R10">
        <v>23939.709035649394</v>
      </c>
      <c r="S10">
        <v>24419.494420742696</v>
      </c>
      <c r="T10">
        <v>24908.895378665489</v>
      </c>
    </row>
    <row r="11" spans="2:20" s="22" customFormat="1" x14ac:dyDescent="0.25">
      <c r="B11" s="22" t="s">
        <v>185</v>
      </c>
      <c r="C11" s="23">
        <v>6.4358188109824299E-3</v>
      </c>
      <c r="D11" s="22">
        <v>16984</v>
      </c>
      <c r="E11" s="22">
        <v>17117</v>
      </c>
      <c r="F11" s="22">
        <v>17249</v>
      </c>
      <c r="G11" s="22">
        <v>17377</v>
      </c>
      <c r="H11" s="22">
        <v>17502</v>
      </c>
      <c r="I11" s="22">
        <v>17622</v>
      </c>
      <c r="J11" s="22">
        <v>17736</v>
      </c>
      <c r="K11" s="22">
        <v>17843</v>
      </c>
      <c r="L11" s="22">
        <v>17941</v>
      </c>
      <c r="M11" s="22">
        <v>18032</v>
      </c>
      <c r="N11" s="22">
        <v>18113</v>
      </c>
      <c r="O11" s="22">
        <v>18229.947910241019</v>
      </c>
      <c r="P11" s="22">
        <v>18347.650903224254</v>
      </c>
      <c r="Q11" s="22">
        <v>18466.113854196694</v>
      </c>
      <c r="R11" s="22">
        <v>18585.341669882724</v>
      </c>
      <c r="S11" s="22">
        <v>18705.339288687348</v>
      </c>
      <c r="T11" s="22">
        <v>18826.111680900744</v>
      </c>
    </row>
    <row r="12" spans="2:20" x14ac:dyDescent="0.25">
      <c r="B12" t="s">
        <v>186</v>
      </c>
      <c r="C12" s="20">
        <v>3.466986300697944E-2</v>
      </c>
      <c r="D12">
        <v>4503</v>
      </c>
      <c r="E12">
        <v>4669</v>
      </c>
      <c r="F12">
        <v>4840</v>
      </c>
      <c r="G12">
        <v>5015</v>
      </c>
      <c r="H12">
        <v>5196</v>
      </c>
      <c r="I12">
        <v>5380</v>
      </c>
      <c r="J12">
        <v>5570</v>
      </c>
      <c r="K12">
        <v>5763</v>
      </c>
      <c r="L12">
        <v>5961</v>
      </c>
      <c r="M12">
        <v>6163</v>
      </c>
      <c r="N12">
        <v>6369</v>
      </c>
      <c r="O12">
        <v>6593.6847467257639</v>
      </c>
      <c r="P12">
        <v>6826.295892479824</v>
      </c>
      <c r="Q12">
        <v>7067.1130637275792</v>
      </c>
      <c r="R12">
        <v>7316.4257515602012</v>
      </c>
      <c r="S12">
        <v>7574.5336596976103</v>
      </c>
      <c r="T12">
        <v>7841.7470647682539</v>
      </c>
    </row>
    <row r="13" spans="2:20" x14ac:dyDescent="0.25">
      <c r="B13" t="s">
        <v>187</v>
      </c>
      <c r="C13" s="20">
        <v>6.1701020597931403E-3</v>
      </c>
      <c r="D13">
        <v>6882</v>
      </c>
      <c r="E13">
        <v>6932</v>
      </c>
      <c r="F13">
        <v>6982</v>
      </c>
      <c r="G13">
        <v>7031</v>
      </c>
      <c r="H13">
        <v>7079</v>
      </c>
      <c r="I13">
        <v>7125</v>
      </c>
      <c r="J13">
        <v>7170</v>
      </c>
      <c r="K13">
        <v>7212</v>
      </c>
      <c r="L13">
        <v>7251</v>
      </c>
      <c r="M13">
        <v>7287</v>
      </c>
      <c r="N13">
        <v>7320</v>
      </c>
      <c r="O13">
        <v>7365.3047708778449</v>
      </c>
      <c r="P13">
        <v>7410.8899409721234</v>
      </c>
      <c r="Q13">
        <v>7456.7572457230344</v>
      </c>
      <c r="R13">
        <v>7502.9084313117219</v>
      </c>
      <c r="S13">
        <v>7549.3452547267534</v>
      </c>
      <c r="T13">
        <v>7596.0694838310083</v>
      </c>
    </row>
    <row r="14" spans="2:20" x14ac:dyDescent="0.25">
      <c r="B14" t="s">
        <v>188</v>
      </c>
      <c r="C14" s="20">
        <v>4.0094922847200752E-2</v>
      </c>
      <c r="D14">
        <v>3773</v>
      </c>
      <c r="E14">
        <v>3934</v>
      </c>
      <c r="F14">
        <v>4101</v>
      </c>
      <c r="G14">
        <v>4273</v>
      </c>
      <c r="H14">
        <v>4451</v>
      </c>
      <c r="I14">
        <v>4635</v>
      </c>
      <c r="J14">
        <v>4824</v>
      </c>
      <c r="K14">
        <v>5019</v>
      </c>
      <c r="L14">
        <v>5218</v>
      </c>
      <c r="M14">
        <v>5424</v>
      </c>
      <c r="N14">
        <v>5634</v>
      </c>
      <c r="O14">
        <v>5864.4845489509826</v>
      </c>
      <c r="P14">
        <v>6104.3981229827496</v>
      </c>
      <c r="Q14">
        <v>6354.1264595097118</v>
      </c>
      <c r="R14">
        <v>6614.071076300198</v>
      </c>
      <c r="S14">
        <v>6884.6499170440375</v>
      </c>
      <c r="T14">
        <v>7166.2980233300359</v>
      </c>
    </row>
    <row r="15" spans="2:20" s="22" customFormat="1" x14ac:dyDescent="0.25">
      <c r="B15" s="22" t="s">
        <v>189</v>
      </c>
      <c r="C15" s="23">
        <v>3.9112142049114278E-2</v>
      </c>
      <c r="D15" s="22">
        <v>4611</v>
      </c>
      <c r="E15" s="22">
        <v>4799</v>
      </c>
      <c r="F15" s="22">
        <v>4995</v>
      </c>
      <c r="G15" s="22">
        <v>5198</v>
      </c>
      <c r="H15" s="22">
        <v>5408</v>
      </c>
      <c r="I15" s="22">
        <v>5625</v>
      </c>
      <c r="J15" s="22">
        <v>5850</v>
      </c>
      <c r="K15" s="22">
        <v>6081</v>
      </c>
      <c r="L15" s="22">
        <v>6320</v>
      </c>
      <c r="M15" s="22">
        <v>6565</v>
      </c>
      <c r="N15" s="22">
        <v>6818</v>
      </c>
      <c r="O15" s="22">
        <v>7089.950194490335</v>
      </c>
      <c r="P15" s="22">
        <v>7372.7476914569579</v>
      </c>
      <c r="Q15" s="22">
        <v>7666.8251582536559</v>
      </c>
      <c r="R15" s="22">
        <v>7972.6325200768406</v>
      </c>
      <c r="S15" s="22">
        <v>8290.6376483307067</v>
      </c>
      <c r="T15" s="22">
        <v>8621.327076449279</v>
      </c>
    </row>
    <row r="16" spans="2:20" x14ac:dyDescent="0.25">
      <c r="B16" t="s">
        <v>190</v>
      </c>
      <c r="C16" s="20">
        <v>3.1144650097289117E-2</v>
      </c>
      <c r="D16">
        <v>13618</v>
      </c>
      <c r="E16">
        <v>14052</v>
      </c>
      <c r="F16">
        <v>14500</v>
      </c>
      <c r="G16">
        <v>14962</v>
      </c>
      <c r="H16">
        <v>15439</v>
      </c>
      <c r="I16">
        <v>15931</v>
      </c>
      <c r="J16">
        <v>16437</v>
      </c>
      <c r="K16">
        <v>16956</v>
      </c>
      <c r="L16">
        <v>17489</v>
      </c>
      <c r="M16">
        <v>18035</v>
      </c>
      <c r="N16">
        <v>18594</v>
      </c>
      <c r="O16">
        <v>19182.215968000677</v>
      </c>
      <c r="P16">
        <v>19789.039982952574</v>
      </c>
      <c r="Q16">
        <v>20415.060705195046</v>
      </c>
      <c r="R16">
        <v>21060.885417171969</v>
      </c>
      <c r="S16">
        <v>21727.140612536772</v>
      </c>
      <c r="T16">
        <v>22414.472603893668</v>
      </c>
    </row>
    <row r="17" spans="2:20" x14ac:dyDescent="0.25">
      <c r="B17" t="s">
        <v>191</v>
      </c>
      <c r="C17" s="20">
        <v>3.4004420801984514E-2</v>
      </c>
      <c r="D17">
        <v>5669</v>
      </c>
      <c r="E17">
        <v>5869</v>
      </c>
      <c r="F17">
        <v>6077</v>
      </c>
      <c r="G17">
        <v>6290</v>
      </c>
      <c r="H17">
        <v>6511</v>
      </c>
      <c r="I17">
        <v>6738</v>
      </c>
      <c r="J17">
        <v>6971</v>
      </c>
      <c r="K17">
        <v>7210</v>
      </c>
      <c r="L17">
        <v>7456</v>
      </c>
      <c r="M17">
        <v>7708</v>
      </c>
      <c r="N17">
        <v>7965</v>
      </c>
      <c r="O17">
        <v>8240.5028221401662</v>
      </c>
      <c r="P17">
        <v>8525.535061104838</v>
      </c>
      <c r="Q17">
        <v>8820.4263316119705</v>
      </c>
      <c r="R17">
        <v>9125.51764948247</v>
      </c>
      <c r="S17">
        <v>9441.161825995001</v>
      </c>
      <c r="T17">
        <v>9767.7238758812055</v>
      </c>
    </row>
    <row r="18" spans="2:20" x14ac:dyDescent="0.25">
      <c r="B18" t="s">
        <v>192</v>
      </c>
      <c r="C18" s="20">
        <v>8.8321964728376792E-3</v>
      </c>
      <c r="D18">
        <v>9595</v>
      </c>
      <c r="E18">
        <v>9688</v>
      </c>
      <c r="F18">
        <v>9782</v>
      </c>
      <c r="G18">
        <v>9875</v>
      </c>
      <c r="H18">
        <v>9967</v>
      </c>
      <c r="I18">
        <v>10058</v>
      </c>
      <c r="J18">
        <v>10148</v>
      </c>
      <c r="K18">
        <v>10235</v>
      </c>
      <c r="L18">
        <v>10320</v>
      </c>
      <c r="M18">
        <v>10402</v>
      </c>
      <c r="N18">
        <v>10481</v>
      </c>
      <c r="O18">
        <v>10573.980256749161</v>
      </c>
      <c r="P18">
        <v>10667.785370682286</v>
      </c>
      <c r="Q18">
        <v>10762.422659367619</v>
      </c>
      <c r="R18">
        <v>10857.899505289857</v>
      </c>
      <c r="S18">
        <v>10954.22335642605</v>
      </c>
      <c r="T18">
        <v>11051.401726826596</v>
      </c>
    </row>
    <row r="19" spans="2:20" x14ac:dyDescent="0.25">
      <c r="B19" t="s">
        <v>193</v>
      </c>
      <c r="C19" s="20">
        <v>2.2021264581473139E-2</v>
      </c>
      <c r="D19">
        <v>9089</v>
      </c>
      <c r="E19">
        <v>9292</v>
      </c>
      <c r="F19">
        <v>9501</v>
      </c>
      <c r="G19">
        <v>9714</v>
      </c>
      <c r="H19">
        <v>9933</v>
      </c>
      <c r="I19">
        <v>10156</v>
      </c>
      <c r="J19">
        <v>10383</v>
      </c>
      <c r="K19">
        <v>10614</v>
      </c>
      <c r="L19">
        <v>10849</v>
      </c>
      <c r="M19">
        <v>11087</v>
      </c>
      <c r="N19">
        <v>11328</v>
      </c>
      <c r="O19">
        <v>11580.223836476205</v>
      </c>
      <c r="P19">
        <v>11838.063568404985</v>
      </c>
      <c r="Q19">
        <v>12101.644236631706</v>
      </c>
      <c r="R19">
        <v>12371.093666101462</v>
      </c>
      <c r="S19">
        <v>12646.542527848513</v>
      </c>
      <c r="T19">
        <v>12928.124402365942</v>
      </c>
    </row>
    <row r="20" spans="2:20" x14ac:dyDescent="0.25">
      <c r="B20" t="s">
        <v>194</v>
      </c>
      <c r="C20" s="20">
        <v>3.2280136799207097E-2</v>
      </c>
      <c r="G20">
        <v>5033</v>
      </c>
      <c r="H20">
        <v>5198</v>
      </c>
      <c r="I20">
        <v>5371</v>
      </c>
      <c r="J20">
        <v>5549</v>
      </c>
      <c r="K20">
        <v>5731</v>
      </c>
      <c r="L20">
        <v>5919</v>
      </c>
      <c r="M20">
        <v>6112</v>
      </c>
      <c r="N20">
        <v>6309</v>
      </c>
      <c r="O20">
        <v>6515.9780505526642</v>
      </c>
      <c r="P20">
        <v>6729.7463869526227</v>
      </c>
      <c r="Q20">
        <v>6950.5277766950994</v>
      </c>
      <c r="R20">
        <v>7178.5522955621927</v>
      </c>
      <c r="S20">
        <v>7414.0575673843223</v>
      </c>
      <c r="T20">
        <v>7657.2890116674789</v>
      </c>
    </row>
    <row r="21" spans="2:20" x14ac:dyDescent="0.25">
      <c r="B21" t="s">
        <v>195</v>
      </c>
      <c r="C21" s="20">
        <v>1.3180383295592939E-2</v>
      </c>
      <c r="D21">
        <v>5359</v>
      </c>
      <c r="E21">
        <v>5439</v>
      </c>
      <c r="F21">
        <v>5518</v>
      </c>
      <c r="G21">
        <v>5597</v>
      </c>
      <c r="H21">
        <v>5676</v>
      </c>
      <c r="I21">
        <v>5753</v>
      </c>
      <c r="J21">
        <v>5829</v>
      </c>
      <c r="K21">
        <v>5904</v>
      </c>
      <c r="L21">
        <v>5976</v>
      </c>
      <c r="M21">
        <v>6046</v>
      </c>
      <c r="N21">
        <v>6114</v>
      </c>
      <c r="O21">
        <v>6195.118274106012</v>
      </c>
      <c r="P21">
        <v>6277.3127952506138</v>
      </c>
      <c r="Q21">
        <v>6360.5978426785359</v>
      </c>
      <c r="R21">
        <v>6444.9878850862078</v>
      </c>
      <c r="S21">
        <v>6530.4975831353322</v>
      </c>
      <c r="T21">
        <v>6617.1417919998103</v>
      </c>
    </row>
    <row r="22" spans="2:20" x14ac:dyDescent="0.25">
      <c r="B22" t="s">
        <v>196</v>
      </c>
      <c r="C22" s="20">
        <v>1.3782057847604053E-2</v>
      </c>
      <c r="D22">
        <v>11545</v>
      </c>
      <c r="E22">
        <v>11714</v>
      </c>
      <c r="F22">
        <v>11886</v>
      </c>
      <c r="G22">
        <v>12058</v>
      </c>
      <c r="H22">
        <v>12231</v>
      </c>
      <c r="I22">
        <v>12404</v>
      </c>
      <c r="J22">
        <v>12577</v>
      </c>
      <c r="K22">
        <v>12749</v>
      </c>
      <c r="L22">
        <v>12918</v>
      </c>
      <c r="M22">
        <v>13086</v>
      </c>
      <c r="N22">
        <v>13251</v>
      </c>
      <c r="O22">
        <v>13434.890331384295</v>
      </c>
      <c r="P22">
        <v>13621.332594998355</v>
      </c>
      <c r="Q22">
        <v>13810.362205200599</v>
      </c>
      <c r="R22">
        <v>14002.015067811079</v>
      </c>
      <c r="S22">
        <v>14196.327586931722</v>
      </c>
      <c r="T22">
        <v>14393.336671861227</v>
      </c>
    </row>
    <row r="23" spans="2:20" x14ac:dyDescent="0.25">
      <c r="B23" t="s">
        <v>197</v>
      </c>
      <c r="C23" s="20">
        <v>1.0873256438612594E-2</v>
      </c>
      <c r="D23">
        <v>9533</v>
      </c>
      <c r="E23">
        <v>9644</v>
      </c>
      <c r="F23">
        <v>9756</v>
      </c>
      <c r="G23">
        <v>9869</v>
      </c>
      <c r="H23">
        <v>9981</v>
      </c>
      <c r="I23">
        <v>10093</v>
      </c>
      <c r="J23">
        <v>10204</v>
      </c>
      <c r="K23">
        <v>10314</v>
      </c>
      <c r="L23">
        <v>10421</v>
      </c>
      <c r="M23">
        <v>10526</v>
      </c>
      <c r="N23">
        <v>10628</v>
      </c>
      <c r="O23">
        <v>10744.191514745055</v>
      </c>
      <c r="P23">
        <v>10861.653303116262</v>
      </c>
      <c r="Q23">
        <v>10980.399252488176</v>
      </c>
      <c r="R23">
        <v>11100.443402060255</v>
      </c>
      <c r="S23">
        <v>11221.799944516702</v>
      </c>
      <c r="T23">
        <v>11344.483227704448</v>
      </c>
    </row>
    <row r="24" spans="2:20" x14ac:dyDescent="0.25">
      <c r="B24" t="s">
        <v>198</v>
      </c>
      <c r="C24" s="20">
        <v>1.61763844551501E-2</v>
      </c>
      <c r="D24">
        <v>6823</v>
      </c>
      <c r="E24">
        <v>6938</v>
      </c>
      <c r="F24">
        <v>7055</v>
      </c>
      <c r="G24">
        <v>7173</v>
      </c>
      <c r="H24">
        <v>7293</v>
      </c>
      <c r="I24">
        <v>7414</v>
      </c>
      <c r="J24">
        <v>7535</v>
      </c>
      <c r="K24">
        <v>7657</v>
      </c>
      <c r="L24">
        <v>7778</v>
      </c>
      <c r="M24">
        <v>7900</v>
      </c>
      <c r="N24">
        <v>8021</v>
      </c>
      <c r="O24">
        <v>8151.8059106864293</v>
      </c>
      <c r="P24">
        <v>8284.7449950757018</v>
      </c>
      <c r="Q24">
        <v>8419.8520408163477</v>
      </c>
      <c r="R24">
        <v>8557.1624028714505</v>
      </c>
      <c r="S24">
        <v>8696.7120127703747</v>
      </c>
      <c r="T24">
        <v>8838.537388011373</v>
      </c>
    </row>
    <row r="25" spans="2:20" x14ac:dyDescent="0.25">
      <c r="B25" t="s">
        <v>199</v>
      </c>
      <c r="C25" s="20">
        <v>1.957215167887218E-2</v>
      </c>
      <c r="D25">
        <v>5782</v>
      </c>
      <c r="E25">
        <v>5901</v>
      </c>
      <c r="F25">
        <v>6022</v>
      </c>
      <c r="G25">
        <v>6145</v>
      </c>
      <c r="H25">
        <v>6269</v>
      </c>
      <c r="I25">
        <v>6395</v>
      </c>
      <c r="J25">
        <v>6521</v>
      </c>
      <c r="K25">
        <v>6649</v>
      </c>
      <c r="L25">
        <v>6776</v>
      </c>
      <c r="M25">
        <v>6904</v>
      </c>
      <c r="N25">
        <v>7032</v>
      </c>
      <c r="O25">
        <v>7170.9870718554084</v>
      </c>
      <c r="P25">
        <v>7312.7212151190852</v>
      </c>
      <c r="Q25">
        <v>7457.2567254979713</v>
      </c>
      <c r="R25">
        <v>7604.6489718505045</v>
      </c>
      <c r="S25">
        <v>7754.9544173973964</v>
      </c>
      <c r="T25">
        <v>7908.230641351639</v>
      </c>
    </row>
    <row r="26" spans="2:20" x14ac:dyDescent="0.25">
      <c r="B26" t="s">
        <v>200</v>
      </c>
      <c r="C26" s="20">
        <v>1.5435215056431537E-2</v>
      </c>
      <c r="D26">
        <v>4254</v>
      </c>
      <c r="E26">
        <v>4328</v>
      </c>
      <c r="F26">
        <v>4402</v>
      </c>
      <c r="G26">
        <v>4476</v>
      </c>
      <c r="H26">
        <v>4549</v>
      </c>
      <c r="I26">
        <v>4622</v>
      </c>
      <c r="J26">
        <v>4694</v>
      </c>
      <c r="K26">
        <v>4764</v>
      </c>
      <c r="L26">
        <v>4833</v>
      </c>
      <c r="M26">
        <v>4899</v>
      </c>
      <c r="N26">
        <v>4964</v>
      </c>
      <c r="O26">
        <v>5041.2147879664581</v>
      </c>
      <c r="P26">
        <v>5119.6306483504632</v>
      </c>
      <c r="Q26">
        <v>5199.2662637773283</v>
      </c>
      <c r="R26">
        <v>5280.1406074797305</v>
      </c>
      <c r="S26">
        <v>5362.2729478180927</v>
      </c>
      <c r="T26">
        <v>5445.6828528712849</v>
      </c>
    </row>
    <row r="28" spans="2:20" x14ac:dyDescent="0.25">
      <c r="E28">
        <f>(E11-D11)/E11</f>
        <v>7.7700531635216449E-3</v>
      </c>
    </row>
    <row r="29" spans="2:20" x14ac:dyDescent="0.25">
      <c r="C29">
        <f>C15*100</f>
        <v>3.9112142049114276</v>
      </c>
    </row>
    <row r="30" spans="2:20" x14ac:dyDescent="0.25">
      <c r="H30">
        <f>(H20-G20)*100/G20</f>
        <v>3.2783628054838068</v>
      </c>
    </row>
    <row r="31" spans="2:20" x14ac:dyDescent="0.25">
      <c r="C31">
        <v>950</v>
      </c>
      <c r="D31">
        <f>(C32-C31)/C31</f>
        <v>1.2631578947368421E-2</v>
      </c>
    </row>
    <row r="32" spans="2:20" x14ac:dyDescent="0.25">
      <c r="C32">
        <v>962</v>
      </c>
      <c r="D32">
        <f>D31*100</f>
        <v>1.263157894736842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B1:R39"/>
  <sheetViews>
    <sheetView workbookViewId="0">
      <selection activeCell="B2" sqref="B2:P39"/>
    </sheetView>
  </sheetViews>
  <sheetFormatPr baseColWidth="10" defaultRowHeight="15" x14ac:dyDescent="0.25"/>
  <cols>
    <col min="2" max="2" width="20.28515625" customWidth="1"/>
    <col min="3" max="3" width="19.42578125" customWidth="1"/>
    <col min="4" max="4" width="26" customWidth="1"/>
    <col min="5" max="5" width="6.28515625" customWidth="1"/>
    <col min="6" max="6" width="5.5703125" customWidth="1"/>
    <col min="7" max="7" width="6.7109375" customWidth="1"/>
    <col min="8" max="8" width="5.28515625" customWidth="1"/>
    <col min="9" max="9" width="5.7109375" customWidth="1"/>
    <col min="10" max="10" width="5.140625" customWidth="1"/>
    <col min="11" max="11" width="5.5703125" customWidth="1"/>
    <col min="12" max="12" width="5.85546875" customWidth="1"/>
    <col min="13" max="16" width="5.7109375" customWidth="1"/>
  </cols>
  <sheetData>
    <row r="1" spans="2:18" ht="15.75" thickBot="1" x14ac:dyDescent="0.3"/>
    <row r="2" spans="2:18" ht="15.75" thickBot="1" x14ac:dyDescent="0.3">
      <c r="B2" s="308" t="s">
        <v>0</v>
      </c>
      <c r="C2" s="309"/>
      <c r="D2" s="309"/>
      <c r="E2" s="309"/>
      <c r="F2" s="309"/>
      <c r="G2" s="309"/>
      <c r="H2" s="309"/>
      <c r="I2" s="309"/>
      <c r="J2" s="309"/>
      <c r="K2" s="309"/>
      <c r="L2" s="309"/>
      <c r="M2" s="309"/>
      <c r="N2" s="309"/>
      <c r="O2" s="309"/>
      <c r="P2" s="310"/>
    </row>
    <row r="3" spans="2:18" ht="15.75" thickBot="1" x14ac:dyDescent="0.3">
      <c r="B3" s="308" t="s">
        <v>1</v>
      </c>
      <c r="C3" s="309"/>
      <c r="D3" s="309"/>
      <c r="E3" s="309"/>
      <c r="F3" s="309"/>
      <c r="G3" s="309"/>
      <c r="H3" s="309"/>
      <c r="I3" s="309"/>
      <c r="J3" s="309"/>
      <c r="K3" s="309"/>
      <c r="L3" s="309"/>
      <c r="M3" s="309"/>
      <c r="N3" s="309"/>
      <c r="O3" s="309"/>
      <c r="P3" s="310"/>
    </row>
    <row r="4" spans="2:18" ht="14.45" customHeight="1" thickBot="1" x14ac:dyDescent="0.3">
      <c r="B4" s="311" t="s">
        <v>201</v>
      </c>
      <c r="C4" s="312"/>
      <c r="D4" s="312"/>
      <c r="E4" s="312"/>
      <c r="F4" s="312"/>
      <c r="G4" s="312"/>
      <c r="H4" s="312"/>
      <c r="I4" s="312"/>
      <c r="J4" s="312"/>
      <c r="K4" s="312"/>
      <c r="L4" s="312"/>
      <c r="M4" s="312"/>
      <c r="N4" s="312"/>
      <c r="O4" s="312"/>
      <c r="P4" s="313"/>
    </row>
    <row r="5" spans="2:18" ht="15.75" thickBot="1" x14ac:dyDescent="0.3">
      <c r="B5" s="308" t="s">
        <v>139</v>
      </c>
      <c r="C5" s="309"/>
      <c r="D5" s="309"/>
      <c r="E5" s="309"/>
      <c r="F5" s="309"/>
      <c r="G5" s="309"/>
      <c r="H5" s="309"/>
      <c r="I5" s="309"/>
      <c r="J5" s="309"/>
      <c r="K5" s="309"/>
      <c r="L5" s="309"/>
      <c r="M5" s="309"/>
      <c r="N5" s="309"/>
      <c r="O5" s="309"/>
      <c r="P5" s="310"/>
    </row>
    <row r="6" spans="2:18" ht="22.15" customHeight="1" thickBot="1" x14ac:dyDescent="0.3">
      <c r="B6" s="321" t="s">
        <v>8</v>
      </c>
      <c r="C6" s="321" t="s">
        <v>202</v>
      </c>
      <c r="D6" s="321" t="s">
        <v>2</v>
      </c>
      <c r="E6" s="318" t="s">
        <v>3</v>
      </c>
      <c r="F6" s="315"/>
      <c r="G6" s="332" t="s">
        <v>7</v>
      </c>
      <c r="H6" s="316"/>
      <c r="I6" s="316"/>
      <c r="J6" s="316"/>
      <c r="K6" s="316"/>
      <c r="L6" s="316"/>
      <c r="M6" s="316"/>
      <c r="N6" s="316"/>
      <c r="O6" s="316"/>
      <c r="P6" s="317"/>
    </row>
    <row r="7" spans="2:18" ht="15.75" thickBot="1" x14ac:dyDescent="0.3">
      <c r="B7" s="331"/>
      <c r="C7" s="331"/>
      <c r="D7" s="331"/>
      <c r="E7" s="354" t="s">
        <v>4</v>
      </c>
      <c r="F7" s="349" t="s">
        <v>5</v>
      </c>
      <c r="G7" s="351" t="s">
        <v>4</v>
      </c>
      <c r="H7" s="352"/>
      <c r="I7" s="352"/>
      <c r="J7" s="352"/>
      <c r="K7" s="353"/>
      <c r="L7" s="351" t="s">
        <v>5</v>
      </c>
      <c r="M7" s="352"/>
      <c r="N7" s="352"/>
      <c r="O7" s="352"/>
      <c r="P7" s="353"/>
    </row>
    <row r="8" spans="2:18" ht="15.75" thickBot="1" x14ac:dyDescent="0.3">
      <c r="B8" s="331"/>
      <c r="C8" s="322"/>
      <c r="D8" s="322"/>
      <c r="E8" s="355"/>
      <c r="F8" s="350"/>
      <c r="G8" s="24">
        <v>2014</v>
      </c>
      <c r="H8" s="25">
        <v>2015</v>
      </c>
      <c r="I8" s="25">
        <v>2016</v>
      </c>
      <c r="J8" s="25">
        <v>2017</v>
      </c>
      <c r="K8" s="26">
        <v>2018</v>
      </c>
      <c r="L8" s="24">
        <v>2014</v>
      </c>
      <c r="M8" s="25">
        <v>2015</v>
      </c>
      <c r="N8" s="25">
        <v>2016</v>
      </c>
      <c r="O8" s="25">
        <v>2017</v>
      </c>
      <c r="P8" s="26">
        <v>2018</v>
      </c>
    </row>
    <row r="9" spans="2:18" s="15" customFormat="1" ht="33" customHeight="1" x14ac:dyDescent="0.25">
      <c r="B9" s="27" t="s">
        <v>113</v>
      </c>
      <c r="C9" s="66" t="s">
        <v>95</v>
      </c>
      <c r="D9" s="67" t="s">
        <v>16</v>
      </c>
      <c r="E9" s="68">
        <v>19334</v>
      </c>
      <c r="F9" s="69">
        <v>19160</v>
      </c>
      <c r="G9" s="68">
        <f>E9</f>
        <v>19334</v>
      </c>
      <c r="H9" s="70">
        <f>E9</f>
        <v>19334</v>
      </c>
      <c r="I9" s="70">
        <f>E9</f>
        <v>19334</v>
      </c>
      <c r="J9" s="70">
        <f>E9</f>
        <v>19334</v>
      </c>
      <c r="K9" s="71">
        <f>E9*0.9</f>
        <v>17400.600000000002</v>
      </c>
      <c r="L9" s="68">
        <f>F9</f>
        <v>19160</v>
      </c>
      <c r="M9" s="70">
        <f>F9</f>
        <v>19160</v>
      </c>
      <c r="N9" s="70">
        <f>F9</f>
        <v>19160</v>
      </c>
      <c r="O9" s="70">
        <f>F9</f>
        <v>19160</v>
      </c>
      <c r="P9" s="71">
        <f>F9*0.9</f>
        <v>17244</v>
      </c>
    </row>
    <row r="10" spans="2:18" ht="23.25" x14ac:dyDescent="0.25">
      <c r="B10" s="10"/>
      <c r="C10" s="10" t="s">
        <v>40</v>
      </c>
      <c r="D10" s="11" t="s">
        <v>156</v>
      </c>
      <c r="E10" s="34">
        <v>6480</v>
      </c>
      <c r="F10" s="42">
        <v>5918</v>
      </c>
      <c r="G10" s="36">
        <f>E10*1.0122</f>
        <v>6559.0559999999996</v>
      </c>
      <c r="H10" s="36">
        <f>G10*1.0122</f>
        <v>6639.0764831999995</v>
      </c>
      <c r="I10" s="36">
        <f>H10*1.0122</f>
        <v>6720.0732162950399</v>
      </c>
      <c r="J10" s="36">
        <f>I10*1.035</f>
        <v>6955.2757788653653</v>
      </c>
      <c r="K10" s="36">
        <f>E10*1.0122*(1-0.4)</f>
        <v>3935.4335999999994</v>
      </c>
      <c r="L10" s="36">
        <f>F10*1.0122</f>
        <v>5990.1995999999999</v>
      </c>
      <c r="M10" s="36">
        <f t="shared" ref="M10:O10" si="0">G10*1.0122</f>
        <v>6639.0764831999995</v>
      </c>
      <c r="N10" s="36">
        <f t="shared" si="0"/>
        <v>6720.0732162950399</v>
      </c>
      <c r="O10" s="36">
        <f t="shared" si="0"/>
        <v>6802.0581095338393</v>
      </c>
      <c r="P10" s="36">
        <f>J10*1.0122*(1-0.6)</f>
        <v>2816.0520573470094</v>
      </c>
    </row>
    <row r="11" spans="2:18" x14ac:dyDescent="0.25">
      <c r="B11" s="10"/>
      <c r="C11" s="17" t="s">
        <v>43</v>
      </c>
      <c r="D11" s="16" t="s">
        <v>154</v>
      </c>
      <c r="E11" s="35">
        <v>9684</v>
      </c>
      <c r="F11" s="43">
        <v>5064</v>
      </c>
      <c r="G11" s="38">
        <f>E11*0.96</f>
        <v>9296.64</v>
      </c>
      <c r="H11" s="44">
        <f>G11*0.96</f>
        <v>8924.7743999999984</v>
      </c>
      <c r="I11" s="44">
        <f>H11*0.96</f>
        <v>8567.7834239999975</v>
      </c>
      <c r="J11" s="44">
        <f>I11*0.96</f>
        <v>8225.0720870399964</v>
      </c>
      <c r="K11" s="45">
        <f>J11*0.96</f>
        <v>7896.0692035583961</v>
      </c>
      <c r="L11" s="38">
        <f>F11*0.96</f>
        <v>4861.4399999999996</v>
      </c>
      <c r="M11" s="44">
        <f>L11*0.96</f>
        <v>4666.9823999999999</v>
      </c>
      <c r="N11" s="44">
        <f>M11*0.96</f>
        <v>4480.3031039999996</v>
      </c>
      <c r="O11" s="44">
        <f>N11*0.96</f>
        <v>4301.0909798399998</v>
      </c>
      <c r="P11" s="45">
        <f>O11*0.96</f>
        <v>4129.0473406463998</v>
      </c>
      <c r="R11" s="19"/>
    </row>
    <row r="12" spans="2:18" ht="23.25" x14ac:dyDescent="0.25">
      <c r="B12" s="10"/>
      <c r="C12" s="10"/>
      <c r="D12" s="11" t="s">
        <v>110</v>
      </c>
      <c r="E12" s="36">
        <v>931</v>
      </c>
      <c r="F12" s="42">
        <v>4935</v>
      </c>
      <c r="G12" s="36">
        <f>$E$12</f>
        <v>931</v>
      </c>
      <c r="H12" s="36">
        <f t="shared" ref="H12:J12" si="1">$E$12</f>
        <v>931</v>
      </c>
      <c r="I12" s="36">
        <f t="shared" si="1"/>
        <v>931</v>
      </c>
      <c r="J12" s="36">
        <f t="shared" si="1"/>
        <v>931</v>
      </c>
      <c r="K12" s="42">
        <f>E12*0.9</f>
        <v>837.9</v>
      </c>
      <c r="L12" s="36">
        <f>$F$12</f>
        <v>4935</v>
      </c>
      <c r="M12" s="36">
        <f t="shared" ref="M12:O12" si="2">$F$12</f>
        <v>4935</v>
      </c>
      <c r="N12" s="36">
        <f t="shared" si="2"/>
        <v>4935</v>
      </c>
      <c r="O12" s="36">
        <f t="shared" si="2"/>
        <v>4935</v>
      </c>
      <c r="P12" s="42">
        <f>F12*0.9</f>
        <v>4441.5</v>
      </c>
    </row>
    <row r="13" spans="2:18" x14ac:dyDescent="0.25">
      <c r="B13" s="10"/>
      <c r="C13" s="10"/>
      <c r="D13" s="11" t="s">
        <v>112</v>
      </c>
      <c r="E13" s="36">
        <v>328</v>
      </c>
      <c r="F13" s="42">
        <v>605</v>
      </c>
      <c r="G13" s="36">
        <f>E$13*1.035</f>
        <v>339.47999999999996</v>
      </c>
      <c r="H13" s="36">
        <f>E13*1.035</f>
        <v>339.47999999999996</v>
      </c>
      <c r="I13" s="36">
        <f>E13*1.035</f>
        <v>339.47999999999996</v>
      </c>
      <c r="J13" s="36">
        <f>E13*1.035</f>
        <v>339.47999999999996</v>
      </c>
      <c r="K13" s="42">
        <f>E13*0.9</f>
        <v>295.2</v>
      </c>
      <c r="L13" s="36">
        <f>F13*1.035</f>
        <v>626.17499999999995</v>
      </c>
      <c r="M13" s="36">
        <f>$F$13*1.035</f>
        <v>626.17499999999995</v>
      </c>
      <c r="N13" s="36">
        <f t="shared" ref="N13:O13" si="3">$F$13*1.035</f>
        <v>626.17499999999995</v>
      </c>
      <c r="O13" s="36">
        <f t="shared" si="3"/>
        <v>626.17499999999995</v>
      </c>
      <c r="P13" s="42">
        <f>F13*0.9</f>
        <v>544.5</v>
      </c>
    </row>
    <row r="14" spans="2:18" x14ac:dyDescent="0.25">
      <c r="B14" s="10"/>
      <c r="C14" s="10" t="s">
        <v>48</v>
      </c>
      <c r="D14" s="16" t="s">
        <v>114</v>
      </c>
      <c r="E14" s="37">
        <v>3754</v>
      </c>
      <c r="F14" s="46">
        <v>3420</v>
      </c>
      <c r="G14" s="38">
        <f>E14*0.65</f>
        <v>2440.1</v>
      </c>
      <c r="H14" s="44">
        <f>G14</f>
        <v>2440.1</v>
      </c>
      <c r="I14" s="44">
        <f>E14*0.56</f>
        <v>2102.2400000000002</v>
      </c>
      <c r="J14" s="44">
        <f>E14*0.61</f>
        <v>2289.94</v>
      </c>
      <c r="K14" s="45">
        <f>J14</f>
        <v>2289.94</v>
      </c>
      <c r="L14" s="38">
        <f>F14*0.65</f>
        <v>2223</v>
      </c>
      <c r="M14" s="44">
        <f>L14</f>
        <v>2223</v>
      </c>
      <c r="N14" s="44">
        <f>F14*0.56</f>
        <v>1915.2000000000003</v>
      </c>
      <c r="O14" s="44">
        <f>F14*0.31</f>
        <v>1060.2</v>
      </c>
      <c r="P14" s="45">
        <f>O14</f>
        <v>1060.2</v>
      </c>
    </row>
    <row r="15" spans="2:18" ht="23.25" x14ac:dyDescent="0.25">
      <c r="B15" s="10"/>
      <c r="C15" s="10" t="s">
        <v>50</v>
      </c>
      <c r="D15" s="11" t="s">
        <v>115</v>
      </c>
      <c r="E15" s="34">
        <v>33696</v>
      </c>
      <c r="F15" s="47">
        <v>30775</v>
      </c>
      <c r="G15" s="48">
        <f>$E$15*1.0327</f>
        <v>34797.859199999999</v>
      </c>
      <c r="H15" s="36">
        <f t="shared" ref="H15:J15" si="4">$E$15*1.0327</f>
        <v>34797.859199999999</v>
      </c>
      <c r="I15" s="36">
        <f t="shared" si="4"/>
        <v>34797.859199999999</v>
      </c>
      <c r="J15" s="36">
        <f t="shared" si="4"/>
        <v>34797.859199999999</v>
      </c>
      <c r="K15" s="42">
        <f>E15*0.6</f>
        <v>20217.599999999999</v>
      </c>
      <c r="L15" s="36">
        <f>$F$15*1.0327</f>
        <v>31781.342499999999</v>
      </c>
      <c r="M15" s="36">
        <f t="shared" ref="M15:O15" si="5">$F$15*1.0327</f>
        <v>31781.342499999999</v>
      </c>
      <c r="N15" s="36">
        <f t="shared" si="5"/>
        <v>31781.342499999999</v>
      </c>
      <c r="O15" s="36">
        <f t="shared" si="5"/>
        <v>31781.342499999999</v>
      </c>
      <c r="P15" s="42">
        <f>F15*(1-0.4)</f>
        <v>18465</v>
      </c>
    </row>
    <row r="16" spans="2:18" x14ac:dyDescent="0.25">
      <c r="B16" s="10"/>
      <c r="C16" s="10" t="s">
        <v>62</v>
      </c>
      <c r="D16" s="16" t="s">
        <v>116</v>
      </c>
      <c r="E16" s="38">
        <v>717</v>
      </c>
      <c r="F16" s="45">
        <v>1400</v>
      </c>
      <c r="G16" s="38">
        <f>E16</f>
        <v>717</v>
      </c>
      <c r="H16" s="38">
        <f>E16*0.95</f>
        <v>681.15</v>
      </c>
      <c r="I16" s="38">
        <f>E16*0.95</f>
        <v>681.15</v>
      </c>
      <c r="J16" s="38">
        <f>E16*0.95</f>
        <v>681.15</v>
      </c>
      <c r="K16" s="38">
        <f>E16*0.95</f>
        <v>681.15</v>
      </c>
      <c r="L16" s="38">
        <f>F16</f>
        <v>1400</v>
      </c>
      <c r="M16" s="44">
        <f>F16*0.95</f>
        <v>1330</v>
      </c>
      <c r="N16" s="44">
        <f>F16*0.95</f>
        <v>1330</v>
      </c>
      <c r="O16" s="44">
        <f>F16*0.95</f>
        <v>1330</v>
      </c>
      <c r="P16" s="45">
        <f>F16*0.95</f>
        <v>1330</v>
      </c>
    </row>
    <row r="17" spans="2:16" x14ac:dyDescent="0.25">
      <c r="B17" s="10"/>
      <c r="C17" s="10"/>
      <c r="D17" s="11" t="s">
        <v>117</v>
      </c>
      <c r="E17" s="34">
        <v>4964</v>
      </c>
      <c r="F17" s="47">
        <v>12854</v>
      </c>
      <c r="G17" s="48">
        <f>$E$17*1.035</f>
        <v>5137.74</v>
      </c>
      <c r="H17" s="48">
        <f t="shared" ref="H17:J17" si="6">$E$17*1.035</f>
        <v>5137.74</v>
      </c>
      <c r="I17" s="48">
        <f t="shared" si="6"/>
        <v>5137.74</v>
      </c>
      <c r="J17" s="36">
        <f t="shared" si="6"/>
        <v>5137.74</v>
      </c>
      <c r="K17" s="42">
        <f>F17*(1-0.5)</f>
        <v>6427</v>
      </c>
      <c r="L17" s="36">
        <f>$F$17*1.035</f>
        <v>13303.89</v>
      </c>
      <c r="M17" s="36">
        <f t="shared" ref="M17:O17" si="7">$F$17*1.035</f>
        <v>13303.89</v>
      </c>
      <c r="N17" s="36">
        <f t="shared" si="7"/>
        <v>13303.89</v>
      </c>
      <c r="O17" s="36">
        <f t="shared" si="7"/>
        <v>13303.89</v>
      </c>
      <c r="P17" s="42">
        <f>F17*(1-0.5)</f>
        <v>6427</v>
      </c>
    </row>
    <row r="18" spans="2:16" x14ac:dyDescent="0.25">
      <c r="B18" s="10"/>
      <c r="C18" s="10"/>
      <c r="D18" s="16" t="s">
        <v>118</v>
      </c>
      <c r="E18" s="39">
        <v>5590</v>
      </c>
      <c r="F18" s="49">
        <v>14145</v>
      </c>
      <c r="G18" s="38">
        <f>(E18*1.46)-(E18*0.1)</f>
        <v>7602.4</v>
      </c>
      <c r="H18" s="38">
        <f>(E18*1.133)-(E18*0.18)</f>
        <v>5327.27</v>
      </c>
      <c r="I18" s="38">
        <f>(E18*1.17)-(E18*0.32)</f>
        <v>4751.4999999999991</v>
      </c>
      <c r="J18" s="44">
        <f>E18-(E18*0.25)</f>
        <v>4192.5</v>
      </c>
      <c r="K18" s="45">
        <f>J18</f>
        <v>4192.5</v>
      </c>
      <c r="L18" s="38">
        <f>(F18*1.466)-(F18*0.1)</f>
        <v>19322.07</v>
      </c>
      <c r="M18" s="38">
        <f>(F18*1.466)-(F18*0.18)</f>
        <v>18190.47</v>
      </c>
      <c r="N18" s="38">
        <f>(F18*1.17)-(F18*0.32)</f>
        <v>12023.249999999996</v>
      </c>
      <c r="O18" s="44">
        <f>F18-(F18*0.25)</f>
        <v>10608.75</v>
      </c>
      <c r="P18" s="45">
        <f>O18</f>
        <v>10608.75</v>
      </c>
    </row>
    <row r="19" spans="2:16" ht="23.25" x14ac:dyDescent="0.25">
      <c r="B19" s="10"/>
      <c r="C19" s="10"/>
      <c r="D19" s="11" t="s">
        <v>119</v>
      </c>
      <c r="E19" s="34">
        <v>12243</v>
      </c>
      <c r="F19" s="47">
        <v>10346</v>
      </c>
      <c r="G19" s="36">
        <f>$E$19*1.035</f>
        <v>12671.504999999999</v>
      </c>
      <c r="H19" s="36">
        <f t="shared" ref="H19:J19" si="8">$E$19*1.035</f>
        <v>12671.504999999999</v>
      </c>
      <c r="I19" s="36">
        <f t="shared" si="8"/>
        <v>12671.504999999999</v>
      </c>
      <c r="J19" s="36">
        <f t="shared" si="8"/>
        <v>12671.504999999999</v>
      </c>
      <c r="K19" s="42">
        <f>E19*(1-0.5)</f>
        <v>6121.5</v>
      </c>
      <c r="L19" s="36">
        <f>$F$19*1.035</f>
        <v>10708.109999999999</v>
      </c>
      <c r="M19" s="36">
        <f t="shared" ref="M19:O19" si="9">$F$19*1.035</f>
        <v>10708.109999999999</v>
      </c>
      <c r="N19" s="36">
        <f t="shared" si="9"/>
        <v>10708.109999999999</v>
      </c>
      <c r="O19" s="36">
        <f t="shared" si="9"/>
        <v>10708.109999999999</v>
      </c>
      <c r="P19" s="42">
        <f>F19*(1-0.5)</f>
        <v>5173</v>
      </c>
    </row>
    <row r="20" spans="2:16" x14ac:dyDescent="0.25">
      <c r="B20" s="10"/>
      <c r="C20" s="10" t="s">
        <v>74</v>
      </c>
      <c r="D20" s="16" t="s">
        <v>120</v>
      </c>
      <c r="E20" s="39">
        <v>18408</v>
      </c>
      <c r="F20" s="49">
        <v>9545</v>
      </c>
      <c r="G20" s="38">
        <f>E20*1.05</f>
        <v>19328.400000000001</v>
      </c>
      <c r="H20" s="44">
        <f>E20*1.05-(E20*0.057)</f>
        <v>18279.144</v>
      </c>
      <c r="I20" s="44">
        <f>E20*1.05-(E20*0.208)</f>
        <v>15499.536000000002</v>
      </c>
      <c r="J20" s="44">
        <f>E20*1.05-(E20*0.23)</f>
        <v>15094.560000000001</v>
      </c>
      <c r="K20" s="44">
        <f>E20*(1-0.85)</f>
        <v>2761.2000000000003</v>
      </c>
      <c r="L20" s="38">
        <f>F20*1-5</f>
        <v>9540</v>
      </c>
      <c r="M20" s="38">
        <f>F20*1-5-(F20*0.05)</f>
        <v>9062.75</v>
      </c>
      <c r="N20" s="38">
        <f>F20*1-5</f>
        <v>9540</v>
      </c>
      <c r="O20" s="38">
        <f>F20*1-5-(F20*0.05)</f>
        <v>9062.75</v>
      </c>
      <c r="P20" s="50">
        <f>F20*(1-0.85)</f>
        <v>1431.7500000000002</v>
      </c>
    </row>
    <row r="21" spans="2:16" x14ac:dyDescent="0.25">
      <c r="B21" s="10"/>
      <c r="C21" s="10"/>
      <c r="D21" s="16" t="s">
        <v>121</v>
      </c>
      <c r="E21" s="39" t="s">
        <v>150</v>
      </c>
      <c r="F21" s="49" t="s">
        <v>151</v>
      </c>
      <c r="G21" s="38" t="s">
        <v>150</v>
      </c>
      <c r="H21" s="44" t="s">
        <v>150</v>
      </c>
      <c r="I21" s="44" t="s">
        <v>152</v>
      </c>
      <c r="J21" s="44" t="s">
        <v>152</v>
      </c>
      <c r="K21" s="45" t="s">
        <v>152</v>
      </c>
      <c r="L21" s="38" t="s">
        <v>151</v>
      </c>
      <c r="M21" s="44" t="s">
        <v>151</v>
      </c>
      <c r="N21" s="44" t="s">
        <v>153</v>
      </c>
      <c r="O21" s="44" t="s">
        <v>153</v>
      </c>
      <c r="P21" s="45" t="s">
        <v>153</v>
      </c>
    </row>
    <row r="22" spans="2:16" x14ac:dyDescent="0.25">
      <c r="B22" s="10"/>
      <c r="C22" s="10"/>
      <c r="D22" s="16" t="s">
        <v>122</v>
      </c>
      <c r="E22" s="40">
        <v>13703</v>
      </c>
      <c r="F22" s="46">
        <v>29473</v>
      </c>
      <c r="G22" s="38">
        <f>E22*1.66</f>
        <v>22746.98</v>
      </c>
      <c r="H22" s="38">
        <f>E22*1.17</f>
        <v>16032.509999999998</v>
      </c>
      <c r="I22" s="38">
        <f>E22*1.28</f>
        <v>17539.84</v>
      </c>
      <c r="J22" s="38">
        <f>E22*1.37-(E22*0.8)</f>
        <v>7810.7099999999991</v>
      </c>
      <c r="K22" s="38">
        <f>E22*1.17-(E22*0.84)</f>
        <v>4521.989999999998</v>
      </c>
      <c r="L22" s="38">
        <f>(F22*1.063)-(F22*0.81)</f>
        <v>7456.6689999999981</v>
      </c>
      <c r="M22" s="38">
        <f>(F22*1.17)-(F22*0.85)</f>
        <v>9431.3599999999969</v>
      </c>
      <c r="N22" s="38">
        <f>(F22*1.063)-(F22*0.81)</f>
        <v>7456.6689999999981</v>
      </c>
      <c r="O22" s="38">
        <f>(F22*1.063)-(F22*0.81)</f>
        <v>7456.6689999999981</v>
      </c>
      <c r="P22" s="50">
        <f>(F22*1.063)-(F22*0.81)</f>
        <v>7456.6689999999981</v>
      </c>
    </row>
    <row r="23" spans="2:16" ht="23.25" x14ac:dyDescent="0.25">
      <c r="B23" s="10"/>
      <c r="C23" s="10" t="s">
        <v>77</v>
      </c>
      <c r="D23" s="11" t="s">
        <v>123</v>
      </c>
      <c r="E23" s="34">
        <v>6480</v>
      </c>
      <c r="F23" s="47">
        <v>5918</v>
      </c>
      <c r="G23" s="48">
        <f>$E$23*1.006</f>
        <v>6518.88</v>
      </c>
      <c r="H23" s="48">
        <f t="shared" ref="H23:J23" si="10">$E$23*1.006</f>
        <v>6518.88</v>
      </c>
      <c r="I23" s="48">
        <f t="shared" si="10"/>
        <v>6518.88</v>
      </c>
      <c r="J23" s="48">
        <f t="shared" si="10"/>
        <v>6518.88</v>
      </c>
      <c r="K23" s="42">
        <f>E23*(1-0.6)</f>
        <v>2592</v>
      </c>
      <c r="L23" s="48">
        <f>$F$23*1.006</f>
        <v>5953.5079999999998</v>
      </c>
      <c r="M23" s="48">
        <f t="shared" ref="M23:O23" si="11">$F$23*1.006</f>
        <v>5953.5079999999998</v>
      </c>
      <c r="N23" s="48">
        <f t="shared" si="11"/>
        <v>5953.5079999999998</v>
      </c>
      <c r="O23" s="48">
        <f t="shared" si="11"/>
        <v>5953.5079999999998</v>
      </c>
      <c r="P23" s="42">
        <f>F23*(1-0.6)</f>
        <v>2367.2000000000003</v>
      </c>
    </row>
    <row r="24" spans="2:16" s="15" customFormat="1" x14ac:dyDescent="0.25">
      <c r="B24" s="18"/>
      <c r="C24" s="17" t="s">
        <v>81</v>
      </c>
      <c r="D24" s="16" t="s">
        <v>124</v>
      </c>
      <c r="E24" s="37">
        <v>1972</v>
      </c>
      <c r="F24" s="51">
        <v>121424</v>
      </c>
      <c r="G24" s="52">
        <v>9.8000000000000004E-2</v>
      </c>
      <c r="H24" s="44">
        <v>9.8000000000000004E-2</v>
      </c>
      <c r="I24" s="44">
        <v>9.8000000000000004E-2</v>
      </c>
      <c r="J24" s="44">
        <v>9.8000000000000004E-2</v>
      </c>
      <c r="K24" s="45">
        <v>9.8000000000000004E-2</v>
      </c>
      <c r="L24" s="38">
        <v>2.5999999999999999E-2</v>
      </c>
      <c r="M24" s="44">
        <v>2.5999999999999999E-2</v>
      </c>
      <c r="N24" s="44">
        <v>2.5999999999999999E-2</v>
      </c>
      <c r="O24" s="44">
        <v>2.5999999999999999E-2</v>
      </c>
      <c r="P24" s="45">
        <v>2.5999999999999999E-2</v>
      </c>
    </row>
    <row r="25" spans="2:16" s="15" customFormat="1" x14ac:dyDescent="0.25">
      <c r="B25" s="18"/>
      <c r="C25" s="17"/>
      <c r="D25" s="16" t="s">
        <v>155</v>
      </c>
      <c r="E25" s="40">
        <f>3900*2/2</f>
        <v>3900</v>
      </c>
      <c r="F25" s="46">
        <f>12075*2/2</f>
        <v>12075</v>
      </c>
      <c r="G25" s="37">
        <v>0</v>
      </c>
      <c r="H25" s="53">
        <v>0</v>
      </c>
      <c r="I25" s="53">
        <f>H25</f>
        <v>0</v>
      </c>
      <c r="J25" s="44">
        <v>0</v>
      </c>
      <c r="K25" s="45">
        <v>0</v>
      </c>
      <c r="L25" s="38">
        <v>0</v>
      </c>
      <c r="M25" s="44">
        <v>0</v>
      </c>
      <c r="N25" s="44">
        <v>0</v>
      </c>
      <c r="O25" s="44">
        <v>0</v>
      </c>
      <c r="P25" s="45">
        <v>0</v>
      </c>
    </row>
    <row r="26" spans="2:16" ht="23.25" x14ac:dyDescent="0.25">
      <c r="B26" s="10"/>
      <c r="C26" s="17" t="s">
        <v>85</v>
      </c>
      <c r="D26" s="16" t="s">
        <v>125</v>
      </c>
      <c r="E26" s="40">
        <v>7417</v>
      </c>
      <c r="F26" s="46">
        <v>483</v>
      </c>
      <c r="G26" s="38" t="s">
        <v>140</v>
      </c>
      <c r="H26" s="44" t="s">
        <v>141</v>
      </c>
      <c r="I26" s="44" t="s">
        <v>142</v>
      </c>
      <c r="J26" s="44" t="s">
        <v>143</v>
      </c>
      <c r="K26" s="45" t="s">
        <v>144</v>
      </c>
      <c r="L26" s="38" t="s">
        <v>145</v>
      </c>
      <c r="M26" s="44" t="s">
        <v>146</v>
      </c>
      <c r="N26" s="44" t="s">
        <v>147</v>
      </c>
      <c r="O26" s="44" t="s">
        <v>148</v>
      </c>
      <c r="P26" s="45" t="s">
        <v>149</v>
      </c>
    </row>
    <row r="27" spans="2:16" ht="23.25" x14ac:dyDescent="0.25">
      <c r="B27" s="10"/>
      <c r="C27" s="10"/>
      <c r="D27" s="16" t="s">
        <v>126</v>
      </c>
      <c r="E27" s="38">
        <v>4688</v>
      </c>
      <c r="F27" s="45">
        <v>1721</v>
      </c>
      <c r="G27" s="38">
        <v>4688</v>
      </c>
      <c r="H27" s="44">
        <v>4688</v>
      </c>
      <c r="I27" s="44">
        <v>4688</v>
      </c>
      <c r="J27" s="44">
        <v>4688</v>
      </c>
      <c r="K27" s="45">
        <v>4688</v>
      </c>
      <c r="L27" s="38">
        <v>1721</v>
      </c>
      <c r="M27" s="44">
        <v>1721</v>
      </c>
      <c r="N27" s="44">
        <v>1721</v>
      </c>
      <c r="O27" s="44">
        <v>1721</v>
      </c>
      <c r="P27" s="45">
        <v>1721</v>
      </c>
    </row>
    <row r="28" spans="2:16" x14ac:dyDescent="0.25">
      <c r="B28" s="10"/>
      <c r="C28" s="10"/>
      <c r="D28" s="16" t="s">
        <v>127</v>
      </c>
      <c r="E28" s="38">
        <v>1429</v>
      </c>
      <c r="F28" s="45">
        <v>4985</v>
      </c>
      <c r="G28" s="38">
        <f>E28</f>
        <v>1429</v>
      </c>
      <c r="H28" s="44">
        <f>E28</f>
        <v>1429</v>
      </c>
      <c r="I28" s="44">
        <f>E28</f>
        <v>1429</v>
      </c>
      <c r="J28" s="44">
        <f>E28</f>
        <v>1429</v>
      </c>
      <c r="K28" s="45">
        <f>E28*0.6</f>
        <v>857.4</v>
      </c>
      <c r="L28" s="38">
        <f>F28</f>
        <v>4985</v>
      </c>
      <c r="M28" s="44">
        <f>F28</f>
        <v>4985</v>
      </c>
      <c r="N28" s="44">
        <f>F28</f>
        <v>4985</v>
      </c>
      <c r="O28" s="44">
        <f>F28</f>
        <v>4985</v>
      </c>
      <c r="P28" s="45">
        <f>F28*0.6</f>
        <v>2991</v>
      </c>
    </row>
    <row r="29" spans="2:16" ht="23.25" x14ac:dyDescent="0.25">
      <c r="B29" s="10"/>
      <c r="C29" s="10"/>
      <c r="D29" s="16" t="s">
        <v>128</v>
      </c>
      <c r="E29" s="38">
        <v>7417</v>
      </c>
      <c r="F29" s="45">
        <v>483</v>
      </c>
      <c r="G29" s="38">
        <v>952</v>
      </c>
      <c r="H29" s="44">
        <v>1477</v>
      </c>
      <c r="I29" s="44">
        <v>5474</v>
      </c>
      <c r="J29" s="44">
        <v>5910</v>
      </c>
      <c r="K29" s="45">
        <f>E29</f>
        <v>7417</v>
      </c>
      <c r="L29" s="38">
        <v>114</v>
      </c>
      <c r="M29" s="44">
        <v>177</v>
      </c>
      <c r="N29" s="44">
        <v>657</v>
      </c>
      <c r="O29" s="44">
        <v>709</v>
      </c>
      <c r="P29" s="45">
        <f>F29</f>
        <v>483</v>
      </c>
    </row>
    <row r="30" spans="2:16" ht="23.25" x14ac:dyDescent="0.25">
      <c r="B30" s="10"/>
      <c r="C30" s="10" t="s">
        <v>88</v>
      </c>
      <c r="D30" s="11" t="s">
        <v>129</v>
      </c>
      <c r="E30" s="34">
        <v>33696</v>
      </c>
      <c r="F30" s="47">
        <v>30775</v>
      </c>
      <c r="G30" s="36">
        <f>$E$30*1.011</f>
        <v>34066.655999999995</v>
      </c>
      <c r="H30" s="36">
        <f>G30*1.011</f>
        <v>34441.389215999989</v>
      </c>
      <c r="I30" s="36">
        <f>H30*1.011</f>
        <v>34820.244497375985</v>
      </c>
      <c r="J30" s="36">
        <f>I30*1.011</f>
        <v>35203.267186847115</v>
      </c>
      <c r="K30" s="42">
        <f>E30*(1-0.6)</f>
        <v>13478.400000000001</v>
      </c>
      <c r="L30" s="36">
        <f>F30*1.011</f>
        <v>31113.524999999998</v>
      </c>
      <c r="M30" s="54">
        <f>L30*1.011</f>
        <v>31455.773774999994</v>
      </c>
      <c r="N30" s="54">
        <f t="shared" ref="N30:O30" si="12">M30*1.011</f>
        <v>31801.787286524992</v>
      </c>
      <c r="O30" s="54">
        <f t="shared" si="12"/>
        <v>32151.606946676762</v>
      </c>
      <c r="P30" s="42">
        <f>F30*(1-0.6)</f>
        <v>12310</v>
      </c>
    </row>
    <row r="31" spans="2:16" x14ac:dyDescent="0.25">
      <c r="B31" s="10"/>
      <c r="C31" s="10"/>
      <c r="D31" s="11" t="s">
        <v>130</v>
      </c>
      <c r="E31" s="34">
        <v>5721</v>
      </c>
      <c r="F31" s="47">
        <v>17710</v>
      </c>
      <c r="G31" s="36">
        <f>E31*1.035</f>
        <v>5921.2349999999997</v>
      </c>
      <c r="H31" s="54">
        <f>G31*1.035</f>
        <v>6128.4782249999989</v>
      </c>
      <c r="I31" s="54">
        <f t="shared" ref="I31:J31" si="13">H31*1.035</f>
        <v>6342.9749628749987</v>
      </c>
      <c r="J31" s="54">
        <f t="shared" si="13"/>
        <v>6564.9790865756231</v>
      </c>
      <c r="K31" s="42">
        <f>E31*(1-0.5)</f>
        <v>2860.5</v>
      </c>
      <c r="L31" s="36">
        <f>F31*1.035</f>
        <v>18329.849999999999</v>
      </c>
      <c r="M31" s="54">
        <f>L31*1.035</f>
        <v>18971.394749999996</v>
      </c>
      <c r="N31" s="54">
        <f t="shared" ref="N31:O31" si="14">M31*1.035</f>
        <v>19635.393566249993</v>
      </c>
      <c r="O31" s="54">
        <f t="shared" si="14"/>
        <v>20322.63234106874</v>
      </c>
      <c r="P31" s="42">
        <f>F31*(1-0.5)</f>
        <v>8855</v>
      </c>
    </row>
    <row r="32" spans="2:16" x14ac:dyDescent="0.25">
      <c r="B32" s="10"/>
      <c r="C32" s="10"/>
      <c r="D32" s="16" t="s">
        <v>131</v>
      </c>
      <c r="E32" s="39">
        <v>1043</v>
      </c>
      <c r="F32" s="49">
        <v>695</v>
      </c>
      <c r="G32" s="38">
        <f>E32</f>
        <v>1043</v>
      </c>
      <c r="H32" s="44">
        <f>E32</f>
        <v>1043</v>
      </c>
      <c r="I32" s="44">
        <f>E32</f>
        <v>1043</v>
      </c>
      <c r="J32" s="44">
        <f>E32*0.965</f>
        <v>1006.495</v>
      </c>
      <c r="K32" s="45">
        <f>E32*0.966</f>
        <v>1007.538</v>
      </c>
      <c r="L32" s="38">
        <f>F32</f>
        <v>695</v>
      </c>
      <c r="M32" s="44">
        <f>F32</f>
        <v>695</v>
      </c>
      <c r="N32" s="44">
        <f>F32*0.95</f>
        <v>660.25</v>
      </c>
      <c r="O32" s="44">
        <f>F32*0.95</f>
        <v>660.25</v>
      </c>
      <c r="P32" s="45">
        <f>F32*0.95</f>
        <v>660.25</v>
      </c>
    </row>
    <row r="33" spans="2:16" x14ac:dyDescent="0.25">
      <c r="B33" s="10"/>
      <c r="C33" s="10"/>
      <c r="D33" s="16" t="s">
        <v>132</v>
      </c>
      <c r="E33" s="38">
        <v>2105</v>
      </c>
      <c r="F33" s="45">
        <v>4265</v>
      </c>
      <c r="G33" s="38">
        <f>E33*0.96</f>
        <v>2020.8</v>
      </c>
      <c r="H33" s="44">
        <f>G33*0.96</f>
        <v>1939.9679999999998</v>
      </c>
      <c r="I33" s="44">
        <f>H33*0.96</f>
        <v>1862.3692799999999</v>
      </c>
      <c r="J33" s="44">
        <f>I33*0.96</f>
        <v>1787.8745087999998</v>
      </c>
      <c r="K33" s="45">
        <f>J33*0.96</f>
        <v>1716.3595284479998</v>
      </c>
      <c r="L33" s="38">
        <f>F33*0.96</f>
        <v>4094.3999999999996</v>
      </c>
      <c r="M33" s="44">
        <f>L33*0.96</f>
        <v>3930.6239999999993</v>
      </c>
      <c r="N33" s="44">
        <f>M33*0.96</f>
        <v>3773.3990399999993</v>
      </c>
      <c r="O33" s="44">
        <f>N33*0.96</f>
        <v>3622.4630783999992</v>
      </c>
      <c r="P33" s="45">
        <f>O33*0.96</f>
        <v>3477.564555263999</v>
      </c>
    </row>
    <row r="34" spans="2:16" x14ac:dyDescent="0.25">
      <c r="B34" s="10"/>
      <c r="C34" s="10"/>
      <c r="D34" s="11" t="s">
        <v>133</v>
      </c>
      <c r="E34" s="34">
        <v>1148</v>
      </c>
      <c r="F34" s="42">
        <v>740</v>
      </c>
      <c r="G34" s="48">
        <f>E34*1.035</f>
        <v>1188.1799999999998</v>
      </c>
      <c r="H34" s="48">
        <f t="shared" ref="H34:J38" si="15">G34*1.035</f>
        <v>1229.7662999999998</v>
      </c>
      <c r="I34" s="48">
        <f t="shared" si="15"/>
        <v>1272.8081204999996</v>
      </c>
      <c r="J34" s="48">
        <f t="shared" si="15"/>
        <v>1317.3564047174996</v>
      </c>
      <c r="K34" s="48">
        <f>E34*1.035*(1-0.1)</f>
        <v>1069.3619999999999</v>
      </c>
      <c r="L34" s="36">
        <f>F34*1.035</f>
        <v>765.9</v>
      </c>
      <c r="M34" s="36">
        <f t="shared" ref="M34:O38" si="16">L34*1.035</f>
        <v>792.70649999999989</v>
      </c>
      <c r="N34" s="36">
        <f t="shared" si="16"/>
        <v>820.45122749999985</v>
      </c>
      <c r="O34" s="36">
        <f t="shared" si="16"/>
        <v>849.16702046249975</v>
      </c>
      <c r="P34" s="55">
        <f>O34*1.035*(1-0.5)</f>
        <v>439.4439330893436</v>
      </c>
    </row>
    <row r="35" spans="2:16" x14ac:dyDescent="0.25">
      <c r="B35" s="10"/>
      <c r="C35" s="10"/>
      <c r="D35" s="11" t="s">
        <v>134</v>
      </c>
      <c r="E35" s="36">
        <v>31</v>
      </c>
      <c r="F35" s="42">
        <v>152</v>
      </c>
      <c r="G35" s="48">
        <f>E35*1.035</f>
        <v>32.085000000000001</v>
      </c>
      <c r="H35" s="48">
        <f t="shared" si="15"/>
        <v>33.207974999999998</v>
      </c>
      <c r="I35" s="48">
        <f t="shared" si="15"/>
        <v>34.370254124999995</v>
      </c>
      <c r="J35" s="48">
        <f t="shared" si="15"/>
        <v>35.57321301937499</v>
      </c>
      <c r="K35" s="48">
        <f>E35*1.035*(1-0.1)</f>
        <v>28.8765</v>
      </c>
      <c r="L35" s="36">
        <f>F35*1.035</f>
        <v>157.32</v>
      </c>
      <c r="M35" s="36">
        <f t="shared" si="16"/>
        <v>162.82619999999997</v>
      </c>
      <c r="N35" s="36">
        <f t="shared" si="16"/>
        <v>168.52511699999997</v>
      </c>
      <c r="O35" s="36">
        <f t="shared" si="16"/>
        <v>174.42349609499996</v>
      </c>
      <c r="P35" s="55">
        <f>O35*1.035*(1-0.5)</f>
        <v>90.264159229162473</v>
      </c>
    </row>
    <row r="36" spans="2:16" x14ac:dyDescent="0.25">
      <c r="B36" s="10"/>
      <c r="C36" s="10"/>
      <c r="D36" s="11" t="s">
        <v>135</v>
      </c>
      <c r="E36" s="36">
        <v>31</v>
      </c>
      <c r="F36" s="42">
        <v>152</v>
      </c>
      <c r="G36" s="48">
        <f>E36*1.035</f>
        <v>32.085000000000001</v>
      </c>
      <c r="H36" s="48">
        <f t="shared" si="15"/>
        <v>33.207974999999998</v>
      </c>
      <c r="I36" s="48">
        <f t="shared" si="15"/>
        <v>34.370254124999995</v>
      </c>
      <c r="J36" s="48">
        <f t="shared" si="15"/>
        <v>35.57321301937499</v>
      </c>
      <c r="K36" s="48">
        <f>E36*1.035*(1-0.1)</f>
        <v>28.8765</v>
      </c>
      <c r="L36" s="36">
        <f>F36*1.035</f>
        <v>157.32</v>
      </c>
      <c r="M36" s="36">
        <f t="shared" si="16"/>
        <v>162.82619999999997</v>
      </c>
      <c r="N36" s="36">
        <f t="shared" si="16"/>
        <v>168.52511699999997</v>
      </c>
      <c r="O36" s="36">
        <f t="shared" si="16"/>
        <v>174.42349609499996</v>
      </c>
      <c r="P36" s="55">
        <f>O36*1.035*(1-0.5)</f>
        <v>90.264159229162473</v>
      </c>
    </row>
    <row r="37" spans="2:16" x14ac:dyDescent="0.25">
      <c r="B37" s="10"/>
      <c r="C37" s="10" t="s">
        <v>136</v>
      </c>
      <c r="D37" s="11" t="s">
        <v>137</v>
      </c>
      <c r="E37" s="34">
        <v>2633</v>
      </c>
      <c r="F37" s="42">
        <v>1810</v>
      </c>
      <c r="G37" s="48">
        <f>E37*1.035</f>
        <v>2725.1549999999997</v>
      </c>
      <c r="H37" s="48">
        <f t="shared" si="15"/>
        <v>2820.5354249999996</v>
      </c>
      <c r="I37" s="48">
        <f t="shared" si="15"/>
        <v>2919.2541648749993</v>
      </c>
      <c r="J37" s="48">
        <f t="shared" si="15"/>
        <v>3021.4280606456241</v>
      </c>
      <c r="K37" s="48">
        <f>E37*1.035*(1-0.1)</f>
        <v>2452.6394999999998</v>
      </c>
      <c r="L37" s="36">
        <f>F37*1.035</f>
        <v>1873.35</v>
      </c>
      <c r="M37" s="36">
        <f t="shared" si="16"/>
        <v>1938.9172499999997</v>
      </c>
      <c r="N37" s="36">
        <f t="shared" si="16"/>
        <v>2006.7793537499995</v>
      </c>
      <c r="O37" s="36">
        <f t="shared" si="16"/>
        <v>2077.0166311312491</v>
      </c>
      <c r="P37" s="55">
        <f>O37*1.035*(1-0.5)</f>
        <v>1074.8561066104214</v>
      </c>
    </row>
    <row r="38" spans="2:16" ht="15.75" thickBot="1" x14ac:dyDescent="0.3">
      <c r="B38" s="12"/>
      <c r="C38" s="30"/>
      <c r="D38" s="31" t="s">
        <v>138</v>
      </c>
      <c r="E38" s="41">
        <v>2641</v>
      </c>
      <c r="F38" s="56">
        <v>1608</v>
      </c>
      <c r="G38" s="57">
        <f>E38*1.035</f>
        <v>2733.4349999999999</v>
      </c>
      <c r="H38" s="57">
        <f t="shared" si="15"/>
        <v>2829.1052249999998</v>
      </c>
      <c r="I38" s="57">
        <f t="shared" si="15"/>
        <v>2928.1239078749995</v>
      </c>
      <c r="J38" s="57">
        <f t="shared" si="15"/>
        <v>3030.6082446506243</v>
      </c>
      <c r="K38" s="57">
        <f>E38*1.035*(1-0.1)</f>
        <v>2460.0915</v>
      </c>
      <c r="L38" s="58">
        <f>F38*1.035</f>
        <v>1664.28</v>
      </c>
      <c r="M38" s="59">
        <f t="shared" si="16"/>
        <v>1722.5297999999998</v>
      </c>
      <c r="N38" s="59">
        <f t="shared" si="16"/>
        <v>1782.8183429999997</v>
      </c>
      <c r="O38" s="59">
        <f t="shared" si="16"/>
        <v>1845.2169850049995</v>
      </c>
      <c r="P38" s="56">
        <f>O38*1.035*(1-0.5)</f>
        <v>954.89978974008716</v>
      </c>
    </row>
    <row r="39" spans="2:16" ht="24" thickBot="1" x14ac:dyDescent="0.3">
      <c r="B39" s="29" t="s">
        <v>203</v>
      </c>
      <c r="C39" s="32"/>
      <c r="D39" s="33"/>
      <c r="E39" s="61">
        <f>SUM(E9:E38)</f>
        <v>212184</v>
      </c>
      <c r="F39" s="79">
        <f>SUM(F9:F38)</f>
        <v>352636</v>
      </c>
      <c r="G39" s="78"/>
      <c r="H39" s="60"/>
      <c r="I39" s="60"/>
      <c r="J39" s="60"/>
      <c r="K39" s="61">
        <f>SUM(K9:K38)</f>
        <v>118235.22433200639</v>
      </c>
      <c r="L39" s="60"/>
      <c r="M39" s="60"/>
      <c r="N39" s="60"/>
      <c r="O39" s="60"/>
      <c r="P39" s="79">
        <f>SUM(P9:P38)</f>
        <v>116642.23710115557</v>
      </c>
    </row>
  </sheetData>
  <mergeCells count="13">
    <mergeCell ref="F7:F8"/>
    <mergeCell ref="G7:K7"/>
    <mergeCell ref="L7:P7"/>
    <mergeCell ref="B2:P2"/>
    <mergeCell ref="B3:P3"/>
    <mergeCell ref="B4:P4"/>
    <mergeCell ref="B5:P5"/>
    <mergeCell ref="B6:B8"/>
    <mergeCell ref="C6:C8"/>
    <mergeCell ref="D6:D8"/>
    <mergeCell ref="E6:F6"/>
    <mergeCell ref="G6:P6"/>
    <mergeCell ref="E7:E8"/>
  </mergeCells>
  <pageMargins left="0.70866141732283472" right="0.70866141732283472" top="0.74803149606299213" bottom="0.74803149606299213" header="0.31496062992125984" footer="0.31496062992125984"/>
  <pageSetup scale="8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B1:O25"/>
  <sheetViews>
    <sheetView topLeftCell="A19" workbookViewId="0">
      <selection activeCell="L33" sqref="L33"/>
    </sheetView>
  </sheetViews>
  <sheetFormatPr baseColWidth="10" defaultRowHeight="15" x14ac:dyDescent="0.25"/>
  <cols>
    <col min="2" max="2" width="19.42578125" customWidth="1"/>
    <col min="3" max="3" width="26" customWidth="1"/>
    <col min="4" max="4" width="7.7109375" customWidth="1"/>
    <col min="5" max="5" width="7.85546875" customWidth="1"/>
    <col min="6" max="6" width="6" customWidth="1"/>
    <col min="7" max="7" width="5.28515625" customWidth="1"/>
    <col min="8" max="8" width="5.7109375" customWidth="1"/>
    <col min="9" max="9" width="5.85546875" customWidth="1"/>
    <col min="10" max="10" width="6.5703125" customWidth="1"/>
    <col min="11" max="11" width="6.42578125" customWidth="1"/>
    <col min="12" max="12" width="6.28515625" customWidth="1"/>
    <col min="13" max="13" width="6.5703125" customWidth="1"/>
    <col min="14" max="14" width="6.42578125" customWidth="1"/>
    <col min="15" max="15" width="7.85546875" customWidth="1"/>
  </cols>
  <sheetData>
    <row r="1" spans="2:15" ht="15.75" thickBot="1" x14ac:dyDescent="0.3"/>
    <row r="2" spans="2:15" ht="15" customHeight="1" thickBot="1" x14ac:dyDescent="0.3">
      <c r="B2" s="325" t="s">
        <v>0</v>
      </c>
      <c r="C2" s="326"/>
      <c r="D2" s="326"/>
      <c r="E2" s="326"/>
      <c r="F2" s="326"/>
      <c r="G2" s="326"/>
      <c r="H2" s="326"/>
      <c r="I2" s="326"/>
      <c r="J2" s="326"/>
      <c r="K2" s="326"/>
      <c r="L2" s="326"/>
      <c r="M2" s="326"/>
      <c r="N2" s="326"/>
      <c r="O2" s="327"/>
    </row>
    <row r="3" spans="2:15" ht="15" customHeight="1" thickBot="1" x14ac:dyDescent="0.3">
      <c r="B3" s="325" t="s">
        <v>1</v>
      </c>
      <c r="C3" s="326"/>
      <c r="D3" s="326"/>
      <c r="E3" s="326"/>
      <c r="F3" s="326"/>
      <c r="G3" s="326"/>
      <c r="H3" s="326"/>
      <c r="I3" s="326"/>
      <c r="J3" s="326"/>
      <c r="K3" s="326"/>
      <c r="L3" s="326"/>
      <c r="M3" s="326"/>
      <c r="N3" s="326"/>
      <c r="O3" s="327"/>
    </row>
    <row r="4" spans="2:15" ht="14.45" customHeight="1" x14ac:dyDescent="0.25">
      <c r="B4" s="356" t="s">
        <v>307</v>
      </c>
      <c r="C4" s="357"/>
      <c r="D4" s="357"/>
      <c r="E4" s="357"/>
      <c r="F4" s="357"/>
      <c r="G4" s="357"/>
      <c r="H4" s="357"/>
      <c r="I4" s="357"/>
      <c r="J4" s="357"/>
      <c r="K4" s="357"/>
      <c r="L4" s="357"/>
      <c r="M4" s="357"/>
      <c r="N4" s="357"/>
      <c r="O4" s="358"/>
    </row>
    <row r="5" spans="2:15" ht="15" customHeight="1" thickBot="1" x14ac:dyDescent="0.3">
      <c r="B5" s="359" t="s">
        <v>94</v>
      </c>
      <c r="C5" s="360"/>
      <c r="D5" s="360"/>
      <c r="E5" s="360"/>
      <c r="F5" s="360"/>
      <c r="G5" s="360"/>
      <c r="H5" s="360"/>
      <c r="I5" s="360"/>
      <c r="J5" s="360"/>
      <c r="K5" s="360"/>
      <c r="L5" s="360"/>
      <c r="M5" s="360"/>
      <c r="N5" s="360"/>
      <c r="O5" s="361"/>
    </row>
    <row r="6" spans="2:15" ht="22.15" customHeight="1" thickBot="1" x14ac:dyDescent="0.3">
      <c r="B6" s="321" t="s">
        <v>202</v>
      </c>
      <c r="C6" s="321" t="s">
        <v>2</v>
      </c>
      <c r="D6" s="314" t="s">
        <v>3</v>
      </c>
      <c r="E6" s="314"/>
      <c r="F6" s="318" t="s">
        <v>7</v>
      </c>
      <c r="G6" s="314"/>
      <c r="H6" s="314"/>
      <c r="I6" s="314"/>
      <c r="J6" s="314"/>
      <c r="K6" s="314"/>
      <c r="L6" s="314"/>
      <c r="M6" s="314"/>
      <c r="N6" s="314"/>
      <c r="O6" s="315"/>
    </row>
    <row r="7" spans="2:15" ht="15.75" thickBot="1" x14ac:dyDescent="0.3">
      <c r="B7" s="331"/>
      <c r="C7" s="331"/>
      <c r="D7" s="362" t="s">
        <v>4</v>
      </c>
      <c r="E7" s="362" t="s">
        <v>5</v>
      </c>
      <c r="F7" s="351" t="s">
        <v>4</v>
      </c>
      <c r="G7" s="352"/>
      <c r="H7" s="352"/>
      <c r="I7" s="352"/>
      <c r="J7" s="353"/>
      <c r="K7" s="351" t="s">
        <v>5</v>
      </c>
      <c r="L7" s="352"/>
      <c r="M7" s="352"/>
      <c r="N7" s="352"/>
      <c r="O7" s="353"/>
    </row>
    <row r="8" spans="2:15" ht="15.75" thickBot="1" x14ac:dyDescent="0.3">
      <c r="B8" s="322"/>
      <c r="C8" s="322"/>
      <c r="D8" s="363"/>
      <c r="E8" s="363"/>
      <c r="F8" s="64">
        <v>2014</v>
      </c>
      <c r="G8" s="62">
        <v>2015</v>
      </c>
      <c r="H8" s="62">
        <v>2016</v>
      </c>
      <c r="I8" s="62">
        <v>2017</v>
      </c>
      <c r="J8" s="63">
        <v>2018</v>
      </c>
      <c r="K8" s="64">
        <v>2014</v>
      </c>
      <c r="L8" s="62">
        <v>2015</v>
      </c>
      <c r="M8" s="62">
        <v>2016</v>
      </c>
      <c r="N8" s="62">
        <v>2017</v>
      </c>
      <c r="O8" s="63">
        <v>2018</v>
      </c>
    </row>
    <row r="9" spans="2:15" ht="24" thickBot="1" x14ac:dyDescent="0.3">
      <c r="B9" s="13" t="s">
        <v>32</v>
      </c>
      <c r="C9" s="28" t="s">
        <v>96</v>
      </c>
      <c r="D9" s="74">
        <v>58160</v>
      </c>
      <c r="E9" s="3">
        <v>29164</v>
      </c>
      <c r="F9" s="14">
        <f>D9*1.035</f>
        <v>60195.6</v>
      </c>
      <c r="G9" s="14">
        <f t="shared" ref="G9:I11" si="0">F9*1.035</f>
        <v>62302.445999999996</v>
      </c>
      <c r="H9" s="14">
        <f t="shared" si="0"/>
        <v>64483.031609999991</v>
      </c>
      <c r="I9" s="14">
        <f t="shared" si="0"/>
        <v>66739.937716349988</v>
      </c>
      <c r="J9" s="28">
        <f>D9*(1-0.8)</f>
        <v>11631.999999999998</v>
      </c>
      <c r="K9" s="14">
        <f>E9*1.035</f>
        <v>30184.739999999998</v>
      </c>
      <c r="L9" s="2">
        <f t="shared" ref="L9:N11" si="1">K9*1.035</f>
        <v>31241.205899999997</v>
      </c>
      <c r="M9" s="2">
        <f t="shared" si="1"/>
        <v>32334.648106499993</v>
      </c>
      <c r="N9" s="2">
        <f t="shared" si="1"/>
        <v>33466.360790227489</v>
      </c>
      <c r="O9" s="3">
        <f>E9*(1-0.8)</f>
        <v>5832.7999999999984</v>
      </c>
    </row>
    <row r="10" spans="2:15" ht="15.75" thickBot="1" x14ac:dyDescent="0.3">
      <c r="B10" s="10"/>
      <c r="C10" s="10" t="s">
        <v>97</v>
      </c>
      <c r="D10" s="4">
        <v>251</v>
      </c>
      <c r="E10" s="75">
        <v>1691</v>
      </c>
      <c r="F10" s="72">
        <f>D10*1.035</f>
        <v>259.78499999999997</v>
      </c>
      <c r="G10" s="72">
        <f t="shared" si="0"/>
        <v>268.87747499999995</v>
      </c>
      <c r="H10" s="72">
        <f t="shared" si="0"/>
        <v>278.28818662499992</v>
      </c>
      <c r="I10" s="72">
        <f t="shared" si="0"/>
        <v>288.02827315687489</v>
      </c>
      <c r="J10" s="28">
        <f>D10*(1-0.8)</f>
        <v>50.199999999999989</v>
      </c>
      <c r="K10" s="72">
        <f>E10*1.035</f>
        <v>1750.1849999999999</v>
      </c>
      <c r="L10" s="73">
        <f t="shared" si="1"/>
        <v>1811.4414749999999</v>
      </c>
      <c r="M10" s="73">
        <f t="shared" si="1"/>
        <v>1874.8419266249998</v>
      </c>
      <c r="N10" s="73">
        <f t="shared" si="1"/>
        <v>1940.4613940568747</v>
      </c>
      <c r="O10" s="3">
        <f>E10*(1-0.8)</f>
        <v>338.19999999999993</v>
      </c>
    </row>
    <row r="11" spans="2:15" ht="15.75" thickBot="1" x14ac:dyDescent="0.3">
      <c r="B11" s="10"/>
      <c r="C11" s="10" t="s">
        <v>98</v>
      </c>
      <c r="D11" s="76">
        <v>43363</v>
      </c>
      <c r="E11" s="75">
        <v>71238</v>
      </c>
      <c r="F11" s="14">
        <f>D11*1.035</f>
        <v>44880.704999999994</v>
      </c>
      <c r="G11" s="14">
        <f t="shared" si="0"/>
        <v>46451.529674999991</v>
      </c>
      <c r="H11" s="14">
        <f t="shared" si="0"/>
        <v>48077.333213624988</v>
      </c>
      <c r="I11" s="14">
        <f t="shared" si="0"/>
        <v>49760.039876101859</v>
      </c>
      <c r="J11" s="28">
        <f>D11*(1-0.8)</f>
        <v>8672.5999999999985</v>
      </c>
      <c r="K11" s="14">
        <f>E11*1.035</f>
        <v>73731.329999999987</v>
      </c>
      <c r="L11" s="2">
        <f t="shared" si="1"/>
        <v>76311.926549999975</v>
      </c>
      <c r="M11" s="2">
        <f t="shared" si="1"/>
        <v>78982.84397924997</v>
      </c>
      <c r="N11" s="2">
        <f t="shared" si="1"/>
        <v>81747.243518523712</v>
      </c>
      <c r="O11" s="3">
        <f>E11*(1-0.8)</f>
        <v>14247.599999999997</v>
      </c>
    </row>
    <row r="12" spans="2:15" ht="24" thickBot="1" x14ac:dyDescent="0.3">
      <c r="B12" s="11" t="s">
        <v>99</v>
      </c>
      <c r="C12" s="10" t="s">
        <v>100</v>
      </c>
      <c r="D12" s="4">
        <v>58160</v>
      </c>
      <c r="E12" s="75">
        <v>29164</v>
      </c>
      <c r="F12" s="14">
        <f t="shared" ref="F12:F15" si="2">D12*1.035</f>
        <v>60195.6</v>
      </c>
      <c r="G12" s="14">
        <f t="shared" ref="G12:I12" si="3">F12*1.035</f>
        <v>62302.445999999996</v>
      </c>
      <c r="H12" s="14">
        <f t="shared" si="3"/>
        <v>64483.031609999991</v>
      </c>
      <c r="I12" s="14">
        <f t="shared" si="3"/>
        <v>66739.937716349988</v>
      </c>
      <c r="J12" s="28">
        <f t="shared" ref="J12:J15" si="4">D12*(1-0.8)</f>
        <v>11631.999999999998</v>
      </c>
      <c r="K12" s="14">
        <f t="shared" ref="K12:K15" si="5">E12*1.035</f>
        <v>30184.739999999998</v>
      </c>
      <c r="L12" s="2">
        <f t="shared" ref="L12:N12" si="6">K12*1.035</f>
        <v>31241.205899999997</v>
      </c>
      <c r="M12" s="2">
        <f t="shared" si="6"/>
        <v>32334.648106499993</v>
      </c>
      <c r="N12" s="2">
        <f t="shared" si="6"/>
        <v>33466.360790227489</v>
      </c>
      <c r="O12" s="3">
        <f t="shared" ref="O12:O15" si="7">E12*(1-0.8)</f>
        <v>5832.7999999999984</v>
      </c>
    </row>
    <row r="13" spans="2:15" ht="24" thickBot="1" x14ac:dyDescent="0.3">
      <c r="B13" s="10"/>
      <c r="C13" s="11" t="s">
        <v>101</v>
      </c>
      <c r="D13" s="4">
        <v>78000</v>
      </c>
      <c r="E13" s="75">
        <v>854236</v>
      </c>
      <c r="F13" s="14">
        <f t="shared" si="2"/>
        <v>80730</v>
      </c>
      <c r="G13" s="14">
        <f t="shared" ref="G13:I13" si="8">F13*1.035</f>
        <v>83555.549999999988</v>
      </c>
      <c r="H13" s="14">
        <f t="shared" si="8"/>
        <v>86479.994249999974</v>
      </c>
      <c r="I13" s="14">
        <f t="shared" si="8"/>
        <v>89506.794048749973</v>
      </c>
      <c r="J13" s="28">
        <f t="shared" si="4"/>
        <v>15599.999999999996</v>
      </c>
      <c r="K13" s="14">
        <f t="shared" si="5"/>
        <v>884134.25999999989</v>
      </c>
      <c r="L13" s="2">
        <f t="shared" ref="L13:N13" si="9">K13*1.035</f>
        <v>915078.95909999986</v>
      </c>
      <c r="M13" s="2">
        <f t="shared" si="9"/>
        <v>947106.7226684998</v>
      </c>
      <c r="N13" s="2">
        <f t="shared" si="9"/>
        <v>980255.45796189725</v>
      </c>
      <c r="O13" s="3">
        <f t="shared" si="7"/>
        <v>170847.19999999995</v>
      </c>
    </row>
    <row r="14" spans="2:15" ht="24" thickBot="1" x14ac:dyDescent="0.3">
      <c r="B14" s="10"/>
      <c r="C14" s="11" t="s">
        <v>102</v>
      </c>
      <c r="D14" s="4">
        <v>181775</v>
      </c>
      <c r="E14" s="75">
        <v>1012256</v>
      </c>
      <c r="F14" s="14">
        <f t="shared" si="2"/>
        <v>188137.125</v>
      </c>
      <c r="G14" s="14">
        <f t="shared" ref="G14:I14" si="10">F14*1.035</f>
        <v>194721.92437499997</v>
      </c>
      <c r="H14" s="14">
        <f t="shared" si="10"/>
        <v>201537.19172812495</v>
      </c>
      <c r="I14" s="14">
        <f t="shared" si="10"/>
        <v>208590.99343860929</v>
      </c>
      <c r="J14" s="28">
        <f t="shared" si="4"/>
        <v>36354.999999999993</v>
      </c>
      <c r="K14" s="14">
        <f t="shared" si="5"/>
        <v>1047684.96</v>
      </c>
      <c r="L14" s="2">
        <f t="shared" ref="L14:N14" si="11">K14*1.035</f>
        <v>1084353.9335999999</v>
      </c>
      <c r="M14" s="2">
        <f t="shared" si="11"/>
        <v>1122306.3212759998</v>
      </c>
      <c r="N14" s="2">
        <f t="shared" si="11"/>
        <v>1161587.0425206597</v>
      </c>
      <c r="O14" s="3">
        <f t="shared" si="7"/>
        <v>202451.19999999995</v>
      </c>
    </row>
    <row r="15" spans="2:15" x14ac:dyDescent="0.25">
      <c r="B15" s="10"/>
      <c r="C15" s="11" t="s">
        <v>103</v>
      </c>
      <c r="D15" s="4">
        <v>466</v>
      </c>
      <c r="E15" s="75">
        <v>20238</v>
      </c>
      <c r="F15" s="14">
        <f t="shared" si="2"/>
        <v>482.30999999999995</v>
      </c>
      <c r="G15" s="14">
        <f t="shared" ref="G15:I15" si="12">F15*1.035</f>
        <v>499.1908499999999</v>
      </c>
      <c r="H15" s="14">
        <f t="shared" si="12"/>
        <v>516.66252974999986</v>
      </c>
      <c r="I15" s="14">
        <f t="shared" si="12"/>
        <v>534.74571829124977</v>
      </c>
      <c r="J15" s="28">
        <f t="shared" si="4"/>
        <v>93.199999999999974</v>
      </c>
      <c r="K15" s="14">
        <f t="shared" si="5"/>
        <v>20946.329999999998</v>
      </c>
      <c r="L15" s="2">
        <f t="shared" ref="L15:N15" si="13">K15*1.035</f>
        <v>21679.451549999998</v>
      </c>
      <c r="M15" s="2">
        <f t="shared" si="13"/>
        <v>22438.232354249994</v>
      </c>
      <c r="N15" s="2">
        <f t="shared" si="13"/>
        <v>23223.570486648743</v>
      </c>
      <c r="O15" s="3">
        <f t="shared" si="7"/>
        <v>4047.599999999999</v>
      </c>
    </row>
    <row r="16" spans="2:15" ht="34.5" x14ac:dyDescent="0.25">
      <c r="B16" s="10" t="s">
        <v>43</v>
      </c>
      <c r="C16" s="11" t="s">
        <v>204</v>
      </c>
      <c r="D16" s="76">
        <v>85147</v>
      </c>
      <c r="E16" s="77">
        <v>567648</v>
      </c>
      <c r="F16" s="4">
        <v>59000</v>
      </c>
      <c r="G16" s="4">
        <v>57000</v>
      </c>
      <c r="H16" s="4">
        <v>55000</v>
      </c>
      <c r="I16" s="4">
        <v>53000</v>
      </c>
      <c r="J16" s="5">
        <f>D16*(1-0.8)</f>
        <v>17029.399999999998</v>
      </c>
      <c r="K16" s="4">
        <v>550000</v>
      </c>
      <c r="L16" s="9">
        <v>540000</v>
      </c>
      <c r="M16" s="9">
        <v>530000</v>
      </c>
      <c r="N16" s="9">
        <v>520000</v>
      </c>
      <c r="O16" s="5">
        <f>E16*(1-0.8)</f>
        <v>113529.59999999998</v>
      </c>
    </row>
    <row r="17" spans="2:15" ht="23.25" x14ac:dyDescent="0.25">
      <c r="B17" s="10"/>
      <c r="C17" s="11" t="s">
        <v>104</v>
      </c>
      <c r="D17" s="4">
        <v>134533</v>
      </c>
      <c r="E17" s="5">
        <v>2863302</v>
      </c>
      <c r="F17" s="4">
        <v>130000</v>
      </c>
      <c r="G17" s="1">
        <v>128000</v>
      </c>
      <c r="H17" s="1">
        <v>126000</v>
      </c>
      <c r="I17" s="1">
        <v>124000</v>
      </c>
      <c r="J17" s="5">
        <f t="shared" ref="J17:J24" si="14">D17*(1-0.8)</f>
        <v>26906.599999999995</v>
      </c>
      <c r="K17" s="4">
        <v>2700000</v>
      </c>
      <c r="L17" s="65">
        <v>2600000</v>
      </c>
      <c r="M17" s="65">
        <v>2500000</v>
      </c>
      <c r="N17" s="65">
        <v>2400000</v>
      </c>
      <c r="O17" s="5">
        <f t="shared" ref="O17:O23" si="15">E17*(1-0.8)</f>
        <v>572660.39999999991</v>
      </c>
    </row>
    <row r="18" spans="2:15" ht="23.25" x14ac:dyDescent="0.25">
      <c r="B18" s="10"/>
      <c r="C18" s="11" t="s">
        <v>105</v>
      </c>
      <c r="D18" s="4">
        <v>108610</v>
      </c>
      <c r="E18" s="5">
        <v>490555</v>
      </c>
      <c r="F18" s="4">
        <v>100000</v>
      </c>
      <c r="G18" s="4">
        <v>100000</v>
      </c>
      <c r="H18" s="4">
        <v>100000</v>
      </c>
      <c r="I18" s="4">
        <v>100000</v>
      </c>
      <c r="J18" s="5">
        <f t="shared" si="14"/>
        <v>21721.999999999996</v>
      </c>
      <c r="K18" s="4">
        <v>490000</v>
      </c>
      <c r="L18" s="9">
        <v>490000</v>
      </c>
      <c r="M18" s="9">
        <v>490000</v>
      </c>
      <c r="N18" s="9">
        <v>490000</v>
      </c>
      <c r="O18" s="5">
        <f t="shared" si="15"/>
        <v>98110.999999999985</v>
      </c>
    </row>
    <row r="19" spans="2:15" ht="23.25" x14ac:dyDescent="0.25">
      <c r="B19" s="10"/>
      <c r="C19" s="11" t="s">
        <v>106</v>
      </c>
      <c r="D19" s="4">
        <v>75686</v>
      </c>
      <c r="E19" s="5">
        <v>687485</v>
      </c>
      <c r="F19" s="4">
        <v>73000</v>
      </c>
      <c r="G19" s="1">
        <v>71000</v>
      </c>
      <c r="H19" s="1">
        <v>68000</v>
      </c>
      <c r="I19" s="1">
        <v>65000</v>
      </c>
      <c r="J19" s="5">
        <f t="shared" si="14"/>
        <v>15137.199999999997</v>
      </c>
      <c r="K19" s="4">
        <v>670000</v>
      </c>
      <c r="L19" s="1">
        <v>660000</v>
      </c>
      <c r="M19" s="1">
        <v>650000</v>
      </c>
      <c r="N19" s="1">
        <v>640000</v>
      </c>
      <c r="O19" s="5">
        <f t="shared" si="15"/>
        <v>137496.99999999997</v>
      </c>
    </row>
    <row r="20" spans="2:15" ht="23.25" x14ac:dyDescent="0.25">
      <c r="B20" s="10"/>
      <c r="C20" s="11" t="s">
        <v>107</v>
      </c>
      <c r="D20" s="4">
        <v>176349</v>
      </c>
      <c r="E20" s="5">
        <v>2142644</v>
      </c>
      <c r="F20" s="4" t="s">
        <v>205</v>
      </c>
      <c r="G20" s="1">
        <v>165000</v>
      </c>
      <c r="H20" s="1">
        <v>160000</v>
      </c>
      <c r="I20" s="1">
        <v>155000</v>
      </c>
      <c r="J20" s="5">
        <f t="shared" si="14"/>
        <v>35269.799999999996</v>
      </c>
      <c r="K20" s="4">
        <v>1500000</v>
      </c>
      <c r="L20" s="1">
        <v>1475000</v>
      </c>
      <c r="M20" s="1">
        <v>1450000</v>
      </c>
      <c r="N20" s="1">
        <v>1425000</v>
      </c>
      <c r="O20" s="5">
        <f t="shared" si="15"/>
        <v>428528.79999999993</v>
      </c>
    </row>
    <row r="21" spans="2:15" ht="23.25" x14ac:dyDescent="0.25">
      <c r="B21" s="10"/>
      <c r="C21" s="11" t="s">
        <v>108</v>
      </c>
      <c r="D21" s="4">
        <v>76065</v>
      </c>
      <c r="E21" s="5">
        <v>908975</v>
      </c>
      <c r="F21" s="4">
        <v>70000</v>
      </c>
      <c r="G21" s="1">
        <v>65000</v>
      </c>
      <c r="H21" s="1">
        <v>60000</v>
      </c>
      <c r="I21" s="1">
        <v>55000</v>
      </c>
      <c r="J21" s="5">
        <f t="shared" si="14"/>
        <v>15212.999999999996</v>
      </c>
      <c r="K21" s="4">
        <v>850000</v>
      </c>
      <c r="L21" s="1">
        <v>825000</v>
      </c>
      <c r="M21" s="1">
        <v>800000</v>
      </c>
      <c r="N21" s="1">
        <v>775000</v>
      </c>
      <c r="O21" s="5">
        <f t="shared" si="15"/>
        <v>181794.99999999997</v>
      </c>
    </row>
    <row r="22" spans="2:15" ht="34.5" x14ac:dyDescent="0.25">
      <c r="B22" s="10"/>
      <c r="C22" s="11" t="s">
        <v>109</v>
      </c>
      <c r="D22" s="4">
        <v>11542</v>
      </c>
      <c r="E22" s="5">
        <v>17506</v>
      </c>
      <c r="F22" s="4">
        <v>9500</v>
      </c>
      <c r="G22" s="1">
        <v>9300</v>
      </c>
      <c r="H22" s="1">
        <v>9100</v>
      </c>
      <c r="I22" s="1">
        <v>8900</v>
      </c>
      <c r="J22" s="5">
        <f t="shared" si="14"/>
        <v>2308.3999999999996</v>
      </c>
      <c r="K22" s="4">
        <v>17500</v>
      </c>
      <c r="L22" s="9">
        <v>17500</v>
      </c>
      <c r="M22" s="9">
        <v>17500</v>
      </c>
      <c r="N22" s="9">
        <v>17500</v>
      </c>
      <c r="O22" s="5">
        <f t="shared" si="15"/>
        <v>3501.1999999999994</v>
      </c>
    </row>
    <row r="23" spans="2:15" ht="23.25" x14ac:dyDescent="0.25">
      <c r="B23" s="10"/>
      <c r="C23" s="11" t="s">
        <v>110</v>
      </c>
      <c r="D23" s="4">
        <v>931</v>
      </c>
      <c r="E23" s="75">
        <v>4395</v>
      </c>
      <c r="F23" s="4">
        <f>D23*1.035</f>
        <v>963.58499999999992</v>
      </c>
      <c r="G23" s="4">
        <f t="shared" ref="G23:I24" si="16">F23*1.035</f>
        <v>997.31047499999988</v>
      </c>
      <c r="H23" s="4">
        <f t="shared" si="16"/>
        <v>1032.2163416249998</v>
      </c>
      <c r="I23" s="4">
        <f t="shared" si="16"/>
        <v>1068.3439135818746</v>
      </c>
      <c r="J23" s="5">
        <f t="shared" si="14"/>
        <v>186.19999999999996</v>
      </c>
      <c r="K23" s="4">
        <f>E23*1.035</f>
        <v>4548.8249999999998</v>
      </c>
      <c r="L23" s="1">
        <f>K23*1.035</f>
        <v>4708.0338749999992</v>
      </c>
      <c r="M23" s="1">
        <f t="shared" ref="M23:N24" si="17">L23*1.035</f>
        <v>4872.8150606249992</v>
      </c>
      <c r="N23" s="1">
        <f t="shared" si="17"/>
        <v>5043.3635877468741</v>
      </c>
      <c r="O23" s="5">
        <f t="shared" si="15"/>
        <v>878.99999999999977</v>
      </c>
    </row>
    <row r="24" spans="2:15" ht="24" thickBot="1" x14ac:dyDescent="0.3">
      <c r="B24" s="12"/>
      <c r="C24" s="255" t="s">
        <v>111</v>
      </c>
      <c r="D24" s="6">
        <v>3344</v>
      </c>
      <c r="E24" s="256">
        <v>12694</v>
      </c>
      <c r="F24" s="6">
        <f>D24*1.035</f>
        <v>3461.0399999999995</v>
      </c>
      <c r="G24" s="6">
        <f t="shared" si="16"/>
        <v>3582.1763999999994</v>
      </c>
      <c r="H24" s="6">
        <f t="shared" si="16"/>
        <v>3707.5525739999989</v>
      </c>
      <c r="I24" s="6">
        <f t="shared" si="16"/>
        <v>3837.3169140899986</v>
      </c>
      <c r="J24" s="8">
        <f t="shared" si="14"/>
        <v>668.79999999999984</v>
      </c>
      <c r="K24" s="6">
        <f>E24*1.035</f>
        <v>13138.289999999999</v>
      </c>
      <c r="L24" s="7">
        <f>K24*1.035</f>
        <v>13598.130149999997</v>
      </c>
      <c r="M24" s="7">
        <f t="shared" si="17"/>
        <v>14074.064705249995</v>
      </c>
      <c r="N24" s="7">
        <f t="shared" si="17"/>
        <v>14566.656969933743</v>
      </c>
      <c r="O24" s="8">
        <f t="shared" ref="O24" si="18">E24*(1-0.8)</f>
        <v>2538.7999999999993</v>
      </c>
    </row>
    <row r="25" spans="2:15" ht="15.75" thickBot="1" x14ac:dyDescent="0.3">
      <c r="B25" s="323" t="s">
        <v>308</v>
      </c>
      <c r="C25" s="324"/>
      <c r="D25" s="257">
        <f>SUM(D9:D24)</f>
        <v>1092382</v>
      </c>
      <c r="E25" s="257">
        <f>SUM(E9:E24)</f>
        <v>9713191</v>
      </c>
      <c r="F25" s="258"/>
      <c r="G25" s="258"/>
      <c r="H25" s="258"/>
      <c r="I25" s="258"/>
      <c r="J25" s="259">
        <f>SUM(J9:J24)</f>
        <v>218476.39999999994</v>
      </c>
      <c r="K25" s="258"/>
      <c r="L25" s="258"/>
      <c r="M25" s="258"/>
      <c r="N25" s="258"/>
      <c r="O25" s="260">
        <f>SUM(O8:O24)</f>
        <v>1944656.1999999997</v>
      </c>
    </row>
  </sheetData>
  <mergeCells count="13">
    <mergeCell ref="B2:O2"/>
    <mergeCell ref="B3:O3"/>
    <mergeCell ref="B4:O4"/>
    <mergeCell ref="B5:O5"/>
    <mergeCell ref="B25:C25"/>
    <mergeCell ref="C6:C8"/>
    <mergeCell ref="D6:E6"/>
    <mergeCell ref="F6:O6"/>
    <mergeCell ref="D7:D8"/>
    <mergeCell ref="E7:E8"/>
    <mergeCell ref="B6:B8"/>
    <mergeCell ref="F7:J7"/>
    <mergeCell ref="K7:O7"/>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B1:T103"/>
  <sheetViews>
    <sheetView topLeftCell="B1" zoomScale="90" zoomScaleNormal="90" workbookViewId="0">
      <selection activeCell="V3" sqref="V3"/>
    </sheetView>
  </sheetViews>
  <sheetFormatPr baseColWidth="10" defaultRowHeight="15" x14ac:dyDescent="0.25"/>
  <cols>
    <col min="2" max="2" width="16" customWidth="1"/>
    <col min="3" max="3" width="31.28515625" customWidth="1"/>
    <col min="4" max="4" width="10.140625" bestFit="1" customWidth="1"/>
    <col min="5" max="5" width="10" bestFit="1" customWidth="1"/>
    <col min="6" max="9" width="8.28515625" bestFit="1" customWidth="1"/>
    <col min="10" max="10" width="13.5703125" bestFit="1" customWidth="1"/>
    <col min="11" max="11" width="9" bestFit="1" customWidth="1"/>
    <col min="12" max="13" width="9.28515625" bestFit="1" customWidth="1"/>
    <col min="14" max="14" width="9" bestFit="1" customWidth="1"/>
    <col min="15" max="15" width="11.140625" bestFit="1" customWidth="1"/>
    <col min="16" max="16" width="5.5703125" customWidth="1"/>
    <col min="17" max="17" width="5.7109375" customWidth="1"/>
    <col min="18" max="18" width="6" customWidth="1"/>
    <col min="19" max="19" width="5.28515625" customWidth="1"/>
    <col min="20" max="20" width="5.42578125" customWidth="1"/>
  </cols>
  <sheetData>
    <row r="1" spans="2:20" ht="15.75" thickBot="1" x14ac:dyDescent="0.3"/>
    <row r="2" spans="2:20" ht="15" customHeight="1" thickBot="1" x14ac:dyDescent="0.3">
      <c r="B2" s="332" t="s">
        <v>0</v>
      </c>
      <c r="C2" s="316"/>
      <c r="D2" s="316"/>
      <c r="E2" s="316"/>
      <c r="F2" s="316"/>
      <c r="G2" s="316"/>
      <c r="H2" s="316"/>
      <c r="I2" s="316"/>
      <c r="J2" s="316"/>
      <c r="K2" s="316"/>
      <c r="L2" s="316"/>
      <c r="M2" s="316"/>
      <c r="N2" s="316"/>
      <c r="O2" s="316"/>
      <c r="P2" s="316"/>
      <c r="Q2" s="316"/>
      <c r="R2" s="316"/>
      <c r="S2" s="316"/>
      <c r="T2" s="317"/>
    </row>
    <row r="3" spans="2:20" ht="15" customHeight="1" thickBot="1" x14ac:dyDescent="0.3">
      <c r="B3" s="316" t="s">
        <v>1</v>
      </c>
      <c r="C3" s="316"/>
      <c r="D3" s="316"/>
      <c r="E3" s="316"/>
      <c r="F3" s="316"/>
      <c r="G3" s="316"/>
      <c r="H3" s="316"/>
      <c r="I3" s="316"/>
      <c r="J3" s="316"/>
      <c r="K3" s="316"/>
      <c r="L3" s="316"/>
      <c r="M3" s="316"/>
      <c r="N3" s="316"/>
      <c r="O3" s="316"/>
      <c r="P3" s="316"/>
      <c r="Q3" s="316"/>
      <c r="R3" s="316"/>
      <c r="S3" s="316"/>
      <c r="T3" s="317"/>
    </row>
    <row r="4" spans="2:20" ht="14.45" customHeight="1" thickBot="1" x14ac:dyDescent="0.3">
      <c r="B4" s="333" t="s">
        <v>201</v>
      </c>
      <c r="C4" s="334"/>
      <c r="D4" s="334"/>
      <c r="E4" s="334"/>
      <c r="F4" s="334"/>
      <c r="G4" s="334"/>
      <c r="H4" s="334"/>
      <c r="I4" s="334"/>
      <c r="J4" s="334"/>
      <c r="K4" s="334"/>
      <c r="L4" s="334"/>
      <c r="M4" s="334"/>
      <c r="N4" s="334"/>
      <c r="O4" s="334"/>
      <c r="P4" s="334"/>
      <c r="Q4" s="334"/>
      <c r="R4" s="334"/>
      <c r="S4" s="334"/>
      <c r="T4" s="335"/>
    </row>
    <row r="5" spans="2:20" ht="15" customHeight="1" thickBot="1" x14ac:dyDescent="0.3">
      <c r="B5" s="332" t="s">
        <v>216</v>
      </c>
      <c r="C5" s="316"/>
      <c r="D5" s="316"/>
      <c r="E5" s="316"/>
      <c r="F5" s="316"/>
      <c r="G5" s="316"/>
      <c r="H5" s="316"/>
      <c r="I5" s="316"/>
      <c r="J5" s="316"/>
      <c r="K5" s="316"/>
      <c r="L5" s="316"/>
      <c r="M5" s="316"/>
      <c r="N5" s="316"/>
      <c r="O5" s="316"/>
      <c r="P5" s="316"/>
      <c r="Q5" s="316"/>
      <c r="R5" s="316"/>
      <c r="S5" s="316"/>
      <c r="T5" s="317"/>
    </row>
    <row r="6" spans="2:20" ht="22.15" customHeight="1" thickBot="1" x14ac:dyDescent="0.3">
      <c r="B6" s="321" t="s">
        <v>202</v>
      </c>
      <c r="C6" s="321" t="s">
        <v>2</v>
      </c>
      <c r="D6" s="371" t="s">
        <v>3</v>
      </c>
      <c r="E6" s="337"/>
      <c r="F6" s="372" t="s">
        <v>7</v>
      </c>
      <c r="G6" s="372"/>
      <c r="H6" s="372"/>
      <c r="I6" s="372"/>
      <c r="J6" s="372"/>
      <c r="K6" s="372"/>
      <c r="L6" s="372"/>
      <c r="M6" s="372"/>
      <c r="N6" s="372"/>
      <c r="O6" s="372"/>
      <c r="P6" s="332" t="s">
        <v>6</v>
      </c>
      <c r="Q6" s="316"/>
      <c r="R6" s="316"/>
      <c r="S6" s="316"/>
      <c r="T6" s="317"/>
    </row>
    <row r="7" spans="2:20" ht="15.75" thickBot="1" x14ac:dyDescent="0.3">
      <c r="B7" s="331"/>
      <c r="C7" s="331"/>
      <c r="D7" s="373" t="s">
        <v>4</v>
      </c>
      <c r="E7" s="375" t="s">
        <v>5</v>
      </c>
      <c r="F7" s="377" t="s">
        <v>4</v>
      </c>
      <c r="G7" s="378"/>
      <c r="H7" s="378"/>
      <c r="I7" s="378"/>
      <c r="J7" s="379"/>
      <c r="K7" s="380" t="s">
        <v>5</v>
      </c>
      <c r="L7" s="381"/>
      <c r="M7" s="381"/>
      <c r="N7" s="381"/>
      <c r="O7" s="382"/>
      <c r="P7" s="383">
        <v>2014</v>
      </c>
      <c r="Q7" s="364">
        <v>2015</v>
      </c>
      <c r="R7" s="364">
        <v>2016</v>
      </c>
      <c r="S7" s="364">
        <v>2017</v>
      </c>
      <c r="T7" s="349">
        <v>2018</v>
      </c>
    </row>
    <row r="8" spans="2:20" ht="15.75" thickBot="1" x14ac:dyDescent="0.3">
      <c r="B8" s="322"/>
      <c r="C8" s="322"/>
      <c r="D8" s="374"/>
      <c r="E8" s="376"/>
      <c r="F8" s="84">
        <v>2014</v>
      </c>
      <c r="G8" s="85">
        <v>2015</v>
      </c>
      <c r="H8" s="85">
        <v>2016</v>
      </c>
      <c r="I8" s="85">
        <v>2017</v>
      </c>
      <c r="J8" s="86">
        <v>2018</v>
      </c>
      <c r="K8" s="83">
        <v>2014</v>
      </c>
      <c r="L8" s="85">
        <v>2015</v>
      </c>
      <c r="M8" s="85">
        <v>2016</v>
      </c>
      <c r="N8" s="85">
        <v>2017</v>
      </c>
      <c r="O8" s="86">
        <v>2018</v>
      </c>
      <c r="P8" s="374"/>
      <c r="Q8" s="365"/>
      <c r="R8" s="365"/>
      <c r="S8" s="365"/>
      <c r="T8" s="350"/>
    </row>
    <row r="9" spans="2:20" ht="33" customHeight="1" thickBot="1" x14ac:dyDescent="0.3">
      <c r="B9" s="387" t="s">
        <v>10</v>
      </c>
      <c r="C9" s="197" t="s">
        <v>9</v>
      </c>
      <c r="D9" s="90">
        <v>802057</v>
      </c>
      <c r="E9" s="91">
        <v>786789</v>
      </c>
      <c r="F9" s="92">
        <f>D9*1.027</f>
        <v>823712.53899999987</v>
      </c>
      <c r="G9" s="93">
        <f>F9*1.027</f>
        <v>845952.77755299979</v>
      </c>
      <c r="H9" s="93">
        <f t="shared" ref="H9:I11" si="0">G9*1.027</f>
        <v>868793.50254693069</v>
      </c>
      <c r="I9" s="93">
        <f t="shared" si="0"/>
        <v>892250.92711569776</v>
      </c>
      <c r="J9" s="93">
        <f>I9*1.027*(1-0.1)</f>
        <v>824707.53193303943</v>
      </c>
      <c r="K9" s="94">
        <f>E9*1.027</f>
        <v>808032.30299999996</v>
      </c>
      <c r="L9" s="93">
        <f>K9*1.027</f>
        <v>829849.17518099991</v>
      </c>
      <c r="M9" s="93">
        <f t="shared" ref="M9:N11" si="1">L9*1.027</f>
        <v>852255.10291088687</v>
      </c>
      <c r="N9" s="93">
        <f t="shared" si="1"/>
        <v>875265.99068948079</v>
      </c>
      <c r="O9" s="93">
        <f>N9*1.027*(1-0.1)</f>
        <v>809008.35519428703</v>
      </c>
      <c r="P9" s="95" t="s">
        <v>259</v>
      </c>
      <c r="Q9" s="95" t="s">
        <v>259</v>
      </c>
      <c r="R9" s="95" t="s">
        <v>259</v>
      </c>
      <c r="S9" s="95" t="s">
        <v>259</v>
      </c>
      <c r="T9" s="96" t="s">
        <v>259</v>
      </c>
    </row>
    <row r="10" spans="2:20" ht="15.75" thickBot="1" x14ac:dyDescent="0.3">
      <c r="B10" s="384"/>
      <c r="C10" s="198" t="s">
        <v>11</v>
      </c>
      <c r="D10" s="97">
        <v>16049</v>
      </c>
      <c r="E10" s="98">
        <v>335923</v>
      </c>
      <c r="F10" s="92">
        <f>D10*1.027</f>
        <v>16482.323</v>
      </c>
      <c r="G10" s="93">
        <f>F10*1.027</f>
        <v>16927.345720999998</v>
      </c>
      <c r="H10" s="93">
        <f t="shared" si="0"/>
        <v>17384.384055466995</v>
      </c>
      <c r="I10" s="93">
        <f t="shared" si="0"/>
        <v>17853.762424964603</v>
      </c>
      <c r="J10" s="93">
        <f>I10*1.027*(1-0.6)</f>
        <v>7334.3256041754594</v>
      </c>
      <c r="K10" s="94">
        <f>E10*1.027</f>
        <v>344992.92099999997</v>
      </c>
      <c r="L10" s="93">
        <f>K10*1.027</f>
        <v>354307.72986699996</v>
      </c>
      <c r="M10" s="93">
        <f t="shared" si="1"/>
        <v>363874.03857340891</v>
      </c>
      <c r="N10" s="93">
        <f t="shared" si="1"/>
        <v>373698.63761489093</v>
      </c>
      <c r="O10" s="93">
        <f>N10*1.027*(1-0.6)</f>
        <v>153515.40033219717</v>
      </c>
      <c r="P10" s="95" t="s">
        <v>259</v>
      </c>
      <c r="Q10" s="95" t="s">
        <v>259</v>
      </c>
      <c r="R10" s="95" t="s">
        <v>259</v>
      </c>
      <c r="S10" s="95" t="s">
        <v>259</v>
      </c>
      <c r="T10" s="96" t="s">
        <v>259</v>
      </c>
    </row>
    <row r="11" spans="2:20" ht="33" customHeight="1" thickBot="1" x14ac:dyDescent="0.3">
      <c r="B11" s="388"/>
      <c r="C11" s="199" t="s">
        <v>12</v>
      </c>
      <c r="D11" s="99">
        <v>31968</v>
      </c>
      <c r="E11" s="100">
        <v>31968</v>
      </c>
      <c r="F11" s="101">
        <f>D11*1.027</f>
        <v>32831.135999999999</v>
      </c>
      <c r="G11" s="102">
        <f>F11*1.027</f>
        <v>33717.576671999996</v>
      </c>
      <c r="H11" s="102">
        <f t="shared" si="0"/>
        <v>34627.951242143994</v>
      </c>
      <c r="I11" s="102">
        <f t="shared" si="0"/>
        <v>35562.90592568188</v>
      </c>
      <c r="J11" s="102">
        <f>I11*1.027*(1-0.8)</f>
        <v>7304.6208771350557</v>
      </c>
      <c r="K11" s="103">
        <f>E11*1.027</f>
        <v>32831.135999999999</v>
      </c>
      <c r="L11" s="102">
        <f>K11*1.027</f>
        <v>33717.576671999996</v>
      </c>
      <c r="M11" s="102">
        <f t="shared" si="1"/>
        <v>34627.951242143994</v>
      </c>
      <c r="N11" s="102">
        <f t="shared" si="1"/>
        <v>35562.90592568188</v>
      </c>
      <c r="O11" s="102">
        <f>N11*1.027*(1-0.8)</f>
        <v>7304.6208771350557</v>
      </c>
      <c r="P11" s="104" t="s">
        <v>259</v>
      </c>
      <c r="Q11" s="104" t="s">
        <v>259</v>
      </c>
      <c r="R11" s="104" t="s">
        <v>259</v>
      </c>
      <c r="S11" s="104" t="s">
        <v>259</v>
      </c>
      <c r="T11" s="105" t="s">
        <v>259</v>
      </c>
    </row>
    <row r="12" spans="2:20" ht="15.75" thickBot="1" x14ac:dyDescent="0.3">
      <c r="B12" s="366" t="s">
        <v>284</v>
      </c>
      <c r="C12" s="367"/>
      <c r="D12" s="106">
        <f>SUM(D9:D11)</f>
        <v>850074</v>
      </c>
      <c r="E12" s="107">
        <f>SUM(E9:E11)</f>
        <v>1154680</v>
      </c>
      <c r="F12" s="108"/>
      <c r="G12" s="109"/>
      <c r="H12" s="109"/>
      <c r="I12" s="109"/>
      <c r="J12" s="110">
        <f>SUM(J8:J11)</f>
        <v>841364.47841434996</v>
      </c>
      <c r="K12" s="111"/>
      <c r="L12" s="109"/>
      <c r="M12" s="109"/>
      <c r="N12" s="109"/>
      <c r="O12" s="112">
        <f>SUM(O9:O11)</f>
        <v>969828.3764036193</v>
      </c>
      <c r="P12" s="111"/>
      <c r="Q12" s="109"/>
      <c r="R12" s="109"/>
      <c r="S12" s="109"/>
      <c r="T12" s="110"/>
    </row>
    <row r="13" spans="2:20" ht="33.6" customHeight="1" x14ac:dyDescent="0.25">
      <c r="B13" s="384" t="s">
        <v>13</v>
      </c>
      <c r="C13" s="200" t="s">
        <v>14</v>
      </c>
      <c r="D13" s="113">
        <v>886599</v>
      </c>
      <c r="E13" s="114">
        <v>1143121</v>
      </c>
      <c r="F13" s="115">
        <f>D13*1.027</f>
        <v>910537.17299999995</v>
      </c>
      <c r="G13" s="116">
        <f>F13*1.027</f>
        <v>935121.67667099985</v>
      </c>
      <c r="H13" s="116">
        <f t="shared" ref="H13:I13" si="2">G13*1.027</f>
        <v>960369.96194111672</v>
      </c>
      <c r="I13" s="116">
        <f t="shared" si="2"/>
        <v>986299.95091352682</v>
      </c>
      <c r="J13" s="116">
        <f>I13*1.027*(1-0.1)</f>
        <v>911637.04462937277</v>
      </c>
      <c r="K13" s="113">
        <f>E13*1.027</f>
        <v>1173985.267</v>
      </c>
      <c r="L13" s="116">
        <f>K13*1.027</f>
        <v>1205682.8692089999</v>
      </c>
      <c r="M13" s="116">
        <f t="shared" ref="M13:N13" si="3">L13*1.027</f>
        <v>1238236.3066776427</v>
      </c>
      <c r="N13" s="116">
        <f t="shared" si="3"/>
        <v>1271668.6869579391</v>
      </c>
      <c r="O13" s="116">
        <f>N13*1.027*(1-0.1)</f>
        <v>1175403.367355223</v>
      </c>
      <c r="P13" s="117" t="s">
        <v>259</v>
      </c>
      <c r="Q13" s="117" t="s">
        <v>259</v>
      </c>
      <c r="R13" s="117" t="s">
        <v>259</v>
      </c>
      <c r="S13" s="117" t="s">
        <v>259</v>
      </c>
      <c r="T13" s="117" t="s">
        <v>259</v>
      </c>
    </row>
    <row r="14" spans="2:20" x14ac:dyDescent="0.25">
      <c r="B14" s="384"/>
      <c r="C14" s="201" t="s">
        <v>15</v>
      </c>
      <c r="D14" s="118">
        <v>127296</v>
      </c>
      <c r="E14" s="119" t="s">
        <v>266</v>
      </c>
      <c r="F14" s="119" t="s">
        <v>267</v>
      </c>
      <c r="G14" s="119" t="s">
        <v>268</v>
      </c>
      <c r="H14" s="120" t="s">
        <v>269</v>
      </c>
      <c r="I14" s="121" t="s">
        <v>270</v>
      </c>
      <c r="J14" s="119" t="s">
        <v>271</v>
      </c>
      <c r="K14" s="119" t="s">
        <v>272</v>
      </c>
      <c r="L14" s="119" t="s">
        <v>273</v>
      </c>
      <c r="M14" s="120" t="s">
        <v>274</v>
      </c>
      <c r="N14" s="121" t="s">
        <v>275</v>
      </c>
      <c r="O14" s="119" t="s">
        <v>276</v>
      </c>
      <c r="P14" s="122">
        <v>0</v>
      </c>
      <c r="Q14" s="44">
        <v>0</v>
      </c>
      <c r="R14" s="44">
        <v>0</v>
      </c>
      <c r="S14" s="44">
        <v>0</v>
      </c>
      <c r="T14" s="45">
        <v>0</v>
      </c>
    </row>
    <row r="15" spans="2:20" ht="37.9" customHeight="1" x14ac:dyDescent="0.25">
      <c r="B15" s="384"/>
      <c r="C15" s="198" t="s">
        <v>17</v>
      </c>
      <c r="D15" s="123">
        <v>10643</v>
      </c>
      <c r="E15" s="124">
        <v>8855</v>
      </c>
      <c r="F15" s="125">
        <f t="shared" ref="F15:F20" si="4">D15*1.027</f>
        <v>10930.360999999999</v>
      </c>
      <c r="G15" s="126">
        <f t="shared" ref="G15:G20" si="5">F15*1.027</f>
        <v>11225.480746999998</v>
      </c>
      <c r="H15" s="126">
        <f t="shared" ref="H15:J20" si="6">G15*1.027</f>
        <v>11528.568727168997</v>
      </c>
      <c r="I15" s="126">
        <f t="shared" si="6"/>
        <v>11839.840082802559</v>
      </c>
      <c r="J15" s="126">
        <f t="shared" si="6"/>
        <v>12159.515765038226</v>
      </c>
      <c r="K15" s="97">
        <f t="shared" ref="K15:K20" si="7">E15*1.027</f>
        <v>9094.0849999999991</v>
      </c>
      <c r="L15" s="126">
        <f t="shared" ref="L15:L20" si="8">K15*1.027</f>
        <v>9339.625294999998</v>
      </c>
      <c r="M15" s="126">
        <f t="shared" ref="M15:O20" si="9">L15*1.027</f>
        <v>9591.7951779649975</v>
      </c>
      <c r="N15" s="126">
        <f t="shared" si="9"/>
        <v>9850.773647770051</v>
      </c>
      <c r="O15" s="126">
        <f t="shared" si="9"/>
        <v>10116.744536259841</v>
      </c>
      <c r="P15" s="127">
        <v>0</v>
      </c>
      <c r="Q15" s="54">
        <v>0</v>
      </c>
      <c r="R15" s="54">
        <v>0</v>
      </c>
      <c r="S15" s="54">
        <v>0</v>
      </c>
      <c r="T15" s="42">
        <v>0</v>
      </c>
    </row>
    <row r="16" spans="2:20" ht="22.5" x14ac:dyDescent="0.25">
      <c r="B16" s="384"/>
      <c r="C16" s="198" t="s">
        <v>18</v>
      </c>
      <c r="D16" s="123">
        <v>10643</v>
      </c>
      <c r="E16" s="124">
        <v>8855</v>
      </c>
      <c r="F16" s="125">
        <f t="shared" si="4"/>
        <v>10930.360999999999</v>
      </c>
      <c r="G16" s="126">
        <f t="shared" si="5"/>
        <v>11225.480746999998</v>
      </c>
      <c r="H16" s="126">
        <f t="shared" si="6"/>
        <v>11528.568727168997</v>
      </c>
      <c r="I16" s="126">
        <f t="shared" si="6"/>
        <v>11839.840082802559</v>
      </c>
      <c r="J16" s="126">
        <f t="shared" si="6"/>
        <v>12159.515765038226</v>
      </c>
      <c r="K16" s="97">
        <f t="shared" si="7"/>
        <v>9094.0849999999991</v>
      </c>
      <c r="L16" s="126">
        <f t="shared" si="8"/>
        <v>9339.625294999998</v>
      </c>
      <c r="M16" s="126">
        <f t="shared" si="9"/>
        <v>9591.7951779649975</v>
      </c>
      <c r="N16" s="126">
        <f t="shared" si="9"/>
        <v>9850.773647770051</v>
      </c>
      <c r="O16" s="126">
        <f t="shared" si="9"/>
        <v>10116.744536259841</v>
      </c>
      <c r="P16" s="127">
        <v>0</v>
      </c>
      <c r="Q16" s="54">
        <v>0</v>
      </c>
      <c r="R16" s="54">
        <v>0</v>
      </c>
      <c r="S16" s="54">
        <v>0</v>
      </c>
      <c r="T16" s="42">
        <v>0</v>
      </c>
    </row>
    <row r="17" spans="2:20" ht="22.5" x14ac:dyDescent="0.25">
      <c r="B17" s="384"/>
      <c r="C17" s="198" t="s">
        <v>19</v>
      </c>
      <c r="D17" s="123">
        <v>10643</v>
      </c>
      <c r="E17" s="124">
        <v>8855</v>
      </c>
      <c r="F17" s="125">
        <f t="shared" si="4"/>
        <v>10930.360999999999</v>
      </c>
      <c r="G17" s="126">
        <f t="shared" si="5"/>
        <v>11225.480746999998</v>
      </c>
      <c r="H17" s="126">
        <f t="shared" si="6"/>
        <v>11528.568727168997</v>
      </c>
      <c r="I17" s="126">
        <f t="shared" si="6"/>
        <v>11839.840082802559</v>
      </c>
      <c r="J17" s="126">
        <f t="shared" si="6"/>
        <v>12159.515765038226</v>
      </c>
      <c r="K17" s="97">
        <f t="shared" si="7"/>
        <v>9094.0849999999991</v>
      </c>
      <c r="L17" s="126">
        <f t="shared" si="8"/>
        <v>9339.625294999998</v>
      </c>
      <c r="M17" s="126">
        <f t="shared" si="9"/>
        <v>9591.7951779649975</v>
      </c>
      <c r="N17" s="126">
        <f t="shared" si="9"/>
        <v>9850.773647770051</v>
      </c>
      <c r="O17" s="126">
        <f t="shared" si="9"/>
        <v>10116.744536259841</v>
      </c>
      <c r="P17" s="127">
        <v>0</v>
      </c>
      <c r="Q17" s="54">
        <v>0</v>
      </c>
      <c r="R17" s="54">
        <v>0</v>
      </c>
      <c r="S17" s="54">
        <v>0</v>
      </c>
      <c r="T17" s="42">
        <v>0</v>
      </c>
    </row>
    <row r="18" spans="2:20" ht="22.5" x14ac:dyDescent="0.25">
      <c r="B18" s="384"/>
      <c r="C18" s="198" t="s">
        <v>20</v>
      </c>
      <c r="D18" s="123">
        <v>10643</v>
      </c>
      <c r="E18" s="124">
        <v>8855</v>
      </c>
      <c r="F18" s="125">
        <f t="shared" si="4"/>
        <v>10930.360999999999</v>
      </c>
      <c r="G18" s="126">
        <f t="shared" si="5"/>
        <v>11225.480746999998</v>
      </c>
      <c r="H18" s="126">
        <f t="shared" si="6"/>
        <v>11528.568727168997</v>
      </c>
      <c r="I18" s="126">
        <f t="shared" si="6"/>
        <v>11839.840082802559</v>
      </c>
      <c r="J18" s="126">
        <f t="shared" si="6"/>
        <v>12159.515765038226</v>
      </c>
      <c r="K18" s="97">
        <f t="shared" si="7"/>
        <v>9094.0849999999991</v>
      </c>
      <c r="L18" s="126">
        <f t="shared" si="8"/>
        <v>9339.625294999998</v>
      </c>
      <c r="M18" s="126">
        <f t="shared" si="9"/>
        <v>9591.7951779649975</v>
      </c>
      <c r="N18" s="126">
        <f t="shared" si="9"/>
        <v>9850.773647770051</v>
      </c>
      <c r="O18" s="126">
        <f t="shared" si="9"/>
        <v>10116.744536259841</v>
      </c>
      <c r="P18" s="127">
        <v>0</v>
      </c>
      <c r="Q18" s="54">
        <v>0</v>
      </c>
      <c r="R18" s="54">
        <v>0</v>
      </c>
      <c r="S18" s="54">
        <v>0</v>
      </c>
      <c r="T18" s="42">
        <v>0</v>
      </c>
    </row>
    <row r="19" spans="2:20" ht="22.5" x14ac:dyDescent="0.25">
      <c r="B19" s="384"/>
      <c r="C19" s="198" t="s">
        <v>21</v>
      </c>
      <c r="D19" s="123">
        <v>4793</v>
      </c>
      <c r="E19" s="124">
        <v>2119</v>
      </c>
      <c r="F19" s="125">
        <f t="shared" si="4"/>
        <v>4922.4109999999991</v>
      </c>
      <c r="G19" s="126">
        <f t="shared" si="5"/>
        <v>5055.316096999999</v>
      </c>
      <c r="H19" s="126">
        <f t="shared" si="6"/>
        <v>5191.8096316189985</v>
      </c>
      <c r="I19" s="126">
        <f t="shared" si="6"/>
        <v>5331.9884916727115</v>
      </c>
      <c r="J19" s="126">
        <f t="shared" si="6"/>
        <v>5475.9521809478738</v>
      </c>
      <c r="K19" s="97">
        <f t="shared" si="7"/>
        <v>2176.2129999999997</v>
      </c>
      <c r="L19" s="126">
        <f t="shared" si="8"/>
        <v>2234.9707509999994</v>
      </c>
      <c r="M19" s="126">
        <f t="shared" si="9"/>
        <v>2295.3149612769994</v>
      </c>
      <c r="N19" s="126">
        <f t="shared" si="9"/>
        <v>2357.2884652314783</v>
      </c>
      <c r="O19" s="126">
        <f t="shared" si="9"/>
        <v>2420.935253792728</v>
      </c>
      <c r="P19" s="127">
        <v>0</v>
      </c>
      <c r="Q19" s="54">
        <v>0</v>
      </c>
      <c r="R19" s="54">
        <v>0</v>
      </c>
      <c r="S19" s="54">
        <v>0</v>
      </c>
      <c r="T19" s="42">
        <v>0</v>
      </c>
    </row>
    <row r="20" spans="2:20" ht="23.25" thickBot="1" x14ac:dyDescent="0.3">
      <c r="B20" s="384"/>
      <c r="C20" s="202" t="s">
        <v>22</v>
      </c>
      <c r="D20" s="128">
        <v>4793</v>
      </c>
      <c r="E20" s="129">
        <v>2119</v>
      </c>
      <c r="F20" s="130">
        <f t="shared" si="4"/>
        <v>4922.4109999999991</v>
      </c>
      <c r="G20" s="131">
        <f t="shared" si="5"/>
        <v>5055.316096999999</v>
      </c>
      <c r="H20" s="131">
        <f t="shared" si="6"/>
        <v>5191.8096316189985</v>
      </c>
      <c r="I20" s="131">
        <f t="shared" si="6"/>
        <v>5331.9884916727115</v>
      </c>
      <c r="J20" s="131">
        <f t="shared" si="6"/>
        <v>5475.9521809478738</v>
      </c>
      <c r="K20" s="132">
        <f t="shared" si="7"/>
        <v>2176.2129999999997</v>
      </c>
      <c r="L20" s="131">
        <f t="shared" si="8"/>
        <v>2234.9707509999994</v>
      </c>
      <c r="M20" s="131">
        <f t="shared" si="9"/>
        <v>2295.3149612769994</v>
      </c>
      <c r="N20" s="131">
        <f t="shared" si="9"/>
        <v>2357.2884652314783</v>
      </c>
      <c r="O20" s="131">
        <f t="shared" si="9"/>
        <v>2420.935253792728</v>
      </c>
      <c r="P20" s="133">
        <v>0</v>
      </c>
      <c r="Q20" s="59">
        <v>0</v>
      </c>
      <c r="R20" s="59">
        <v>0</v>
      </c>
      <c r="S20" s="59">
        <v>0</v>
      </c>
      <c r="T20" s="56">
        <v>0</v>
      </c>
    </row>
    <row r="21" spans="2:20" ht="15.75" thickBot="1" x14ac:dyDescent="0.3">
      <c r="B21" s="366" t="s">
        <v>285</v>
      </c>
      <c r="C21" s="367"/>
      <c r="D21" s="106">
        <f>SUM(D13:D20)</f>
        <v>1066053</v>
      </c>
      <c r="E21" s="107">
        <f>SUM(E13:E20)</f>
        <v>1182779</v>
      </c>
      <c r="F21" s="134"/>
      <c r="G21" s="135"/>
      <c r="H21" s="135"/>
      <c r="I21" s="135"/>
      <c r="J21" s="136">
        <f>SUM(J13:J20)</f>
        <v>971227.01205142133</v>
      </c>
      <c r="K21" s="137"/>
      <c r="L21" s="135"/>
      <c r="M21" s="135"/>
      <c r="N21" s="135"/>
      <c r="O21" s="136">
        <f>SUM(O13:O20)</f>
        <v>1220712.216007848</v>
      </c>
      <c r="P21" s="138"/>
      <c r="Q21" s="139"/>
      <c r="R21" s="139"/>
      <c r="S21" s="139"/>
      <c r="T21" s="140"/>
    </row>
    <row r="22" spans="2:20" ht="23.25" thickBot="1" x14ac:dyDescent="0.3">
      <c r="B22" s="203" t="s">
        <v>26</v>
      </c>
      <c r="C22" s="204" t="s">
        <v>23</v>
      </c>
      <c r="D22" s="265">
        <f>753*345</f>
        <v>259785</v>
      </c>
      <c r="E22" s="266">
        <f>670*365</f>
        <v>244550</v>
      </c>
      <c r="F22" s="220">
        <f>D22*1.016</f>
        <v>263941.56</v>
      </c>
      <c r="G22" s="221">
        <f>F22*1.016</f>
        <v>268164.62495999999</v>
      </c>
      <c r="H22" s="221">
        <f>G22*1.016</f>
        <v>272455.25895936001</v>
      </c>
      <c r="I22" s="221">
        <f>H22*1.016</f>
        <v>276814.54310270975</v>
      </c>
      <c r="J22" s="267">
        <f>I22*1.016*(1-0.2)</f>
        <v>224994.86063388252</v>
      </c>
      <c r="K22" s="222">
        <f>E22*1.016</f>
        <v>248462.80000000002</v>
      </c>
      <c r="L22" s="221">
        <f>K22*1.016</f>
        <v>252438.20480000001</v>
      </c>
      <c r="M22" s="221">
        <f>L22*1.016</f>
        <v>256477.21607680002</v>
      </c>
      <c r="N22" s="221">
        <f>M22*1.016</f>
        <v>260580.85153402883</v>
      </c>
      <c r="O22" s="267">
        <f>N22*1.016*(1-0.2)</f>
        <v>211800.11612685863</v>
      </c>
      <c r="P22" s="144">
        <v>0</v>
      </c>
      <c r="Q22" s="142">
        <v>0</v>
      </c>
      <c r="R22" s="142">
        <v>0</v>
      </c>
      <c r="S22" s="142">
        <v>0</v>
      </c>
      <c r="T22" s="145">
        <v>0</v>
      </c>
    </row>
    <row r="23" spans="2:20" ht="23.25" thickBot="1" x14ac:dyDescent="0.3">
      <c r="B23" s="205" t="s">
        <v>264</v>
      </c>
      <c r="C23" s="206" t="s">
        <v>24</v>
      </c>
      <c r="D23" s="146" t="s">
        <v>265</v>
      </c>
      <c r="E23" s="147" t="s">
        <v>266</v>
      </c>
      <c r="F23" s="148" t="s">
        <v>267</v>
      </c>
      <c r="G23" s="149" t="s">
        <v>268</v>
      </c>
      <c r="H23" s="149" t="s">
        <v>269</v>
      </c>
      <c r="I23" s="149" t="s">
        <v>270</v>
      </c>
      <c r="J23" s="150" t="s">
        <v>271</v>
      </c>
      <c r="K23" s="151" t="s">
        <v>272</v>
      </c>
      <c r="L23" s="149" t="s">
        <v>273</v>
      </c>
      <c r="M23" s="149" t="s">
        <v>274</v>
      </c>
      <c r="N23" s="149" t="s">
        <v>275</v>
      </c>
      <c r="O23" s="150" t="s">
        <v>276</v>
      </c>
      <c r="P23" s="151" t="s">
        <v>259</v>
      </c>
      <c r="Q23" s="151" t="s">
        <v>259</v>
      </c>
      <c r="R23" s="151" t="s">
        <v>259</v>
      </c>
      <c r="S23" s="151" t="s">
        <v>259</v>
      </c>
      <c r="T23" s="152" t="s">
        <v>259</v>
      </c>
    </row>
    <row r="24" spans="2:20" ht="23.45" customHeight="1" thickBot="1" x14ac:dyDescent="0.3">
      <c r="B24" s="205" t="s">
        <v>25</v>
      </c>
      <c r="C24" s="206" t="s">
        <v>27</v>
      </c>
      <c r="D24" s="146">
        <f>52.8*365</f>
        <v>19272</v>
      </c>
      <c r="E24" s="147">
        <f>59.8*365</f>
        <v>21827</v>
      </c>
      <c r="F24" s="153">
        <f>D24*1.034</f>
        <v>19927.248</v>
      </c>
      <c r="G24" s="154">
        <f>F24*1.034</f>
        <v>20604.774432000002</v>
      </c>
      <c r="H24" s="154">
        <f t="shared" ref="H24:I24" si="10">G24*1.034</f>
        <v>21305.336762688003</v>
      </c>
      <c r="I24" s="154">
        <f t="shared" si="10"/>
        <v>22029.718212619395</v>
      </c>
      <c r="J24" s="155">
        <f>I24*1.034*(1-0.2)</f>
        <v>18222.982905478766</v>
      </c>
      <c r="K24" s="156">
        <f>E24*1.034</f>
        <v>22569.118000000002</v>
      </c>
      <c r="L24" s="154">
        <f>K24*1.034</f>
        <v>23336.468012000001</v>
      </c>
      <c r="M24" s="154">
        <f t="shared" ref="M24:N26" si="11">L24*1.034</f>
        <v>24129.907924408002</v>
      </c>
      <c r="N24" s="154">
        <f t="shared" si="11"/>
        <v>24950.324793837874</v>
      </c>
      <c r="O24" s="155">
        <f>N24*1.034*(1-0.2)</f>
        <v>20638.908669462689</v>
      </c>
      <c r="P24" s="151">
        <v>0</v>
      </c>
      <c r="Q24" s="151">
        <v>0</v>
      </c>
      <c r="R24" s="151">
        <v>0</v>
      </c>
      <c r="S24" s="151">
        <v>0</v>
      </c>
      <c r="T24" s="152">
        <v>0</v>
      </c>
    </row>
    <row r="25" spans="2:20" ht="36" customHeight="1" thickBot="1" x14ac:dyDescent="0.3">
      <c r="B25" s="205" t="s">
        <v>28</v>
      </c>
      <c r="C25" s="207" t="s">
        <v>29</v>
      </c>
      <c r="D25" s="268">
        <v>7791</v>
      </c>
      <c r="E25" s="269">
        <v>21400</v>
      </c>
      <c r="F25" s="270">
        <f>D25*1.006</f>
        <v>7837.7460000000001</v>
      </c>
      <c r="G25" s="271">
        <f>F25*1.006</f>
        <v>7884.7724760000001</v>
      </c>
      <c r="H25" s="271">
        <f t="shared" ref="H25:I25" si="12">G25*1.006</f>
        <v>7932.0811108560001</v>
      </c>
      <c r="I25" s="271">
        <f t="shared" si="12"/>
        <v>7979.6735975211359</v>
      </c>
      <c r="J25" s="271">
        <f>I25*1.006*(1-0.2)</f>
        <v>6422.041311285011</v>
      </c>
      <c r="K25" s="268">
        <f>E25*1.034</f>
        <v>22127.600000000002</v>
      </c>
      <c r="L25" s="271">
        <f>K25*1.034</f>
        <v>22879.938400000003</v>
      </c>
      <c r="M25" s="271">
        <f t="shared" si="11"/>
        <v>23657.856305600002</v>
      </c>
      <c r="N25" s="271">
        <f t="shared" si="11"/>
        <v>24462.223419990401</v>
      </c>
      <c r="O25" s="271">
        <f>N25*1.034*(1-0.2)</f>
        <v>20235.151213016063</v>
      </c>
      <c r="P25" s="157">
        <v>0</v>
      </c>
      <c r="Q25" s="157">
        <v>0</v>
      </c>
      <c r="R25" s="157">
        <v>0</v>
      </c>
      <c r="S25" s="157">
        <v>0</v>
      </c>
      <c r="T25" s="160">
        <v>0</v>
      </c>
    </row>
    <row r="26" spans="2:20" ht="21.6" customHeight="1" x14ac:dyDescent="0.25">
      <c r="B26" s="387" t="s">
        <v>30</v>
      </c>
      <c r="C26" s="208" t="s">
        <v>31</v>
      </c>
      <c r="D26" s="113">
        <v>18250</v>
      </c>
      <c r="E26" s="114">
        <v>120980</v>
      </c>
      <c r="F26" s="115">
        <f>D26*1.035</f>
        <v>18888.75</v>
      </c>
      <c r="G26" s="116">
        <f>F26*1.035</f>
        <v>19549.856249999997</v>
      </c>
      <c r="H26" s="116">
        <f t="shared" ref="H26:I26" si="13">G26*1.035</f>
        <v>20234.101218749995</v>
      </c>
      <c r="I26" s="116">
        <f t="shared" si="13"/>
        <v>20942.294761406243</v>
      </c>
      <c r="J26" s="116">
        <f>I26*1.035*(1-0.1)</f>
        <v>19507.747570249914</v>
      </c>
      <c r="K26" s="113">
        <f>E26*1.034</f>
        <v>125093.32</v>
      </c>
      <c r="L26" s="116">
        <f>K26*1.034</f>
        <v>129346.49288000001</v>
      </c>
      <c r="M26" s="116">
        <f t="shared" si="11"/>
        <v>133744.27363792001</v>
      </c>
      <c r="N26" s="116">
        <f t="shared" si="11"/>
        <v>138291.5789416093</v>
      </c>
      <c r="O26" s="116">
        <f>N26*1.034*(1-0.1)</f>
        <v>128694.14336306162</v>
      </c>
      <c r="P26" s="117">
        <v>0</v>
      </c>
      <c r="Q26" s="117">
        <v>0</v>
      </c>
      <c r="R26" s="117">
        <v>0</v>
      </c>
      <c r="S26" s="117">
        <v>0</v>
      </c>
      <c r="T26" s="117">
        <v>0</v>
      </c>
    </row>
    <row r="27" spans="2:20" ht="33.75" x14ac:dyDescent="0.25">
      <c r="B27" s="384"/>
      <c r="C27" s="209" t="s">
        <v>33</v>
      </c>
      <c r="D27" s="97">
        <v>43222</v>
      </c>
      <c r="E27" s="98">
        <v>226126</v>
      </c>
      <c r="F27" s="125">
        <f t="shared" ref="F27:F28" si="14">D27*1.035</f>
        <v>44734.77</v>
      </c>
      <c r="G27" s="126">
        <f t="shared" ref="G27:I27" si="15">F27*1.035</f>
        <v>46300.486949999991</v>
      </c>
      <c r="H27" s="126">
        <f t="shared" si="15"/>
        <v>47921.003993249986</v>
      </c>
      <c r="I27" s="126">
        <f t="shared" si="15"/>
        <v>49598.239133013732</v>
      </c>
      <c r="J27" s="126">
        <f>I27*1.035</f>
        <v>51334.177502669212</v>
      </c>
      <c r="K27" s="97">
        <f t="shared" ref="K27:K28" si="16">E27*1.034</f>
        <v>233814.28400000001</v>
      </c>
      <c r="L27" s="126">
        <f t="shared" ref="L27:N27" si="17">K27*1.034</f>
        <v>241763.96965600003</v>
      </c>
      <c r="M27" s="126">
        <f t="shared" si="17"/>
        <v>249983.94462430404</v>
      </c>
      <c r="N27" s="126">
        <f t="shared" si="17"/>
        <v>258483.3987415304</v>
      </c>
      <c r="O27" s="126">
        <f t="shared" ref="O27" si="18">N27*1.034*(1-0.1)</f>
        <v>240544.65086886822</v>
      </c>
      <c r="P27" s="127">
        <v>0</v>
      </c>
      <c r="Q27" s="127">
        <v>0</v>
      </c>
      <c r="R27" s="127">
        <v>0</v>
      </c>
      <c r="S27" s="127">
        <v>0</v>
      </c>
      <c r="T27" s="127">
        <v>0</v>
      </c>
    </row>
    <row r="28" spans="2:20" ht="39.6" customHeight="1" x14ac:dyDescent="0.25">
      <c r="B28" s="384"/>
      <c r="C28" s="209" t="s">
        <v>34</v>
      </c>
      <c r="D28" s="97">
        <v>4188</v>
      </c>
      <c r="E28" s="98">
        <v>5049</v>
      </c>
      <c r="F28" s="125">
        <f t="shared" si="14"/>
        <v>4334.58</v>
      </c>
      <c r="G28" s="126">
        <f t="shared" ref="G28:I29" si="19">F28*1.035</f>
        <v>4486.2902999999997</v>
      </c>
      <c r="H28" s="126">
        <f t="shared" si="19"/>
        <v>4643.310460499999</v>
      </c>
      <c r="I28" s="126">
        <f t="shared" si="19"/>
        <v>4805.8263266174981</v>
      </c>
      <c r="J28" s="126">
        <f>I28*1.035</f>
        <v>4974.03024804911</v>
      </c>
      <c r="K28" s="97">
        <f t="shared" si="16"/>
        <v>5220.6660000000002</v>
      </c>
      <c r="L28" s="126">
        <f t="shared" ref="L28:N29" si="20">K28*1.034</f>
        <v>5398.1686440000003</v>
      </c>
      <c r="M28" s="126">
        <f t="shared" si="20"/>
        <v>5581.706377896</v>
      </c>
      <c r="N28" s="126">
        <f t="shared" si="20"/>
        <v>5771.4843947444642</v>
      </c>
      <c r="O28" s="126">
        <f>N28*1.034</f>
        <v>5967.7148641657759</v>
      </c>
      <c r="P28" s="127">
        <v>0</v>
      </c>
      <c r="Q28" s="127">
        <v>0</v>
      </c>
      <c r="R28" s="127">
        <v>0</v>
      </c>
      <c r="S28" s="127">
        <v>0</v>
      </c>
      <c r="T28" s="127">
        <v>0</v>
      </c>
    </row>
    <row r="29" spans="2:20" ht="41.45" customHeight="1" x14ac:dyDescent="0.25">
      <c r="B29" s="384"/>
      <c r="C29" s="209" t="s">
        <v>281</v>
      </c>
      <c r="D29" s="123">
        <v>288</v>
      </c>
      <c r="E29" s="124">
        <v>1234</v>
      </c>
      <c r="F29" s="48">
        <f t="shared" ref="F29" si="21">D29*1.035</f>
        <v>298.08</v>
      </c>
      <c r="G29" s="163">
        <f t="shared" si="19"/>
        <v>308.51279999999997</v>
      </c>
      <c r="H29" s="163">
        <f t="shared" si="19"/>
        <v>319.31074799999993</v>
      </c>
      <c r="I29" s="163">
        <f t="shared" si="19"/>
        <v>330.48662417999992</v>
      </c>
      <c r="J29" s="163">
        <f>I29*1.035</f>
        <v>342.0536560262999</v>
      </c>
      <c r="K29" s="164">
        <f t="shared" ref="K29" si="22">E29*1.034</f>
        <v>1275.9560000000001</v>
      </c>
      <c r="L29" s="163">
        <f t="shared" si="20"/>
        <v>1319.3385040000003</v>
      </c>
      <c r="M29" s="163">
        <f t="shared" si="20"/>
        <v>1364.1960131360004</v>
      </c>
      <c r="N29" s="163">
        <f t="shared" si="20"/>
        <v>1410.5786775826243</v>
      </c>
      <c r="O29" s="163">
        <f>N29*1.034</f>
        <v>1458.5383526204337</v>
      </c>
      <c r="P29" s="127">
        <v>0</v>
      </c>
      <c r="Q29" s="127">
        <v>0</v>
      </c>
      <c r="R29" s="127">
        <v>0</v>
      </c>
      <c r="S29" s="127">
        <v>0</v>
      </c>
      <c r="T29" s="127">
        <v>0</v>
      </c>
    </row>
    <row r="30" spans="2:20" ht="15.75" thickBot="1" x14ac:dyDescent="0.3">
      <c r="B30" s="384"/>
      <c r="C30" s="210" t="s">
        <v>280</v>
      </c>
      <c r="D30" s="132">
        <f>347*365</f>
        <v>126655</v>
      </c>
      <c r="E30" s="272">
        <f>265*365</f>
        <v>96725</v>
      </c>
      <c r="F30" s="130">
        <f>D30*1.02</f>
        <v>129188.1</v>
      </c>
      <c r="G30" s="131">
        <f>F30*1.02035</f>
        <v>131817.077835</v>
      </c>
      <c r="H30" s="131">
        <f t="shared" ref="H30:I34" si="23">G30*1.02035</f>
        <v>134499.55536894227</v>
      </c>
      <c r="I30" s="131">
        <f t="shared" si="23"/>
        <v>137236.62132070024</v>
      </c>
      <c r="J30" s="131">
        <f>I30*1.02035*(1-0.8)</f>
        <v>28005.877312915294</v>
      </c>
      <c r="K30" s="132">
        <f>E30*1.02</f>
        <v>98659.5</v>
      </c>
      <c r="L30" s="131">
        <f>K30*1.02</f>
        <v>100632.69</v>
      </c>
      <c r="M30" s="131">
        <f t="shared" ref="M30:O36" si="24">L30*1.02</f>
        <v>102645.3438</v>
      </c>
      <c r="N30" s="131">
        <f t="shared" si="24"/>
        <v>104698.25067600001</v>
      </c>
      <c r="O30" s="131">
        <f>N30*1.02*(1-0.8)</f>
        <v>21358.443137904</v>
      </c>
      <c r="P30" s="133">
        <v>0</v>
      </c>
      <c r="Q30" s="133">
        <v>0</v>
      </c>
      <c r="R30" s="133">
        <v>0</v>
      </c>
      <c r="S30" s="133">
        <v>0</v>
      </c>
      <c r="T30" s="133">
        <v>0</v>
      </c>
    </row>
    <row r="31" spans="2:20" ht="15.75" thickBot="1" x14ac:dyDescent="0.3">
      <c r="B31" s="366" t="s">
        <v>286</v>
      </c>
      <c r="C31" s="367"/>
      <c r="D31" s="111">
        <f>SUM(D26:D30)</f>
        <v>192603</v>
      </c>
      <c r="E31" s="165">
        <f>SUM(E26:E30)</f>
        <v>450114</v>
      </c>
      <c r="F31" s="166"/>
      <c r="G31" s="167"/>
      <c r="H31" s="167"/>
      <c r="I31" s="167"/>
      <c r="J31" s="168">
        <f>SUM(J26:J30)</f>
        <v>104163.88628990983</v>
      </c>
      <c r="K31" s="169"/>
      <c r="L31" s="167"/>
      <c r="M31" s="167"/>
      <c r="N31" s="167"/>
      <c r="O31" s="168">
        <f>SUM(O26:O30)</f>
        <v>398023.49058662</v>
      </c>
      <c r="P31" s="138"/>
      <c r="Q31" s="138"/>
      <c r="R31" s="138"/>
      <c r="S31" s="138"/>
      <c r="T31" s="170"/>
    </row>
    <row r="32" spans="2:20" ht="22.5" x14ac:dyDescent="0.25">
      <c r="B32" s="211" t="s">
        <v>35</v>
      </c>
      <c r="C32" s="208" t="s">
        <v>36</v>
      </c>
      <c r="D32" s="113">
        <v>10643</v>
      </c>
      <c r="E32" s="114">
        <v>8855</v>
      </c>
      <c r="F32" s="115">
        <f>D32*1.02</f>
        <v>10855.86</v>
      </c>
      <c r="G32" s="116">
        <f>F32*1.02035</f>
        <v>11076.776751000001</v>
      </c>
      <c r="H32" s="116">
        <f t="shared" si="23"/>
        <v>11302.189157882853</v>
      </c>
      <c r="I32" s="116">
        <f t="shared" si="23"/>
        <v>11532.18870724577</v>
      </c>
      <c r="J32" s="116">
        <f>I32*1.02035</f>
        <v>11766.868747438222</v>
      </c>
      <c r="K32" s="113">
        <f>E32*1.02</f>
        <v>9032.1</v>
      </c>
      <c r="L32" s="116">
        <f>K32*1.02</f>
        <v>9212.7420000000002</v>
      </c>
      <c r="M32" s="116">
        <f t="shared" si="24"/>
        <v>9396.9968399999998</v>
      </c>
      <c r="N32" s="116">
        <f t="shared" si="24"/>
        <v>9584.9367767999993</v>
      </c>
      <c r="O32" s="116">
        <f>N32*1.02</f>
        <v>9776.635512335999</v>
      </c>
      <c r="P32" s="117">
        <v>0</v>
      </c>
      <c r="Q32" s="117">
        <v>0</v>
      </c>
      <c r="R32" s="117">
        <v>0</v>
      </c>
      <c r="S32" s="117">
        <v>0</v>
      </c>
      <c r="T32" s="117">
        <v>0</v>
      </c>
    </row>
    <row r="33" spans="2:20" ht="22.5" x14ac:dyDescent="0.25">
      <c r="B33" s="386" t="s">
        <v>37</v>
      </c>
      <c r="C33" s="198" t="s">
        <v>38</v>
      </c>
      <c r="D33" s="97">
        <f>134.4*365</f>
        <v>49056</v>
      </c>
      <c r="E33" s="98">
        <f>148.2*365</f>
        <v>54092.999999999993</v>
      </c>
      <c r="F33" s="125">
        <f>D33*1.02</f>
        <v>50037.120000000003</v>
      </c>
      <c r="G33" s="126">
        <f>F33*1.02035</f>
        <v>51055.375392000009</v>
      </c>
      <c r="H33" s="126">
        <f t="shared" si="23"/>
        <v>52094.352281227213</v>
      </c>
      <c r="I33" s="126">
        <f t="shared" si="23"/>
        <v>53154.472350150194</v>
      </c>
      <c r="J33" s="126">
        <f>I33*1.02035*(1-0.8)</f>
        <v>10847.233172495149</v>
      </c>
      <c r="K33" s="97">
        <f>E33*1.02</f>
        <v>55174.859999999993</v>
      </c>
      <c r="L33" s="126">
        <f>K33*1.02</f>
        <v>56278.357199999991</v>
      </c>
      <c r="M33" s="126">
        <f t="shared" si="24"/>
        <v>57403.924343999992</v>
      </c>
      <c r="N33" s="126">
        <f t="shared" si="24"/>
        <v>58552.002830879996</v>
      </c>
      <c r="O33" s="126">
        <f>N33*1.02*(1-0.8)</f>
        <v>11944.608577499517</v>
      </c>
      <c r="P33" s="127">
        <v>0</v>
      </c>
      <c r="Q33" s="127">
        <v>0</v>
      </c>
      <c r="R33" s="127">
        <v>0</v>
      </c>
      <c r="S33" s="127">
        <v>0</v>
      </c>
      <c r="T33" s="127">
        <v>0</v>
      </c>
    </row>
    <row r="34" spans="2:20" ht="39" customHeight="1" thickBot="1" x14ac:dyDescent="0.3">
      <c r="B34" s="385"/>
      <c r="C34" s="202" t="s">
        <v>39</v>
      </c>
      <c r="D34" s="132">
        <v>1180</v>
      </c>
      <c r="E34" s="272">
        <v>1608</v>
      </c>
      <c r="F34" s="130">
        <f>D34*1.02</f>
        <v>1203.5999999999999</v>
      </c>
      <c r="G34" s="131">
        <f>F34*1.02035</f>
        <v>1228.0932600000001</v>
      </c>
      <c r="H34" s="131">
        <f t="shared" si="23"/>
        <v>1253.0849578410002</v>
      </c>
      <c r="I34" s="131">
        <f t="shared" si="23"/>
        <v>1278.5852367330647</v>
      </c>
      <c r="J34" s="131">
        <f>I34*1.02</f>
        <v>1304.156941467726</v>
      </c>
      <c r="K34" s="132">
        <f>E34*1.02</f>
        <v>1640.16</v>
      </c>
      <c r="L34" s="131">
        <f>K34*1.02</f>
        <v>1672.9632000000001</v>
      </c>
      <c r="M34" s="131">
        <f t="shared" si="24"/>
        <v>1706.4224640000002</v>
      </c>
      <c r="N34" s="131">
        <f t="shared" si="24"/>
        <v>1740.5509132800003</v>
      </c>
      <c r="O34" s="131">
        <f>N34*1.02</f>
        <v>1775.3619315456003</v>
      </c>
      <c r="P34" s="133">
        <v>0</v>
      </c>
      <c r="Q34" s="133">
        <v>0</v>
      </c>
      <c r="R34" s="133">
        <v>0</v>
      </c>
      <c r="S34" s="133">
        <v>0</v>
      </c>
      <c r="T34" s="133">
        <v>0</v>
      </c>
    </row>
    <row r="35" spans="2:20" ht="18" customHeight="1" thickBot="1" x14ac:dyDescent="0.3">
      <c r="B35" s="389" t="s">
        <v>287</v>
      </c>
      <c r="C35" s="390"/>
      <c r="D35" s="106">
        <f>SUM(D32:D34)</f>
        <v>60879</v>
      </c>
      <c r="E35" s="107">
        <f>SUM(E32:E34)</f>
        <v>64555.999999999993</v>
      </c>
      <c r="F35" s="166"/>
      <c r="G35" s="167"/>
      <c r="H35" s="167"/>
      <c r="I35" s="167"/>
      <c r="J35" s="168">
        <f>SUM(J32:J34)</f>
        <v>23918.258861401097</v>
      </c>
      <c r="K35" s="169"/>
      <c r="L35" s="167"/>
      <c r="M35" s="167"/>
      <c r="N35" s="167"/>
      <c r="O35" s="168">
        <f>SUM(O32:O34)</f>
        <v>23496.606021381118</v>
      </c>
      <c r="P35" s="138"/>
      <c r="Q35" s="138"/>
      <c r="R35" s="138"/>
      <c r="S35" s="138"/>
      <c r="T35" s="170"/>
    </row>
    <row r="36" spans="2:20" x14ac:dyDescent="0.25">
      <c r="B36" s="385" t="s">
        <v>40</v>
      </c>
      <c r="C36" s="200" t="s">
        <v>41</v>
      </c>
      <c r="D36" s="115">
        <f>249.6*365</f>
        <v>91104</v>
      </c>
      <c r="E36" s="114">
        <f>471.7*365</f>
        <v>172170.5</v>
      </c>
      <c r="F36" s="273">
        <f>D36*1.012</f>
        <v>92197.248000000007</v>
      </c>
      <c r="G36" s="116">
        <f>D36*1.012</f>
        <v>92197.248000000007</v>
      </c>
      <c r="H36" s="116">
        <f>G36*1.012</f>
        <v>93303.614976000012</v>
      </c>
      <c r="I36" s="116">
        <f>H36*1.012</f>
        <v>94423.258355712009</v>
      </c>
      <c r="J36" s="116">
        <f>I36*1.012*(1-0.85)</f>
        <v>14333.450618397084</v>
      </c>
      <c r="K36" s="113">
        <f>E36*1.012</f>
        <v>174236.546</v>
      </c>
      <c r="L36" s="116">
        <f>K36*1.02</f>
        <v>177721.27692</v>
      </c>
      <c r="M36" s="116">
        <f t="shared" si="24"/>
        <v>181275.70245840002</v>
      </c>
      <c r="N36" s="116">
        <f t="shared" si="24"/>
        <v>184901.21650756802</v>
      </c>
      <c r="O36" s="116">
        <f t="shared" si="24"/>
        <v>188599.24083771938</v>
      </c>
      <c r="P36" s="117">
        <v>0</v>
      </c>
      <c r="Q36" s="117">
        <v>0</v>
      </c>
      <c r="R36" s="117">
        <v>0</v>
      </c>
      <c r="S36" s="117">
        <v>0</v>
      </c>
      <c r="T36" s="117">
        <v>0</v>
      </c>
    </row>
    <row r="37" spans="2:20" ht="23.25" thickBot="1" x14ac:dyDescent="0.3">
      <c r="B37" s="385"/>
      <c r="C37" s="202" t="s">
        <v>42</v>
      </c>
      <c r="D37" s="132">
        <f>56.2*365</f>
        <v>20513</v>
      </c>
      <c r="E37" s="272">
        <f>92.7*365</f>
        <v>33835.5</v>
      </c>
      <c r="F37" s="273">
        <f>D37*1.012</f>
        <v>20759.155999999999</v>
      </c>
      <c r="G37" s="131">
        <f>D37*1.012</f>
        <v>20759.155999999999</v>
      </c>
      <c r="H37" s="131">
        <f>G37*1.012</f>
        <v>21008.265872</v>
      </c>
      <c r="I37" s="131">
        <f>H37*1.012</f>
        <v>21260.365062463999</v>
      </c>
      <c r="J37" s="131">
        <f>I37*1.012*(1-0.05)</f>
        <v>20439.714971052887</v>
      </c>
      <c r="K37" s="132">
        <f>E37*1.012</f>
        <v>34241.525999999998</v>
      </c>
      <c r="L37" s="131">
        <f>K37*1.012</f>
        <v>34652.424311999996</v>
      </c>
      <c r="M37" s="131">
        <f>L37*1.012</f>
        <v>35068.253403743998</v>
      </c>
      <c r="N37" s="131">
        <f>M37*1.012</f>
        <v>35489.072444588928</v>
      </c>
      <c r="O37" s="131">
        <f>N37*1.012*(1-0.05)</f>
        <v>34119.194248227795</v>
      </c>
      <c r="P37" s="133">
        <v>0</v>
      </c>
      <c r="Q37" s="133">
        <v>0</v>
      </c>
      <c r="R37" s="133">
        <v>0</v>
      </c>
      <c r="S37" s="133">
        <v>0</v>
      </c>
      <c r="T37" s="133">
        <v>0</v>
      </c>
    </row>
    <row r="38" spans="2:20" ht="15.75" thickBot="1" x14ac:dyDescent="0.3">
      <c r="B38" s="389" t="s">
        <v>288</v>
      </c>
      <c r="C38" s="390"/>
      <c r="D38" s="111">
        <f>SUM(D36:D37)</f>
        <v>111617</v>
      </c>
      <c r="E38" s="173">
        <f>SUM(E36:E37)</f>
        <v>206006</v>
      </c>
      <c r="F38" s="166"/>
      <c r="G38" s="139"/>
      <c r="H38" s="167"/>
      <c r="I38" s="167"/>
      <c r="J38" s="168">
        <f>SUM(J36:J37)</f>
        <v>34773.165589449971</v>
      </c>
      <c r="K38" s="138"/>
      <c r="L38" s="139"/>
      <c r="M38" s="139"/>
      <c r="N38" s="139"/>
      <c r="O38" s="168">
        <f>SUM(O36:O37)</f>
        <v>222718.43508594716</v>
      </c>
      <c r="P38" s="138"/>
      <c r="Q38" s="138"/>
      <c r="R38" s="138"/>
      <c r="S38" s="138"/>
      <c r="T38" s="170"/>
    </row>
    <row r="39" spans="2:20" ht="22.5" x14ac:dyDescent="0.25">
      <c r="B39" s="385" t="s">
        <v>43</v>
      </c>
      <c r="C39" s="200" t="s">
        <v>44</v>
      </c>
      <c r="D39" s="113">
        <f>244.8*365</f>
        <v>89352</v>
      </c>
      <c r="E39" s="114">
        <f>324.4*365</f>
        <v>118405.99999999999</v>
      </c>
      <c r="F39" s="115">
        <f>D39*1.035</f>
        <v>92479.319999999992</v>
      </c>
      <c r="G39" s="116">
        <f>F39*1.035</f>
        <v>95716.096199999985</v>
      </c>
      <c r="H39" s="116">
        <f t="shared" ref="H39:I42" si="25">G39*1.035</f>
        <v>99066.159566999981</v>
      </c>
      <c r="I39" s="116">
        <f t="shared" si="25"/>
        <v>102533.47515184498</v>
      </c>
      <c r="J39" s="116">
        <f>I39*1.035*(1-0.8)</f>
        <v>21224.429356431905</v>
      </c>
      <c r="K39" s="113">
        <f>E39*1.035</f>
        <v>122550.20999999998</v>
      </c>
      <c r="L39" s="116">
        <f>K39*1.035</f>
        <v>126839.46734999996</v>
      </c>
      <c r="M39" s="116">
        <f t="shared" ref="M39:N42" si="26">L39*1.035</f>
        <v>131278.84870724994</v>
      </c>
      <c r="N39" s="116">
        <f t="shared" si="26"/>
        <v>135873.60841200367</v>
      </c>
      <c r="O39" s="116">
        <f>N39*1.035*(1-0.8)</f>
        <v>28125.83694128475</v>
      </c>
      <c r="P39" s="117">
        <v>0</v>
      </c>
      <c r="Q39" s="117">
        <v>0</v>
      </c>
      <c r="R39" s="117">
        <v>0</v>
      </c>
      <c r="S39" s="117">
        <v>0</v>
      </c>
      <c r="T39" s="117">
        <v>0</v>
      </c>
    </row>
    <row r="40" spans="2:20" ht="32.450000000000003" customHeight="1" x14ac:dyDescent="0.25">
      <c r="B40" s="385"/>
      <c r="C40" s="198" t="s">
        <v>45</v>
      </c>
      <c r="D40" s="97">
        <v>861</v>
      </c>
      <c r="E40" s="98">
        <v>2016</v>
      </c>
      <c r="F40" s="125">
        <f>D40*1.035</f>
        <v>891.13499999999988</v>
      </c>
      <c r="G40" s="126">
        <f>F40*1.035</f>
        <v>922.32472499999983</v>
      </c>
      <c r="H40" s="126">
        <f t="shared" si="25"/>
        <v>954.60609037499978</v>
      </c>
      <c r="I40" s="126">
        <f t="shared" si="25"/>
        <v>988.01730353812468</v>
      </c>
      <c r="J40" s="126">
        <f>I40*1.035</f>
        <v>1022.5979091619589</v>
      </c>
      <c r="K40" s="97">
        <f>E40*1.035</f>
        <v>2086.56</v>
      </c>
      <c r="L40" s="126">
        <f>K40*1.035</f>
        <v>2159.5895999999998</v>
      </c>
      <c r="M40" s="126">
        <f t="shared" si="26"/>
        <v>2235.1752359999996</v>
      </c>
      <c r="N40" s="126">
        <f t="shared" si="26"/>
        <v>2313.4063692599993</v>
      </c>
      <c r="O40" s="126">
        <f>N40*1.035</f>
        <v>2394.3755921840993</v>
      </c>
      <c r="P40" s="127">
        <v>0</v>
      </c>
      <c r="Q40" s="127">
        <v>0</v>
      </c>
      <c r="R40" s="127">
        <v>0</v>
      </c>
      <c r="S40" s="127">
        <v>0</v>
      </c>
      <c r="T40" s="127">
        <v>0</v>
      </c>
    </row>
    <row r="41" spans="2:20" ht="38.450000000000003" customHeight="1" x14ac:dyDescent="0.25">
      <c r="B41" s="385"/>
      <c r="C41" s="198" t="s">
        <v>46</v>
      </c>
      <c r="D41" s="97">
        <v>28013</v>
      </c>
      <c r="E41" s="98">
        <v>42020</v>
      </c>
      <c r="F41" s="125">
        <f>D41*1.035</f>
        <v>28993.454999999998</v>
      </c>
      <c r="G41" s="126">
        <f>F41*1.035</f>
        <v>30008.225924999995</v>
      </c>
      <c r="H41" s="126">
        <f t="shared" si="25"/>
        <v>31058.513832374992</v>
      </c>
      <c r="I41" s="126">
        <f t="shared" si="25"/>
        <v>32145.561816508114</v>
      </c>
      <c r="J41" s="126">
        <f>I41*1.035</f>
        <v>33270.656480085898</v>
      </c>
      <c r="K41" s="97">
        <f>E41*1.035</f>
        <v>43490.7</v>
      </c>
      <c r="L41" s="126">
        <f>K41*1.035</f>
        <v>45012.874499999991</v>
      </c>
      <c r="M41" s="126">
        <f t="shared" si="26"/>
        <v>46588.325107499986</v>
      </c>
      <c r="N41" s="126">
        <f t="shared" si="26"/>
        <v>48218.916486262482</v>
      </c>
      <c r="O41" s="126">
        <f>N41*1.035</f>
        <v>49906.578563281662</v>
      </c>
      <c r="P41" s="127">
        <v>0</v>
      </c>
      <c r="Q41" s="127">
        <v>0</v>
      </c>
      <c r="R41" s="127">
        <v>0</v>
      </c>
      <c r="S41" s="127">
        <v>0</v>
      </c>
      <c r="T41" s="127">
        <v>0</v>
      </c>
    </row>
    <row r="42" spans="2:20" ht="37.15" customHeight="1" thickBot="1" x14ac:dyDescent="0.3">
      <c r="B42" s="385"/>
      <c r="C42" s="202" t="s">
        <v>47</v>
      </c>
      <c r="D42" s="132">
        <v>24074</v>
      </c>
      <c r="E42" s="272">
        <v>7390</v>
      </c>
      <c r="F42" s="130">
        <f>D42*1.035</f>
        <v>24916.589999999997</v>
      </c>
      <c r="G42" s="131">
        <f>F42*1.035</f>
        <v>25788.670649999993</v>
      </c>
      <c r="H42" s="131">
        <f t="shared" si="25"/>
        <v>26691.27412274999</v>
      </c>
      <c r="I42" s="131">
        <f t="shared" si="25"/>
        <v>27625.468717046238</v>
      </c>
      <c r="J42" s="131">
        <f>I42*1.035</f>
        <v>28592.360122142854</v>
      </c>
      <c r="K42" s="132">
        <f>E42*1.035</f>
        <v>7648.65</v>
      </c>
      <c r="L42" s="131">
        <f>K42*1.035</f>
        <v>7916.3527499999991</v>
      </c>
      <c r="M42" s="131">
        <f t="shared" si="26"/>
        <v>8193.4250962499991</v>
      </c>
      <c r="N42" s="131">
        <f t="shared" si="26"/>
        <v>8480.1949746187493</v>
      </c>
      <c r="O42" s="131">
        <f>N42*1.035</f>
        <v>8777.0017987304054</v>
      </c>
      <c r="P42" s="133">
        <v>0</v>
      </c>
      <c r="Q42" s="133">
        <v>0</v>
      </c>
      <c r="R42" s="133">
        <v>0</v>
      </c>
      <c r="S42" s="133">
        <v>0</v>
      </c>
      <c r="T42" s="133">
        <v>0</v>
      </c>
    </row>
    <row r="43" spans="2:20" ht="15.75" thickBot="1" x14ac:dyDescent="0.3">
      <c r="B43" s="389" t="s">
        <v>289</v>
      </c>
      <c r="C43" s="390"/>
      <c r="D43" s="106">
        <f>SUM(D39:D42)</f>
        <v>142300</v>
      </c>
      <c r="E43" s="107">
        <f>SUM(E39:E42)</f>
        <v>169832</v>
      </c>
      <c r="F43" s="174"/>
      <c r="G43" s="139"/>
      <c r="H43" s="139"/>
      <c r="I43" s="139"/>
      <c r="J43" s="168">
        <f>SUM(J39:J42)</f>
        <v>84110.04386782262</v>
      </c>
      <c r="K43" s="138"/>
      <c r="L43" s="139"/>
      <c r="M43" s="139"/>
      <c r="N43" s="139"/>
      <c r="O43" s="168">
        <f>SUM(O39:O42)</f>
        <v>89203.792895480918</v>
      </c>
      <c r="P43" s="138"/>
      <c r="Q43" s="138"/>
      <c r="R43" s="138"/>
      <c r="S43" s="138"/>
      <c r="T43" s="170"/>
    </row>
    <row r="44" spans="2:20" ht="23.25" thickBot="1" x14ac:dyDescent="0.3">
      <c r="B44" s="207" t="s">
        <v>48</v>
      </c>
      <c r="C44" s="207" t="s">
        <v>49</v>
      </c>
      <c r="D44" s="103">
        <f>342.6*365</f>
        <v>125049.00000000001</v>
      </c>
      <c r="E44" s="274">
        <f>297*365</f>
        <v>108405</v>
      </c>
      <c r="F44" s="101">
        <f>D44*1.006</f>
        <v>125799.29400000001</v>
      </c>
      <c r="G44" s="102">
        <f>F44*1.006</f>
        <v>126554.089764</v>
      </c>
      <c r="H44" s="102">
        <f>G44*1.006</f>
        <v>127313.414302584</v>
      </c>
      <c r="I44" s="102">
        <f>H44*1.006</f>
        <v>128077.29478839951</v>
      </c>
      <c r="J44" s="102">
        <f>I44*1.006*(1-0.5)</f>
        <v>64422.879278564949</v>
      </c>
      <c r="K44" s="103">
        <f>E44*1.006</f>
        <v>109055.43000000001</v>
      </c>
      <c r="L44" s="102">
        <f>K44*1.006</f>
        <v>109709.76258000001</v>
      </c>
      <c r="M44" s="102">
        <f>L44*1.006</f>
        <v>110368.02115548</v>
      </c>
      <c r="N44" s="102">
        <f t="shared" ref="N44" si="27">M44*1.006</f>
        <v>111030.22928241288</v>
      </c>
      <c r="O44" s="102">
        <f>N44*1.006*(1-0.5)</f>
        <v>55848.205329053679</v>
      </c>
      <c r="P44" s="104" t="s">
        <v>259</v>
      </c>
      <c r="Q44" s="104" t="s">
        <v>259</v>
      </c>
      <c r="R44" s="104" t="s">
        <v>259</v>
      </c>
      <c r="S44" s="104" t="s">
        <v>259</v>
      </c>
      <c r="T44" s="105" t="s">
        <v>259</v>
      </c>
    </row>
    <row r="45" spans="2:20" ht="22.5" x14ac:dyDescent="0.25">
      <c r="B45" s="384" t="s">
        <v>50</v>
      </c>
      <c r="C45" s="200" t="s">
        <v>51</v>
      </c>
      <c r="D45" s="113">
        <f>27*55.2*0.0864*365</f>
        <v>47001.254400000005</v>
      </c>
      <c r="E45" s="113">
        <f>27*47.9*0.0864*365</f>
        <v>40785.508799999996</v>
      </c>
      <c r="F45" s="115">
        <f>D45*1.032</f>
        <v>48505.294540800009</v>
      </c>
      <c r="G45" s="116">
        <f>F45*1.032</f>
        <v>50057.463966105614</v>
      </c>
      <c r="H45" s="116">
        <f t="shared" ref="H45:I46" si="28">G45*1.032</f>
        <v>51659.302813020993</v>
      </c>
      <c r="I45" s="116">
        <f t="shared" si="28"/>
        <v>53312.400503037665</v>
      </c>
      <c r="J45" s="116">
        <f>I45*1.032*(1-0.5)</f>
        <v>27509.198659567435</v>
      </c>
      <c r="K45" s="113">
        <f>E45*1.035</f>
        <v>42213.001607999991</v>
      </c>
      <c r="L45" s="116">
        <f>K45*1.032</f>
        <v>43563.817659455992</v>
      </c>
      <c r="M45" s="116">
        <f>L45*1.032</f>
        <v>44957.859824558582</v>
      </c>
      <c r="N45" s="116">
        <f>M45*1.032</f>
        <v>46396.51133894446</v>
      </c>
      <c r="O45" s="116">
        <f>N45*1.032*(1-0.5)</f>
        <v>23940.599850895342</v>
      </c>
      <c r="P45" s="117">
        <v>0</v>
      </c>
      <c r="Q45" s="117">
        <v>0</v>
      </c>
      <c r="R45" s="117">
        <v>0</v>
      </c>
      <c r="S45" s="117">
        <v>0</v>
      </c>
      <c r="T45" s="117">
        <v>0</v>
      </c>
    </row>
    <row r="46" spans="2:20" ht="45" customHeight="1" thickBot="1" x14ac:dyDescent="0.3">
      <c r="B46" s="384"/>
      <c r="C46" s="202" t="s">
        <v>52</v>
      </c>
      <c r="D46" s="132">
        <v>47823</v>
      </c>
      <c r="E46" s="272">
        <v>54344</v>
      </c>
      <c r="F46" s="130">
        <f>D46*1.032</f>
        <v>49353.336000000003</v>
      </c>
      <c r="G46" s="131">
        <f>F46*1.032</f>
        <v>50932.642752000007</v>
      </c>
      <c r="H46" s="131">
        <f t="shared" si="28"/>
        <v>52562.487320064007</v>
      </c>
      <c r="I46" s="131">
        <f t="shared" si="28"/>
        <v>54244.486914306057</v>
      </c>
      <c r="J46" s="131">
        <f>I46*1.032*(1-0.3)</f>
        <v>39186.217346894693</v>
      </c>
      <c r="K46" s="132">
        <f>E46*1.032</f>
        <v>56083.008000000002</v>
      </c>
      <c r="L46" s="131">
        <f>K46*1.035</f>
        <v>58045.913280000001</v>
      </c>
      <c r="M46" s="131">
        <f t="shared" ref="M46:N46" si="29">L46*1.035</f>
        <v>60077.520244799998</v>
      </c>
      <c r="N46" s="131">
        <f t="shared" si="29"/>
        <v>62180.233453367997</v>
      </c>
      <c r="O46" s="131">
        <f>N46*1.032*(1-0.3)</f>
        <v>44919.000646713044</v>
      </c>
      <c r="P46" s="133">
        <v>0</v>
      </c>
      <c r="Q46" s="133">
        <v>0</v>
      </c>
      <c r="R46" s="133">
        <v>0</v>
      </c>
      <c r="S46" s="133">
        <v>0</v>
      </c>
      <c r="T46" s="133">
        <v>0</v>
      </c>
    </row>
    <row r="47" spans="2:20" ht="19.149999999999999" customHeight="1" thickBot="1" x14ac:dyDescent="0.3">
      <c r="B47" s="366" t="s">
        <v>290</v>
      </c>
      <c r="C47" s="367"/>
      <c r="D47" s="106">
        <f>SUM(D45:D46)</f>
        <v>94824.254400000005</v>
      </c>
      <c r="E47" s="107">
        <f>SUM(E45:E46)</f>
        <v>95129.508799999996</v>
      </c>
      <c r="F47" s="166"/>
      <c r="G47" s="139"/>
      <c r="H47" s="139"/>
      <c r="I47" s="139"/>
      <c r="J47" s="176">
        <f>SUM(J45:J46)</f>
        <v>66695.416006462125</v>
      </c>
      <c r="K47" s="169"/>
      <c r="L47" s="167"/>
      <c r="M47" s="167"/>
      <c r="N47" s="167"/>
      <c r="O47" s="176">
        <f>SUM(O45:O46)</f>
        <v>68859.600497608393</v>
      </c>
      <c r="P47" s="138"/>
      <c r="Q47" s="138"/>
      <c r="R47" s="138"/>
      <c r="S47" s="138"/>
      <c r="T47" s="170"/>
    </row>
    <row r="48" spans="2:20" ht="22.5" x14ac:dyDescent="0.25">
      <c r="B48" s="385" t="s">
        <v>53</v>
      </c>
      <c r="C48" s="200" t="s">
        <v>54</v>
      </c>
      <c r="D48" s="113">
        <v>77728</v>
      </c>
      <c r="E48" s="114">
        <v>120839</v>
      </c>
      <c r="F48" s="115">
        <f>D48*1.006</f>
        <v>78194.368000000002</v>
      </c>
      <c r="G48" s="116">
        <f>F48*1.006</f>
        <v>78663.534207999997</v>
      </c>
      <c r="H48" s="116">
        <f t="shared" ref="H48:I48" si="30">G48*1.006</f>
        <v>79135.515413247995</v>
      </c>
      <c r="I48" s="116">
        <f t="shared" si="30"/>
        <v>79610.328505727477</v>
      </c>
      <c r="J48" s="116">
        <f>I48*1.006*(1-0.85)</f>
        <v>12013.198571514278</v>
      </c>
      <c r="K48" s="113">
        <f>E48*1.006</f>
        <v>121564.034</v>
      </c>
      <c r="L48" s="116">
        <f>K48*1.006</f>
        <v>122293.418204</v>
      </c>
      <c r="M48" s="116">
        <f t="shared" ref="M48:N48" si="31">L48*1.006</f>
        <v>123027.178713224</v>
      </c>
      <c r="N48" s="116">
        <f t="shared" si="31"/>
        <v>123765.34178550335</v>
      </c>
      <c r="O48" s="116">
        <f>N48*1.006*(1-0.85)</f>
        <v>18676.19007543246</v>
      </c>
      <c r="P48" s="117" t="s">
        <v>259</v>
      </c>
      <c r="Q48" s="172" t="s">
        <v>259</v>
      </c>
      <c r="R48" s="172" t="s">
        <v>259</v>
      </c>
      <c r="S48" s="172" t="s">
        <v>259</v>
      </c>
      <c r="T48" s="177" t="s">
        <v>259</v>
      </c>
    </row>
    <row r="49" spans="2:20" ht="22.5" x14ac:dyDescent="0.25">
      <c r="B49" s="385"/>
      <c r="C49" s="198" t="s">
        <v>55</v>
      </c>
      <c r="D49" s="97">
        <v>4793</v>
      </c>
      <c r="E49" s="98">
        <v>2119</v>
      </c>
      <c r="F49" s="125">
        <f t="shared" ref="F49:F50" si="32">D49*1.006</f>
        <v>4821.7579999999998</v>
      </c>
      <c r="G49" s="126">
        <f t="shared" ref="G49:I49" si="33">F49*1.006</f>
        <v>4850.6885480000001</v>
      </c>
      <c r="H49" s="126">
        <f t="shared" si="33"/>
        <v>4879.7926792879998</v>
      </c>
      <c r="I49" s="126">
        <f t="shared" si="33"/>
        <v>4909.0714353637277</v>
      </c>
      <c r="J49" s="126">
        <f>I49*1.006</f>
        <v>4938.5258639759104</v>
      </c>
      <c r="K49" s="97">
        <f t="shared" ref="K49:K50" si="34">E49*1.006</f>
        <v>2131.7139999999999</v>
      </c>
      <c r="L49" s="126">
        <f t="shared" ref="L49:N49" si="35">K49*1.006</f>
        <v>2144.5042840000001</v>
      </c>
      <c r="M49" s="126">
        <f t="shared" si="35"/>
        <v>2157.3713097039999</v>
      </c>
      <c r="N49" s="126">
        <f t="shared" si="35"/>
        <v>2170.3155375622241</v>
      </c>
      <c r="O49" s="126">
        <f t="shared" ref="O49:O50" si="36">N49*1.006*(1-0.85)</f>
        <v>327.50061461813965</v>
      </c>
      <c r="P49" s="127">
        <v>0</v>
      </c>
      <c r="Q49" s="54">
        <v>0</v>
      </c>
      <c r="R49" s="54">
        <v>0</v>
      </c>
      <c r="S49" s="54">
        <v>0</v>
      </c>
      <c r="T49" s="42">
        <v>0</v>
      </c>
    </row>
    <row r="50" spans="2:20" ht="23.25" thickBot="1" x14ac:dyDescent="0.3">
      <c r="B50" s="385"/>
      <c r="C50" s="202" t="s">
        <v>56</v>
      </c>
      <c r="D50" s="132">
        <v>4793</v>
      </c>
      <c r="E50" s="272">
        <v>2119</v>
      </c>
      <c r="F50" s="130">
        <f t="shared" si="32"/>
        <v>4821.7579999999998</v>
      </c>
      <c r="G50" s="131">
        <f t="shared" ref="G50:I50" si="37">F50*1.006</f>
        <v>4850.6885480000001</v>
      </c>
      <c r="H50" s="131">
        <f t="shared" si="37"/>
        <v>4879.7926792879998</v>
      </c>
      <c r="I50" s="131">
        <f t="shared" si="37"/>
        <v>4909.0714353637277</v>
      </c>
      <c r="J50" s="131">
        <f>I50*1.006</f>
        <v>4938.5258639759104</v>
      </c>
      <c r="K50" s="132">
        <f t="shared" si="34"/>
        <v>2131.7139999999999</v>
      </c>
      <c r="L50" s="131">
        <f t="shared" ref="L50:N50" si="38">K50*1.006</f>
        <v>2144.5042840000001</v>
      </c>
      <c r="M50" s="131">
        <f t="shared" si="38"/>
        <v>2157.3713097039999</v>
      </c>
      <c r="N50" s="131">
        <f t="shared" si="38"/>
        <v>2170.3155375622241</v>
      </c>
      <c r="O50" s="131">
        <f t="shared" si="36"/>
        <v>327.50061461813965</v>
      </c>
      <c r="P50" s="133">
        <v>0</v>
      </c>
      <c r="Q50" s="59">
        <v>0</v>
      </c>
      <c r="R50" s="59">
        <v>0</v>
      </c>
      <c r="S50" s="59">
        <v>0</v>
      </c>
      <c r="T50" s="56">
        <v>0</v>
      </c>
    </row>
    <row r="51" spans="2:20" ht="15.75" thickBot="1" x14ac:dyDescent="0.3">
      <c r="B51" s="389" t="s">
        <v>291</v>
      </c>
      <c r="C51" s="390"/>
      <c r="D51" s="106">
        <f>SUM(D48:D50)</f>
        <v>87314</v>
      </c>
      <c r="E51" s="107">
        <f>SUM(E48:E50)</f>
        <v>125077</v>
      </c>
      <c r="F51" s="166"/>
      <c r="G51" s="139"/>
      <c r="H51" s="139"/>
      <c r="I51" s="139"/>
      <c r="J51" s="136">
        <f>SUM(J48:J50)</f>
        <v>21890.250299466097</v>
      </c>
      <c r="K51" s="169"/>
      <c r="L51" s="167"/>
      <c r="M51" s="167"/>
      <c r="N51" s="167"/>
      <c r="O51" s="176">
        <f>SUM(O48:O50)</f>
        <v>19331.19130466874</v>
      </c>
      <c r="P51" s="138"/>
      <c r="Q51" s="139"/>
      <c r="R51" s="139"/>
      <c r="S51" s="139"/>
      <c r="T51" s="140"/>
    </row>
    <row r="52" spans="2:20" ht="22.5" x14ac:dyDescent="0.25">
      <c r="B52" s="384" t="s">
        <v>57</v>
      </c>
      <c r="C52" s="212" t="s">
        <v>58</v>
      </c>
      <c r="D52" s="275" t="s">
        <v>253</v>
      </c>
      <c r="E52" s="276" t="s">
        <v>254</v>
      </c>
      <c r="F52" s="277" t="s">
        <v>255</v>
      </c>
      <c r="G52" s="278" t="s">
        <v>256</v>
      </c>
      <c r="H52" s="278">
        <f>D52*1.051*(1-0.6)</f>
        <v>20053.500400000001</v>
      </c>
      <c r="I52" s="278">
        <f>D52*1.0227*(1-0.8)</f>
        <v>9756.7625399999961</v>
      </c>
      <c r="J52" s="279">
        <f>D52*1.0303*(1-0.8)</f>
        <v>9829.2680599999967</v>
      </c>
      <c r="K52" s="275" t="s">
        <v>257</v>
      </c>
      <c r="L52" s="278" t="s">
        <v>258</v>
      </c>
      <c r="M52" s="278">
        <f>E52*1.051*(1-0.6)</f>
        <v>15698.997199999998</v>
      </c>
      <c r="N52" s="278">
        <f>E52*1.0227*(1-0.8)</f>
        <v>7638.1372199999978</v>
      </c>
      <c r="O52" s="278">
        <f>E52*1.0379*(1-0.8)</f>
        <v>7751.6599399999986</v>
      </c>
      <c r="P52" s="178" t="s">
        <v>259</v>
      </c>
      <c r="Q52" s="179" t="s">
        <v>259</v>
      </c>
      <c r="R52" s="179" t="s">
        <v>259</v>
      </c>
      <c r="S52" s="179" t="s">
        <v>259</v>
      </c>
      <c r="T52" s="179" t="s">
        <v>259</v>
      </c>
    </row>
    <row r="53" spans="2:20" ht="36.6" customHeight="1" x14ac:dyDescent="0.25">
      <c r="B53" s="384"/>
      <c r="C53" s="198" t="s">
        <v>59</v>
      </c>
      <c r="D53" s="97">
        <v>2640</v>
      </c>
      <c r="E53" s="98">
        <v>2184</v>
      </c>
      <c r="F53" s="125">
        <f>D53*1.028</f>
        <v>2713.92</v>
      </c>
      <c r="G53" s="126">
        <f>F53*1.028</f>
        <v>2789.90976</v>
      </c>
      <c r="H53" s="126">
        <f t="shared" ref="H53:J54" si="39">G53*1.028</f>
        <v>2868.02723328</v>
      </c>
      <c r="I53" s="126">
        <f t="shared" si="39"/>
        <v>2948.33199581184</v>
      </c>
      <c r="J53" s="126">
        <f t="shared" si="39"/>
        <v>3030.8852916945716</v>
      </c>
      <c r="K53" s="97">
        <f>E53*1.028</f>
        <v>2245.152</v>
      </c>
      <c r="L53" s="126">
        <f>K53*1.028</f>
        <v>2308.0162559999999</v>
      </c>
      <c r="M53" s="126">
        <f t="shared" ref="M53:O54" si="40">L53*1.028</f>
        <v>2372.6407111680001</v>
      </c>
      <c r="N53" s="126">
        <f t="shared" si="40"/>
        <v>2439.0746510807039</v>
      </c>
      <c r="O53" s="126">
        <f t="shared" si="40"/>
        <v>2507.3687413109637</v>
      </c>
      <c r="P53" s="127">
        <v>0</v>
      </c>
      <c r="Q53" s="54">
        <v>0</v>
      </c>
      <c r="R53" s="54">
        <v>0</v>
      </c>
      <c r="S53" s="54">
        <v>0</v>
      </c>
      <c r="T53" s="42">
        <v>0</v>
      </c>
    </row>
    <row r="54" spans="2:20" ht="23.25" thickBot="1" x14ac:dyDescent="0.3">
      <c r="B54" s="384"/>
      <c r="C54" s="202" t="s">
        <v>60</v>
      </c>
      <c r="D54" s="132">
        <v>2640</v>
      </c>
      <c r="E54" s="272">
        <v>2184</v>
      </c>
      <c r="F54" s="130">
        <f>D54*1.028</f>
        <v>2713.92</v>
      </c>
      <c r="G54" s="131">
        <f>F54*1.028</f>
        <v>2789.90976</v>
      </c>
      <c r="H54" s="131">
        <f t="shared" si="39"/>
        <v>2868.02723328</v>
      </c>
      <c r="I54" s="131">
        <f t="shared" si="39"/>
        <v>2948.33199581184</v>
      </c>
      <c r="J54" s="131">
        <f t="shared" si="39"/>
        <v>3030.8852916945716</v>
      </c>
      <c r="K54" s="132">
        <f>E54*1.028</f>
        <v>2245.152</v>
      </c>
      <c r="L54" s="131">
        <f>K54*1.028</f>
        <v>2308.0162559999999</v>
      </c>
      <c r="M54" s="131">
        <f t="shared" si="40"/>
        <v>2372.6407111680001</v>
      </c>
      <c r="N54" s="131">
        <f t="shared" si="40"/>
        <v>2439.0746510807039</v>
      </c>
      <c r="O54" s="131">
        <f t="shared" si="40"/>
        <v>2507.3687413109637</v>
      </c>
      <c r="P54" s="133">
        <v>0</v>
      </c>
      <c r="Q54" s="59">
        <v>0</v>
      </c>
      <c r="R54" s="59">
        <v>0</v>
      </c>
      <c r="S54" s="59">
        <v>0</v>
      </c>
      <c r="T54" s="56">
        <v>0</v>
      </c>
    </row>
    <row r="55" spans="2:20" ht="15.75" thickBot="1" x14ac:dyDescent="0.3">
      <c r="B55" s="366" t="s">
        <v>292</v>
      </c>
      <c r="C55" s="367"/>
      <c r="D55" s="106">
        <f>SUM(D53:D54)</f>
        <v>5280</v>
      </c>
      <c r="E55" s="107">
        <f>SUM(E53:E54)</f>
        <v>4368</v>
      </c>
      <c r="F55" s="166"/>
      <c r="G55" s="167"/>
      <c r="H55" s="167"/>
      <c r="I55" s="167"/>
      <c r="J55" s="176">
        <f>SUM(J52:J54)</f>
        <v>15891.03864338914</v>
      </c>
      <c r="K55" s="169"/>
      <c r="L55" s="167"/>
      <c r="M55" s="167"/>
      <c r="N55" s="167"/>
      <c r="O55" s="176">
        <f>SUM(O52:O54)</f>
        <v>12766.397422621927</v>
      </c>
      <c r="P55" s="138"/>
      <c r="Q55" s="139"/>
      <c r="R55" s="139"/>
      <c r="S55" s="139"/>
      <c r="T55" s="140"/>
    </row>
    <row r="56" spans="2:20" ht="34.15" customHeight="1" x14ac:dyDescent="0.25">
      <c r="B56" s="391" t="s">
        <v>62</v>
      </c>
      <c r="C56" s="200" t="s">
        <v>63</v>
      </c>
      <c r="D56" s="113">
        <v>168936</v>
      </c>
      <c r="E56" s="114">
        <v>87757</v>
      </c>
      <c r="F56" s="115">
        <f>D56*1.024</f>
        <v>172990.46400000001</v>
      </c>
      <c r="G56" s="116">
        <f>F56*1.024</f>
        <v>177142.235136</v>
      </c>
      <c r="H56" s="116">
        <f t="shared" ref="H56:I57" si="41">G56*1.024</f>
        <v>181393.64877926401</v>
      </c>
      <c r="I56" s="116">
        <f t="shared" si="41"/>
        <v>185747.09634996636</v>
      </c>
      <c r="J56" s="116">
        <f>I56*1.024*(1-0.8)</f>
        <v>38041.005332473105</v>
      </c>
      <c r="K56" s="113">
        <f>E56*1.024</f>
        <v>89863.168000000005</v>
      </c>
      <c r="L56" s="116">
        <f>K56*1.024</f>
        <v>92019.884032000002</v>
      </c>
      <c r="M56" s="116">
        <f t="shared" ref="M56:N57" si="42">L56*1.024</f>
        <v>94228.361248768007</v>
      </c>
      <c r="N56" s="116">
        <f t="shared" si="42"/>
        <v>96489.841918738442</v>
      </c>
      <c r="O56" s="116">
        <f>N56*1.024*(1-0.8)</f>
        <v>19761.119624957631</v>
      </c>
      <c r="P56" s="117" t="s">
        <v>259</v>
      </c>
      <c r="Q56" s="172" t="s">
        <v>259</v>
      </c>
      <c r="R56" s="172" t="s">
        <v>259</v>
      </c>
      <c r="S56" s="172" t="s">
        <v>259</v>
      </c>
      <c r="T56" s="177" t="s">
        <v>259</v>
      </c>
    </row>
    <row r="57" spans="2:20" ht="23.25" thickBot="1" x14ac:dyDescent="0.3">
      <c r="B57" s="385"/>
      <c r="C57" s="202" t="s">
        <v>64</v>
      </c>
      <c r="D57" s="132">
        <v>10643</v>
      </c>
      <c r="E57" s="272">
        <v>8855</v>
      </c>
      <c r="F57" s="130">
        <f>D57*1.024</f>
        <v>10898.432000000001</v>
      </c>
      <c r="G57" s="131">
        <f>F57*1.024</f>
        <v>11159.994368000001</v>
      </c>
      <c r="H57" s="131">
        <f t="shared" si="41"/>
        <v>11427.834232832001</v>
      </c>
      <c r="I57" s="131">
        <f t="shared" si="41"/>
        <v>11702.10225441997</v>
      </c>
      <c r="J57" s="131">
        <f>I57*1.024</f>
        <v>11982.952708526049</v>
      </c>
      <c r="K57" s="132">
        <f>E57*1.024</f>
        <v>9067.52</v>
      </c>
      <c r="L57" s="131">
        <f>K57*1.024</f>
        <v>9285.14048</v>
      </c>
      <c r="M57" s="131">
        <f t="shared" si="42"/>
        <v>9507.9838515200008</v>
      </c>
      <c r="N57" s="131">
        <f t="shared" si="42"/>
        <v>9736.1754639564806</v>
      </c>
      <c r="O57" s="131">
        <f>N57*1.024</f>
        <v>9969.843675091437</v>
      </c>
      <c r="P57" s="133">
        <v>0</v>
      </c>
      <c r="Q57" s="59">
        <v>0</v>
      </c>
      <c r="R57" s="59">
        <v>0</v>
      </c>
      <c r="S57" s="59">
        <v>0</v>
      </c>
      <c r="T57" s="56">
        <v>0</v>
      </c>
    </row>
    <row r="58" spans="2:20" ht="15.75" thickBot="1" x14ac:dyDescent="0.3">
      <c r="B58" s="389" t="s">
        <v>293</v>
      </c>
      <c r="C58" s="390"/>
      <c r="D58" s="106">
        <f>SUM(D56:D57)</f>
        <v>179579</v>
      </c>
      <c r="E58" s="107">
        <f>SUM(E56:E57)</f>
        <v>96612</v>
      </c>
      <c r="F58" s="169"/>
      <c r="G58" s="167"/>
      <c r="H58" s="167"/>
      <c r="I58" s="167"/>
      <c r="J58" s="176">
        <f>SUM(J56:J57)</f>
        <v>50023.958040999154</v>
      </c>
      <c r="K58" s="169"/>
      <c r="L58" s="167"/>
      <c r="M58" s="167"/>
      <c r="N58" s="167"/>
      <c r="O58" s="176">
        <f>SUM(O56:O57)</f>
        <v>29730.963300049068</v>
      </c>
      <c r="P58" s="138"/>
      <c r="Q58" s="139"/>
      <c r="R58" s="139"/>
      <c r="S58" s="139"/>
      <c r="T58" s="140"/>
    </row>
    <row r="59" spans="2:20" ht="28.9" customHeight="1" thickBot="1" x14ac:dyDescent="0.3">
      <c r="B59" s="205" t="s">
        <v>65</v>
      </c>
      <c r="C59" s="207" t="s">
        <v>66</v>
      </c>
      <c r="D59" s="103">
        <f>403.6*365</f>
        <v>147314</v>
      </c>
      <c r="E59" s="274">
        <f>374.9*365</f>
        <v>136838.5</v>
      </c>
      <c r="F59" s="103">
        <f>D59*1.009</f>
        <v>148639.82599999997</v>
      </c>
      <c r="G59" s="102">
        <f>F59*1.009</f>
        <v>149977.58443399996</v>
      </c>
      <c r="H59" s="102">
        <f t="shared" ref="H59:I59" si="43">G59*1.009</f>
        <v>151327.38269390594</v>
      </c>
      <c r="I59" s="102">
        <f t="shared" si="43"/>
        <v>152689.32913815108</v>
      </c>
      <c r="J59" s="102">
        <f>I59*1.009*(1-0.3)</f>
        <v>107844.47317027609</v>
      </c>
      <c r="K59" s="103">
        <f>E59*1.009</f>
        <v>138070.0465</v>
      </c>
      <c r="L59" s="102">
        <f>K59*1.009</f>
        <v>139312.67691849999</v>
      </c>
      <c r="M59" s="102">
        <f t="shared" ref="M59:N59" si="44">L59*1.009</f>
        <v>140566.49101076648</v>
      </c>
      <c r="N59" s="102">
        <f t="shared" si="44"/>
        <v>141831.58942986335</v>
      </c>
      <c r="O59" s="102">
        <f>N59*1.009*(1-0.3)</f>
        <v>100175.65161431248</v>
      </c>
      <c r="P59" s="104">
        <v>0</v>
      </c>
      <c r="Q59" s="175">
        <v>0</v>
      </c>
      <c r="R59" s="175">
        <v>0</v>
      </c>
      <c r="S59" s="175">
        <v>0</v>
      </c>
      <c r="T59" s="181">
        <v>0</v>
      </c>
    </row>
    <row r="60" spans="2:20" ht="25.9" customHeight="1" x14ac:dyDescent="0.25">
      <c r="B60" s="391" t="s">
        <v>67</v>
      </c>
      <c r="C60" s="200" t="s">
        <v>68</v>
      </c>
      <c r="D60" s="113">
        <v>70938</v>
      </c>
      <c r="E60" s="114">
        <v>83461</v>
      </c>
      <c r="F60" s="115">
        <f>D60*1.022</f>
        <v>72498.635999999999</v>
      </c>
      <c r="G60" s="116">
        <f>F60*1.022</f>
        <v>74093.605991999997</v>
      </c>
      <c r="H60" s="116">
        <f t="shared" ref="H60:I62" si="45">G60*1.022</f>
        <v>75723.665323823996</v>
      </c>
      <c r="I60" s="116">
        <f t="shared" si="45"/>
        <v>77389.585960948127</v>
      </c>
      <c r="J60" s="116">
        <f>I60*1.022*(1-0.8)</f>
        <v>15818.431370417793</v>
      </c>
      <c r="K60" s="113">
        <f>E60*1.022</f>
        <v>85297.142000000007</v>
      </c>
      <c r="L60" s="116">
        <f t="shared" ref="L60:L66" si="46">K60*1.022</f>
        <v>87173.679124000002</v>
      </c>
      <c r="M60" s="116">
        <f t="shared" ref="M60:N66" si="47">L60*1.022</f>
        <v>89091.50006472801</v>
      </c>
      <c r="N60" s="116">
        <f t="shared" si="47"/>
        <v>91051.513066152023</v>
      </c>
      <c r="O60" s="116">
        <f>N60*1.022*(1-0.8)</f>
        <v>18610.92927072147</v>
      </c>
      <c r="P60" s="117">
        <v>0</v>
      </c>
      <c r="Q60" s="172">
        <v>0</v>
      </c>
      <c r="R60" s="172">
        <v>0</v>
      </c>
      <c r="S60" s="172">
        <v>0</v>
      </c>
      <c r="T60" s="177">
        <v>0</v>
      </c>
    </row>
    <row r="61" spans="2:20" ht="22.5" x14ac:dyDescent="0.25">
      <c r="B61" s="385"/>
      <c r="C61" s="198" t="s">
        <v>69</v>
      </c>
      <c r="D61" s="97">
        <v>16338</v>
      </c>
      <c r="E61" s="98">
        <v>15920</v>
      </c>
      <c r="F61" s="125">
        <f>D61*1.022</f>
        <v>16697.436000000002</v>
      </c>
      <c r="G61" s="126">
        <f>F61*1.022</f>
        <v>17064.779592000003</v>
      </c>
      <c r="H61" s="126">
        <f t="shared" si="45"/>
        <v>17440.204743024002</v>
      </c>
      <c r="I61" s="126">
        <f t="shared" si="45"/>
        <v>17823.889247370531</v>
      </c>
      <c r="J61" s="126">
        <f>I61*1.022*(1-0.3)</f>
        <v>12751.210367568876</v>
      </c>
      <c r="K61" s="97">
        <f>E61*1.022</f>
        <v>16270.24</v>
      </c>
      <c r="L61" s="126">
        <f t="shared" si="46"/>
        <v>16628.185280000002</v>
      </c>
      <c r="M61" s="126">
        <f t="shared" si="47"/>
        <v>16994.005356160003</v>
      </c>
      <c r="N61" s="126">
        <f t="shared" si="47"/>
        <v>17367.873473995525</v>
      </c>
      <c r="O61" s="126">
        <f>N61*1.022*(1-0.3)</f>
        <v>12424.976683296398</v>
      </c>
      <c r="P61" s="127">
        <v>0</v>
      </c>
      <c r="Q61" s="54">
        <v>0</v>
      </c>
      <c r="R61" s="54">
        <v>0</v>
      </c>
      <c r="S61" s="54">
        <v>0</v>
      </c>
      <c r="T61" s="42">
        <v>0</v>
      </c>
    </row>
    <row r="62" spans="2:20" ht="23.25" thickBot="1" x14ac:dyDescent="0.3">
      <c r="B62" s="385"/>
      <c r="C62" s="202" t="s">
        <v>70</v>
      </c>
      <c r="D62" s="132">
        <v>1949.1</v>
      </c>
      <c r="E62" s="272">
        <v>897.9</v>
      </c>
      <c r="F62" s="130">
        <f>D62*1.022</f>
        <v>1991.9802</v>
      </c>
      <c r="G62" s="131">
        <f>F62*1.022</f>
        <v>2035.8037644000001</v>
      </c>
      <c r="H62" s="131">
        <f t="shared" si="45"/>
        <v>2080.5914472168001</v>
      </c>
      <c r="I62" s="131">
        <f t="shared" si="45"/>
        <v>2126.3644590555696</v>
      </c>
      <c r="J62" s="131">
        <f>I62*1.022*(1-0.3)</f>
        <v>1521.2011340083545</v>
      </c>
      <c r="K62" s="132">
        <f>E62*1.022*(1-0.5)</f>
        <v>458.82690000000002</v>
      </c>
      <c r="L62" s="131">
        <f t="shared" si="46"/>
        <v>468.92109180000006</v>
      </c>
      <c r="M62" s="131">
        <f t="shared" si="47"/>
        <v>479.23735581960005</v>
      </c>
      <c r="N62" s="131">
        <f t="shared" si="47"/>
        <v>489.78057764763128</v>
      </c>
      <c r="O62" s="131">
        <f>N62*1.022*(1-0.5)</f>
        <v>250.27787517793959</v>
      </c>
      <c r="P62" s="133">
        <v>0</v>
      </c>
      <c r="Q62" s="59">
        <v>0</v>
      </c>
      <c r="R62" s="59">
        <v>0</v>
      </c>
      <c r="S62" s="59">
        <v>0</v>
      </c>
      <c r="T62" s="56">
        <v>0</v>
      </c>
    </row>
    <row r="63" spans="2:20" ht="15.75" thickBot="1" x14ac:dyDescent="0.3">
      <c r="B63" s="389" t="s">
        <v>294</v>
      </c>
      <c r="C63" s="390"/>
      <c r="D63" s="106">
        <f>SUM(D60:D62)</f>
        <v>89225.1</v>
      </c>
      <c r="E63" s="107">
        <f>SUM(E60:E62)</f>
        <v>100278.9</v>
      </c>
      <c r="F63" s="166"/>
      <c r="G63" s="167"/>
      <c r="H63" s="167"/>
      <c r="I63" s="167"/>
      <c r="J63" s="176">
        <f>SUM(J60:J62)</f>
        <v>30090.842871995024</v>
      </c>
      <c r="K63" s="169"/>
      <c r="L63" s="167"/>
      <c r="M63" s="167"/>
      <c r="N63" s="167"/>
      <c r="O63" s="176">
        <f>SUM(O60:O62)</f>
        <v>31286.183829195808</v>
      </c>
      <c r="P63" s="138"/>
      <c r="Q63" s="139"/>
      <c r="R63" s="139"/>
      <c r="S63" s="139"/>
      <c r="T63" s="140"/>
    </row>
    <row r="64" spans="2:20" ht="23.25" thickBot="1" x14ac:dyDescent="0.3">
      <c r="B64" s="387" t="s">
        <v>71</v>
      </c>
      <c r="C64" s="207" t="s">
        <v>72</v>
      </c>
      <c r="D64" s="103">
        <v>7710</v>
      </c>
      <c r="E64" s="274">
        <v>6228</v>
      </c>
      <c r="F64" s="101">
        <f>D64*1.015</f>
        <v>7825.65</v>
      </c>
      <c r="G64" s="102">
        <f>F64*1.015</f>
        <v>7943.0347499999989</v>
      </c>
      <c r="H64" s="102">
        <f t="shared" ref="H64:I66" si="48">G64*1.015</f>
        <v>8062.1802712499984</v>
      </c>
      <c r="I64" s="102">
        <f t="shared" si="48"/>
        <v>8183.1129753187479</v>
      </c>
      <c r="J64" s="102">
        <f>I64*1.015*(1-0.8)</f>
        <v>1661.1719339897052</v>
      </c>
      <c r="K64" s="103">
        <f>E64*1.022*(1-0.5)</f>
        <v>3182.5080000000003</v>
      </c>
      <c r="L64" s="102">
        <f t="shared" si="46"/>
        <v>3252.5231760000001</v>
      </c>
      <c r="M64" s="102">
        <f t="shared" si="47"/>
        <v>3324.0786858720003</v>
      </c>
      <c r="N64" s="102">
        <f t="shared" si="47"/>
        <v>3397.2084169611844</v>
      </c>
      <c r="O64" s="102">
        <f>N64*1.022*(1-0.5)</f>
        <v>1735.9735010671652</v>
      </c>
      <c r="P64" s="104">
        <v>0</v>
      </c>
      <c r="Q64" s="175">
        <v>0</v>
      </c>
      <c r="R64" s="175">
        <v>0</v>
      </c>
      <c r="S64" s="175">
        <v>0</v>
      </c>
      <c r="T64" s="181">
        <v>0</v>
      </c>
    </row>
    <row r="65" spans="2:20" ht="22.5" x14ac:dyDescent="0.25">
      <c r="B65" s="384"/>
      <c r="C65" s="200" t="s">
        <v>73</v>
      </c>
      <c r="D65" s="113">
        <v>5412</v>
      </c>
      <c r="E65" s="114">
        <v>25380</v>
      </c>
      <c r="F65" s="115">
        <f>D65*1.015</f>
        <v>5493.1799999999994</v>
      </c>
      <c r="G65" s="116">
        <f>F65*1.015</f>
        <v>5575.5776999999989</v>
      </c>
      <c r="H65" s="116">
        <f t="shared" si="48"/>
        <v>5659.2113654999985</v>
      </c>
      <c r="I65" s="116">
        <f t="shared" si="48"/>
        <v>5744.0995359824983</v>
      </c>
      <c r="J65" s="116">
        <f>I65*1.015</f>
        <v>5830.2610290222356</v>
      </c>
      <c r="K65" s="113">
        <f>E65*1.022*(1-0.5)</f>
        <v>12969.18</v>
      </c>
      <c r="L65" s="116">
        <f t="shared" si="46"/>
        <v>13254.501960000001</v>
      </c>
      <c r="M65" s="116">
        <f t="shared" si="47"/>
        <v>13546.101003120002</v>
      </c>
      <c r="N65" s="116">
        <f t="shared" si="47"/>
        <v>13844.115225188643</v>
      </c>
      <c r="O65" s="116">
        <f>N65*1.022</f>
        <v>14148.685760142795</v>
      </c>
      <c r="P65" s="117">
        <v>0</v>
      </c>
      <c r="Q65" s="172">
        <v>0</v>
      </c>
      <c r="R65" s="172">
        <v>0</v>
      </c>
      <c r="S65" s="172">
        <v>0</v>
      </c>
      <c r="T65" s="177">
        <v>0</v>
      </c>
    </row>
    <row r="66" spans="2:20" ht="23.25" thickBot="1" x14ac:dyDescent="0.3">
      <c r="B66" s="384"/>
      <c r="C66" s="202" t="s">
        <v>61</v>
      </c>
      <c r="D66" s="132">
        <f>1000*0.045*365</f>
        <v>16425</v>
      </c>
      <c r="E66" s="132">
        <f>1000*0.043*365</f>
        <v>15695</v>
      </c>
      <c r="F66" s="130">
        <f>D66*1.015</f>
        <v>16671.375</v>
      </c>
      <c r="G66" s="131">
        <f>F66*1.015</f>
        <v>16921.445624999997</v>
      </c>
      <c r="H66" s="131">
        <f t="shared" si="48"/>
        <v>17175.267309374995</v>
      </c>
      <c r="I66" s="131">
        <f t="shared" si="48"/>
        <v>17432.896319015617</v>
      </c>
      <c r="J66" s="131">
        <f>I66*1.015</f>
        <v>17694.389763800849</v>
      </c>
      <c r="K66" s="132">
        <f>E66*1.022*(1-0.5)</f>
        <v>8020.1450000000004</v>
      </c>
      <c r="L66" s="131">
        <f t="shared" si="46"/>
        <v>8196.5881900000004</v>
      </c>
      <c r="M66" s="131">
        <f t="shared" si="47"/>
        <v>8376.9131301800007</v>
      </c>
      <c r="N66" s="131">
        <f t="shared" si="47"/>
        <v>8561.2052190439608</v>
      </c>
      <c r="O66" s="131">
        <f>N66*1.022</f>
        <v>8749.5517338629288</v>
      </c>
      <c r="P66" s="133">
        <v>0</v>
      </c>
      <c r="Q66" s="59">
        <v>0</v>
      </c>
      <c r="R66" s="59">
        <v>0</v>
      </c>
      <c r="S66" s="59">
        <v>0</v>
      </c>
      <c r="T66" s="56">
        <v>0</v>
      </c>
    </row>
    <row r="67" spans="2:20" ht="15.75" thickBot="1" x14ac:dyDescent="0.3">
      <c r="B67" s="366" t="s">
        <v>295</v>
      </c>
      <c r="C67" s="367"/>
      <c r="D67" s="111">
        <f>SUM(D64:D66)</f>
        <v>29547</v>
      </c>
      <c r="E67" s="182">
        <f>SUM(E64:E66)</f>
        <v>47303</v>
      </c>
      <c r="F67" s="166"/>
      <c r="G67" s="169"/>
      <c r="H67" s="169"/>
      <c r="I67" s="169"/>
      <c r="J67" s="183">
        <f>SUM(J64:J66)</f>
        <v>25185.822726812788</v>
      </c>
      <c r="K67" s="169"/>
      <c r="L67" s="169"/>
      <c r="M67" s="169"/>
      <c r="N67" s="169"/>
      <c r="O67" s="183">
        <f>SUM(O64:O66)</f>
        <v>24634.210995072888</v>
      </c>
      <c r="P67" s="138"/>
      <c r="Q67" s="138"/>
      <c r="R67" s="138"/>
      <c r="S67" s="138"/>
      <c r="T67" s="170"/>
    </row>
    <row r="68" spans="2:20" ht="33.75" x14ac:dyDescent="0.25">
      <c r="B68" s="387" t="s">
        <v>74</v>
      </c>
      <c r="C68" s="213" t="s">
        <v>75</v>
      </c>
      <c r="D68" s="280">
        <v>341412</v>
      </c>
      <c r="E68" s="281">
        <v>360378</v>
      </c>
      <c r="F68" s="282">
        <f>D68*1.026</f>
        <v>350288.712</v>
      </c>
      <c r="G68" s="282">
        <f>D68*1.026</f>
        <v>350288.712</v>
      </c>
      <c r="H68" s="282">
        <f>D68*1.026</f>
        <v>350288.712</v>
      </c>
      <c r="I68" s="282">
        <f>D68*1.026</f>
        <v>350288.712</v>
      </c>
      <c r="J68" s="282">
        <f>D68*1.026*(1-0.4)</f>
        <v>210173.22719999999</v>
      </c>
      <c r="K68" s="280">
        <f>E68*1.026</f>
        <v>369747.82799999998</v>
      </c>
      <c r="L68" s="280">
        <f>E68*1.026</f>
        <v>369747.82799999998</v>
      </c>
      <c r="M68" s="280">
        <f>E68*1.026</f>
        <v>369747.82799999998</v>
      </c>
      <c r="N68" s="280">
        <f>E68*1.026</f>
        <v>369747.82799999998</v>
      </c>
      <c r="O68" s="280">
        <f>E68*1.026*(1-0.4)</f>
        <v>221848.69679999998</v>
      </c>
      <c r="P68" s="184" t="s">
        <v>259</v>
      </c>
      <c r="Q68" s="184" t="s">
        <v>259</v>
      </c>
      <c r="R68" s="184" t="s">
        <v>259</v>
      </c>
      <c r="S68" s="184" t="s">
        <v>259</v>
      </c>
      <c r="T68" s="184" t="s">
        <v>259</v>
      </c>
    </row>
    <row r="69" spans="2:20" ht="34.5" thickBot="1" x14ac:dyDescent="0.3">
      <c r="B69" s="384"/>
      <c r="C69" s="214" t="s">
        <v>76</v>
      </c>
      <c r="D69" s="283" t="s">
        <v>277</v>
      </c>
      <c r="E69" s="284" t="s">
        <v>278</v>
      </c>
      <c r="F69" s="285">
        <v>172650.6</v>
      </c>
      <c r="G69" s="286">
        <v>155385.54</v>
      </c>
      <c r="H69" s="286">
        <v>139846.986</v>
      </c>
      <c r="I69" s="286">
        <v>125862.2874</v>
      </c>
      <c r="J69" s="287">
        <v>113276.05866</v>
      </c>
      <c r="K69" s="283">
        <v>110544.3</v>
      </c>
      <c r="L69" s="286">
        <v>99489.87</v>
      </c>
      <c r="M69" s="286">
        <v>89540.883000000002</v>
      </c>
      <c r="N69" s="286">
        <v>80586.794699999999</v>
      </c>
      <c r="O69" s="287">
        <v>72528.115229999996</v>
      </c>
      <c r="P69" s="187">
        <v>5</v>
      </c>
      <c r="Q69" s="185">
        <v>1</v>
      </c>
      <c r="R69" s="185">
        <v>2</v>
      </c>
      <c r="S69" s="185">
        <v>2</v>
      </c>
      <c r="T69" s="186">
        <v>1</v>
      </c>
    </row>
    <row r="70" spans="2:20" ht="15.75" thickBot="1" x14ac:dyDescent="0.3">
      <c r="B70" s="366" t="s">
        <v>296</v>
      </c>
      <c r="C70" s="367"/>
      <c r="D70" s="190">
        <f>SUM(D68:D69)</f>
        <v>341412</v>
      </c>
      <c r="E70" s="136">
        <f>SUM(E68:E69)</f>
        <v>360378</v>
      </c>
      <c r="F70" s="134"/>
      <c r="G70" s="135"/>
      <c r="H70" s="135"/>
      <c r="I70" s="135"/>
      <c r="J70" s="136">
        <f>SUM(J68:J69)</f>
        <v>323449.28586</v>
      </c>
      <c r="K70" s="137"/>
      <c r="L70" s="135"/>
      <c r="M70" s="135"/>
      <c r="N70" s="135"/>
      <c r="O70" s="136">
        <f>SUM(O68:O69)</f>
        <v>294376.81202999997</v>
      </c>
      <c r="P70" s="138"/>
      <c r="Q70" s="138"/>
      <c r="R70" s="138"/>
      <c r="S70" s="138"/>
      <c r="T70" s="170"/>
    </row>
    <row r="71" spans="2:20" ht="22.5" x14ac:dyDescent="0.25">
      <c r="B71" s="384" t="s">
        <v>77</v>
      </c>
      <c r="C71" s="200" t="s">
        <v>78</v>
      </c>
      <c r="D71" s="113">
        <v>88213</v>
      </c>
      <c r="E71" s="114">
        <v>88213</v>
      </c>
      <c r="F71" s="115">
        <f>D71*1.006</f>
        <v>88742.278000000006</v>
      </c>
      <c r="G71" s="116">
        <f>F71*1.006</f>
        <v>89274.731668000008</v>
      </c>
      <c r="H71" s="116">
        <f t="shared" ref="H71:I73" si="49">G71*1.006</f>
        <v>89810.380058008013</v>
      </c>
      <c r="I71" s="116">
        <f t="shared" si="49"/>
        <v>90349.242338356067</v>
      </c>
      <c r="J71" s="116">
        <f>I71*1.006*(1-0.8)</f>
        <v>18178.267558477237</v>
      </c>
      <c r="K71" s="113">
        <f>E71*1.006</f>
        <v>88742.278000000006</v>
      </c>
      <c r="L71" s="116">
        <f>K71*1.006</f>
        <v>89274.731668000008</v>
      </c>
      <c r="M71" s="116">
        <f t="shared" ref="M71:N73" si="50">L71*1.006</f>
        <v>89810.380058008013</v>
      </c>
      <c r="N71" s="116">
        <f t="shared" si="50"/>
        <v>90349.242338356067</v>
      </c>
      <c r="O71" s="116">
        <f>N71*1.006*(1-0.8)</f>
        <v>18178.267558477237</v>
      </c>
      <c r="P71" s="117" t="s">
        <v>259</v>
      </c>
      <c r="Q71" s="117" t="s">
        <v>259</v>
      </c>
      <c r="R71" s="117" t="s">
        <v>259</v>
      </c>
      <c r="S71" s="117" t="s">
        <v>259</v>
      </c>
      <c r="T71" s="117" t="s">
        <v>259</v>
      </c>
    </row>
    <row r="72" spans="2:20" ht="22.5" x14ac:dyDescent="0.25">
      <c r="B72" s="384"/>
      <c r="C72" s="198" t="s">
        <v>79</v>
      </c>
      <c r="D72" s="97">
        <v>820</v>
      </c>
      <c r="E72" s="98">
        <v>873</v>
      </c>
      <c r="F72" s="125">
        <f>D72*1.006</f>
        <v>824.92</v>
      </c>
      <c r="G72" s="126">
        <f>F72*1.006</f>
        <v>829.86951999999997</v>
      </c>
      <c r="H72" s="126">
        <f t="shared" si="49"/>
        <v>834.84873712000001</v>
      </c>
      <c r="I72" s="126">
        <f t="shared" si="49"/>
        <v>839.85782954271997</v>
      </c>
      <c r="J72" s="126">
        <f>I72*1.006*(1-0.2)</f>
        <v>675.91758121598104</v>
      </c>
      <c r="K72" s="97">
        <f>E72*1.006</f>
        <v>878.23800000000006</v>
      </c>
      <c r="L72" s="126">
        <f>K72*1.006</f>
        <v>883.50742800000012</v>
      </c>
      <c r="M72" s="126">
        <f t="shared" si="50"/>
        <v>888.80847256800007</v>
      </c>
      <c r="N72" s="126">
        <f t="shared" si="50"/>
        <v>894.14132340340802</v>
      </c>
      <c r="O72" s="126">
        <f>N72*1.006*(1-0.2)</f>
        <v>719.60493707506282</v>
      </c>
      <c r="P72" s="127">
        <v>0</v>
      </c>
      <c r="Q72" s="127">
        <v>0</v>
      </c>
      <c r="R72" s="127">
        <v>0</v>
      </c>
      <c r="S72" s="127">
        <v>0</v>
      </c>
      <c r="T72" s="127">
        <v>0</v>
      </c>
    </row>
    <row r="73" spans="2:20" ht="23.25" thickBot="1" x14ac:dyDescent="0.3">
      <c r="B73" s="384"/>
      <c r="C73" s="202" t="s">
        <v>80</v>
      </c>
      <c r="D73" s="132">
        <v>4793</v>
      </c>
      <c r="E73" s="272">
        <v>2119</v>
      </c>
      <c r="F73" s="130">
        <f>D73*1.006</f>
        <v>4821.7579999999998</v>
      </c>
      <c r="G73" s="131">
        <f>F73*1.006</f>
        <v>4850.6885480000001</v>
      </c>
      <c r="H73" s="131">
        <f t="shared" si="49"/>
        <v>4879.7926792879998</v>
      </c>
      <c r="I73" s="131">
        <f t="shared" si="49"/>
        <v>4909.0714353637277</v>
      </c>
      <c r="J73" s="131">
        <f>I73*1.006</f>
        <v>4938.5258639759104</v>
      </c>
      <c r="K73" s="132">
        <f>E73*1.006</f>
        <v>2131.7139999999999</v>
      </c>
      <c r="L73" s="131">
        <f>K73*1.006</f>
        <v>2144.5042840000001</v>
      </c>
      <c r="M73" s="131">
        <f t="shared" si="50"/>
        <v>2157.3713097039999</v>
      </c>
      <c r="N73" s="131">
        <f t="shared" si="50"/>
        <v>2170.3155375622241</v>
      </c>
      <c r="O73" s="131">
        <f>N73*1.006</f>
        <v>2183.3374307875974</v>
      </c>
      <c r="P73" s="133">
        <v>0</v>
      </c>
      <c r="Q73" s="133">
        <v>0</v>
      </c>
      <c r="R73" s="133">
        <v>0</v>
      </c>
      <c r="S73" s="133">
        <v>0</v>
      </c>
      <c r="T73" s="133">
        <v>0</v>
      </c>
    </row>
    <row r="74" spans="2:20" ht="15.75" thickBot="1" x14ac:dyDescent="0.3">
      <c r="B74" s="389" t="s">
        <v>297</v>
      </c>
      <c r="C74" s="390"/>
      <c r="D74" s="190">
        <f>SUM(D71:D73)</f>
        <v>93826</v>
      </c>
      <c r="E74" s="136">
        <f>SUM(E71:E73)</f>
        <v>91205</v>
      </c>
      <c r="F74" s="134"/>
      <c r="G74" s="135"/>
      <c r="H74" s="135"/>
      <c r="I74" s="288"/>
      <c r="J74" s="188">
        <f>SUM(J71:J73)</f>
        <v>23792.71100366913</v>
      </c>
      <c r="K74" s="137"/>
      <c r="L74" s="135"/>
      <c r="M74" s="135"/>
      <c r="N74" s="288"/>
      <c r="O74" s="188">
        <f>SUM(O71:O73)</f>
        <v>21081.209926339896</v>
      </c>
      <c r="P74" s="138"/>
      <c r="Q74" s="138"/>
      <c r="R74" s="138"/>
      <c r="S74" s="138"/>
      <c r="T74" s="170"/>
    </row>
    <row r="75" spans="2:20" ht="22.5" x14ac:dyDescent="0.25">
      <c r="B75" s="387" t="s">
        <v>81</v>
      </c>
      <c r="C75" s="212" t="s">
        <v>82</v>
      </c>
      <c r="D75" s="275" t="s">
        <v>206</v>
      </c>
      <c r="E75" s="276" t="s">
        <v>207</v>
      </c>
      <c r="F75" s="277" t="s">
        <v>208</v>
      </c>
      <c r="G75" s="278" t="s">
        <v>209</v>
      </c>
      <c r="H75" s="278" t="s">
        <v>210</v>
      </c>
      <c r="I75" s="278" t="s">
        <v>211</v>
      </c>
      <c r="J75" s="279" t="s">
        <v>211</v>
      </c>
      <c r="K75" s="275" t="s">
        <v>212</v>
      </c>
      <c r="L75" s="278" t="s">
        <v>213</v>
      </c>
      <c r="M75" s="278" t="s">
        <v>214</v>
      </c>
      <c r="N75" s="278" t="s">
        <v>215</v>
      </c>
      <c r="O75" s="279">
        <v>3239.01</v>
      </c>
      <c r="P75" s="178">
        <v>0</v>
      </c>
      <c r="Q75" s="179">
        <v>0</v>
      </c>
      <c r="R75" s="179">
        <v>0</v>
      </c>
      <c r="S75" s="179">
        <v>0</v>
      </c>
      <c r="T75" s="180">
        <v>0</v>
      </c>
    </row>
    <row r="76" spans="2:20" ht="22.5" x14ac:dyDescent="0.25">
      <c r="B76" s="384"/>
      <c r="C76" s="215" t="s">
        <v>83</v>
      </c>
      <c r="D76" s="289">
        <v>4984</v>
      </c>
      <c r="E76" s="289">
        <v>4750</v>
      </c>
      <c r="F76" s="290">
        <f>D76*1.0126</f>
        <v>5046.7983999999997</v>
      </c>
      <c r="G76" s="290">
        <f>F76*1.0126</f>
        <v>5110.3880598399992</v>
      </c>
      <c r="H76" s="290">
        <f>G76*1.0126</f>
        <v>5174.7789493939827</v>
      </c>
      <c r="I76" s="290">
        <f>H76*1.0126</f>
        <v>5239.9811641563465</v>
      </c>
      <c r="J76" s="290">
        <f>I76*1.0126</f>
        <v>5306.0049268247158</v>
      </c>
      <c r="K76" s="290">
        <f>E76*1.0126</f>
        <v>4809.8499999999995</v>
      </c>
      <c r="L76" s="291">
        <f>K76*1.0126</f>
        <v>4870.4541099999988</v>
      </c>
      <c r="M76" s="291">
        <f t="shared" ref="M76:O76" si="51">L76*1.0126</f>
        <v>4931.8218317859983</v>
      </c>
      <c r="N76" s="291">
        <f t="shared" si="51"/>
        <v>4993.9627868665011</v>
      </c>
      <c r="O76" s="291">
        <f t="shared" si="51"/>
        <v>5056.8867179810186</v>
      </c>
      <c r="P76" s="189">
        <v>0</v>
      </c>
      <c r="Q76" s="189">
        <v>0</v>
      </c>
      <c r="R76" s="189">
        <v>0</v>
      </c>
      <c r="S76" s="189">
        <v>0</v>
      </c>
      <c r="T76" s="189">
        <v>0</v>
      </c>
    </row>
    <row r="77" spans="2:20" ht="22.5" x14ac:dyDescent="0.25">
      <c r="B77" s="384"/>
      <c r="C77" s="201" t="s">
        <v>227</v>
      </c>
      <c r="D77" s="292" t="s">
        <v>228</v>
      </c>
      <c r="E77" s="293" t="s">
        <v>229</v>
      </c>
      <c r="F77" s="294" t="s">
        <v>230</v>
      </c>
      <c r="G77" s="295" t="s">
        <v>231</v>
      </c>
      <c r="H77" s="295" t="s">
        <v>232</v>
      </c>
      <c r="I77" s="295" t="s">
        <v>233</v>
      </c>
      <c r="J77" s="296" t="s">
        <v>234</v>
      </c>
      <c r="K77" s="292" t="s">
        <v>235</v>
      </c>
      <c r="L77" s="295" t="s">
        <v>236</v>
      </c>
      <c r="M77" s="295" t="s">
        <v>237</v>
      </c>
      <c r="N77" s="295" t="s">
        <v>238</v>
      </c>
      <c r="O77" s="296" t="s">
        <v>239</v>
      </c>
      <c r="P77" s="122">
        <v>3</v>
      </c>
      <c r="Q77" s="122">
        <v>3</v>
      </c>
      <c r="R77" s="122">
        <v>3</v>
      </c>
      <c r="S77" s="122">
        <v>3</v>
      </c>
      <c r="T77" s="122">
        <v>3</v>
      </c>
    </row>
    <row r="78" spans="2:20" ht="22.5" x14ac:dyDescent="0.25">
      <c r="B78" s="384"/>
      <c r="C78" s="201" t="s">
        <v>240</v>
      </c>
      <c r="D78" s="292" t="s">
        <v>241</v>
      </c>
      <c r="E78" s="293" t="s">
        <v>242</v>
      </c>
      <c r="F78" s="294" t="s">
        <v>243</v>
      </c>
      <c r="G78" s="295" t="s">
        <v>244</v>
      </c>
      <c r="H78" s="295" t="s">
        <v>245</v>
      </c>
      <c r="I78" s="295" t="s">
        <v>246</v>
      </c>
      <c r="J78" s="296" t="s">
        <v>247</v>
      </c>
      <c r="K78" s="292" t="s">
        <v>248</v>
      </c>
      <c r="L78" s="295" t="s">
        <v>249</v>
      </c>
      <c r="M78" s="295" t="s">
        <v>250</v>
      </c>
      <c r="N78" s="295" t="s">
        <v>251</v>
      </c>
      <c r="O78" s="296" t="s">
        <v>252</v>
      </c>
      <c r="P78" s="122">
        <v>2</v>
      </c>
      <c r="Q78" s="122">
        <v>2</v>
      </c>
      <c r="R78" s="122">
        <v>2</v>
      </c>
      <c r="S78" s="122">
        <v>2</v>
      </c>
      <c r="T78" s="122">
        <v>2</v>
      </c>
    </row>
    <row r="79" spans="2:20" ht="23.25" thickBot="1" x14ac:dyDescent="0.3">
      <c r="B79" s="384"/>
      <c r="C79" s="214" t="s">
        <v>84</v>
      </c>
      <c r="D79" s="283" t="s">
        <v>217</v>
      </c>
      <c r="E79" s="284" t="s">
        <v>218</v>
      </c>
      <c r="F79" s="285" t="s">
        <v>219</v>
      </c>
      <c r="G79" s="286">
        <v>7235</v>
      </c>
      <c r="H79" s="286" t="s">
        <v>220</v>
      </c>
      <c r="I79" s="286" t="s">
        <v>221</v>
      </c>
      <c r="J79" s="287" t="s">
        <v>221</v>
      </c>
      <c r="K79" s="283" t="s">
        <v>222</v>
      </c>
      <c r="L79" s="286" t="s">
        <v>223</v>
      </c>
      <c r="M79" s="286" t="s">
        <v>224</v>
      </c>
      <c r="N79" s="286" t="s">
        <v>225</v>
      </c>
      <c r="O79" s="287" t="s">
        <v>226</v>
      </c>
      <c r="P79" s="187">
        <v>2</v>
      </c>
      <c r="Q79" s="185">
        <v>2</v>
      </c>
      <c r="R79" s="185">
        <v>2</v>
      </c>
      <c r="S79" s="185">
        <v>4</v>
      </c>
      <c r="T79" s="186">
        <v>0</v>
      </c>
    </row>
    <row r="80" spans="2:20" ht="15.75" thickBot="1" x14ac:dyDescent="0.3">
      <c r="B80" s="366" t="s">
        <v>298</v>
      </c>
      <c r="C80" s="367"/>
      <c r="D80" s="190">
        <f>SUM(D76:D79)</f>
        <v>4984</v>
      </c>
      <c r="E80" s="136">
        <f>SUM(E76:E79)</f>
        <v>4750</v>
      </c>
      <c r="F80" s="191"/>
      <c r="G80" s="176"/>
      <c r="H80" s="176"/>
      <c r="I80" s="136"/>
      <c r="J80" s="188">
        <f>SUM(J76:J79)</f>
        <v>5306.0049268247158</v>
      </c>
      <c r="K80" s="190"/>
      <c r="L80" s="176"/>
      <c r="M80" s="176"/>
      <c r="N80" s="136"/>
      <c r="O80" s="188">
        <f>SUM(O75:O79)</f>
        <v>8295.8967179810188</v>
      </c>
      <c r="P80" s="111"/>
      <c r="Q80" s="109"/>
      <c r="R80" s="109"/>
      <c r="S80" s="109"/>
      <c r="T80" s="110"/>
    </row>
    <row r="81" spans="2:20" ht="22.5" x14ac:dyDescent="0.25">
      <c r="B81" s="387" t="s">
        <v>85</v>
      </c>
      <c r="C81" s="200" t="s">
        <v>282</v>
      </c>
      <c r="D81" s="113">
        <v>41368</v>
      </c>
      <c r="E81" s="114">
        <v>32659</v>
      </c>
      <c r="F81" s="115">
        <f>D81*1.02</f>
        <v>42195.360000000001</v>
      </c>
      <c r="G81" s="116">
        <f>F81*1.02</f>
        <v>43039.267200000002</v>
      </c>
      <c r="H81" s="116">
        <f t="shared" ref="H81:I81" si="52">G81*1.02</f>
        <v>43900.052544000006</v>
      </c>
      <c r="I81" s="116">
        <f t="shared" si="52"/>
        <v>44778.05359488001</v>
      </c>
      <c r="J81" s="116">
        <f>I81*1.02*(1-0.8)</f>
        <v>9134.7229333555206</v>
      </c>
      <c r="K81" s="113">
        <f>E81*1.02</f>
        <v>33312.18</v>
      </c>
      <c r="L81" s="116">
        <f>K81*1.02</f>
        <v>33978.423600000002</v>
      </c>
      <c r="M81" s="116">
        <f t="shared" ref="M81:N81" si="53">L81*1.02</f>
        <v>34657.992072000001</v>
      </c>
      <c r="N81" s="116">
        <f t="shared" si="53"/>
        <v>35351.15191344</v>
      </c>
      <c r="O81" s="116">
        <f>N81*1.02*(1-0.8)</f>
        <v>7211.6349903417586</v>
      </c>
      <c r="P81" s="117" t="s">
        <v>259</v>
      </c>
      <c r="Q81" s="172" t="s">
        <v>259</v>
      </c>
      <c r="R81" s="172" t="s">
        <v>259</v>
      </c>
      <c r="S81" s="172" t="s">
        <v>259</v>
      </c>
      <c r="T81" s="172" t="s">
        <v>259</v>
      </c>
    </row>
    <row r="82" spans="2:20" ht="28.9" customHeight="1" x14ac:dyDescent="0.25">
      <c r="B82" s="384"/>
      <c r="C82" s="198" t="s">
        <v>283</v>
      </c>
      <c r="D82" s="97">
        <v>88646</v>
      </c>
      <c r="E82" s="98">
        <v>69984</v>
      </c>
      <c r="F82" s="125">
        <f t="shared" ref="F82:F84" si="54">D82*1.02</f>
        <v>90418.92</v>
      </c>
      <c r="G82" s="126">
        <f t="shared" ref="G82:I82" si="55">F82*1.02</f>
        <v>92227.2984</v>
      </c>
      <c r="H82" s="126">
        <f t="shared" si="55"/>
        <v>94071.844368000005</v>
      </c>
      <c r="I82" s="126">
        <f t="shared" si="55"/>
        <v>95953.281255360009</v>
      </c>
      <c r="J82" s="126">
        <f t="shared" ref="J82" si="56">I82*1.02*(1-0.8)</f>
        <v>19574.469376093439</v>
      </c>
      <c r="K82" s="97">
        <f t="shared" ref="K82:K84" si="57">E82*1.02</f>
        <v>71383.680000000008</v>
      </c>
      <c r="L82" s="126">
        <f t="shared" ref="L82:N82" si="58">K82*1.02</f>
        <v>72811.353600000002</v>
      </c>
      <c r="M82" s="126">
        <f t="shared" si="58"/>
        <v>74267.580671999996</v>
      </c>
      <c r="N82" s="126">
        <f t="shared" si="58"/>
        <v>75752.932285439994</v>
      </c>
      <c r="O82" s="126">
        <f t="shared" ref="O82" si="59">N82*1.02*(1-0.8)</f>
        <v>15453.598186229758</v>
      </c>
      <c r="P82" s="127" t="s">
        <v>259</v>
      </c>
      <c r="Q82" s="54" t="s">
        <v>259</v>
      </c>
      <c r="R82" s="54" t="s">
        <v>259</v>
      </c>
      <c r="S82" s="54" t="s">
        <v>259</v>
      </c>
      <c r="T82" s="54" t="s">
        <v>259</v>
      </c>
    </row>
    <row r="83" spans="2:20" ht="22.5" x14ac:dyDescent="0.25">
      <c r="B83" s="384"/>
      <c r="C83" s="198" t="s">
        <v>86</v>
      </c>
      <c r="D83" s="97">
        <v>10643</v>
      </c>
      <c r="E83" s="98">
        <v>8855</v>
      </c>
      <c r="F83" s="125">
        <f t="shared" si="54"/>
        <v>10855.86</v>
      </c>
      <c r="G83" s="126">
        <f t="shared" ref="G83:I83" si="60">F83*1.02</f>
        <v>11072.977200000001</v>
      </c>
      <c r="H83" s="126">
        <f t="shared" si="60"/>
        <v>11294.436744000001</v>
      </c>
      <c r="I83" s="126">
        <f t="shared" si="60"/>
        <v>11520.32547888</v>
      </c>
      <c r="J83" s="126">
        <f>I83*1.02</f>
        <v>11750.731988457601</v>
      </c>
      <c r="K83" s="97">
        <f t="shared" si="57"/>
        <v>9032.1</v>
      </c>
      <c r="L83" s="126">
        <f t="shared" ref="L83:N83" si="61">K83*1.02</f>
        <v>9212.7420000000002</v>
      </c>
      <c r="M83" s="126">
        <f t="shared" si="61"/>
        <v>9396.9968399999998</v>
      </c>
      <c r="N83" s="126">
        <f t="shared" si="61"/>
        <v>9584.9367767999993</v>
      </c>
      <c r="O83" s="126">
        <f>N83*1.02</f>
        <v>9776.635512335999</v>
      </c>
      <c r="P83" s="127">
        <v>0</v>
      </c>
      <c r="Q83" s="127">
        <v>0</v>
      </c>
      <c r="R83" s="127">
        <v>0</v>
      </c>
      <c r="S83" s="127">
        <v>0</v>
      </c>
      <c r="T83" s="127">
        <v>0</v>
      </c>
    </row>
    <row r="84" spans="2:20" ht="23.25" thickBot="1" x14ac:dyDescent="0.3">
      <c r="B84" s="384"/>
      <c r="C84" s="202" t="s">
        <v>87</v>
      </c>
      <c r="D84" s="132">
        <v>10643</v>
      </c>
      <c r="E84" s="272">
        <v>8855</v>
      </c>
      <c r="F84" s="130">
        <f t="shared" si="54"/>
        <v>10855.86</v>
      </c>
      <c r="G84" s="131">
        <f t="shared" ref="G84:I84" si="62">F84*1.02</f>
        <v>11072.977200000001</v>
      </c>
      <c r="H84" s="131">
        <f t="shared" si="62"/>
        <v>11294.436744000001</v>
      </c>
      <c r="I84" s="131">
        <f t="shared" si="62"/>
        <v>11520.32547888</v>
      </c>
      <c r="J84" s="131">
        <f>I84*1.02</f>
        <v>11750.731988457601</v>
      </c>
      <c r="K84" s="132">
        <f t="shared" si="57"/>
        <v>9032.1</v>
      </c>
      <c r="L84" s="131">
        <f t="shared" ref="L84:N84" si="63">K84*1.02</f>
        <v>9212.7420000000002</v>
      </c>
      <c r="M84" s="131">
        <f t="shared" si="63"/>
        <v>9396.9968399999998</v>
      </c>
      <c r="N84" s="131">
        <f t="shared" si="63"/>
        <v>9584.9367767999993</v>
      </c>
      <c r="O84" s="131">
        <f>N84*1.02</f>
        <v>9776.635512335999</v>
      </c>
      <c r="P84" s="133">
        <v>0</v>
      </c>
      <c r="Q84" s="133">
        <v>0</v>
      </c>
      <c r="R84" s="133">
        <v>0</v>
      </c>
      <c r="S84" s="133">
        <v>0</v>
      </c>
      <c r="T84" s="133">
        <v>0</v>
      </c>
    </row>
    <row r="85" spans="2:20" ht="15.75" thickBot="1" x14ac:dyDescent="0.3">
      <c r="B85" s="366" t="s">
        <v>299</v>
      </c>
      <c r="C85" s="367"/>
      <c r="D85" s="190">
        <f>SUM(D81:D84)</f>
        <v>151300</v>
      </c>
      <c r="E85" s="136">
        <f>SUM(E81:E84)</f>
        <v>120353</v>
      </c>
      <c r="F85" s="191"/>
      <c r="G85" s="176"/>
      <c r="H85" s="176"/>
      <c r="I85" s="176"/>
      <c r="J85" s="176">
        <f>SUM(J81:J84)</f>
        <v>52210.656286364159</v>
      </c>
      <c r="K85" s="190"/>
      <c r="L85" s="176"/>
      <c r="M85" s="176"/>
      <c r="N85" s="176"/>
      <c r="O85" s="176">
        <f>SUM(O81:O84)</f>
        <v>42218.504201243515</v>
      </c>
      <c r="P85" s="138"/>
      <c r="Q85" s="138"/>
      <c r="R85" s="138"/>
      <c r="S85" s="138"/>
      <c r="T85" s="170"/>
    </row>
    <row r="86" spans="2:20" ht="39" customHeight="1" x14ac:dyDescent="0.25">
      <c r="B86" s="387" t="s">
        <v>88</v>
      </c>
      <c r="C86" s="212" t="s">
        <v>89</v>
      </c>
      <c r="D86" s="275">
        <v>134979</v>
      </c>
      <c r="E86" s="276">
        <v>155545</v>
      </c>
      <c r="F86" s="277">
        <f>D86*1.01</f>
        <v>136328.79</v>
      </c>
      <c r="G86" s="278">
        <f>F86*1.01</f>
        <v>137692.0779</v>
      </c>
      <c r="H86" s="278">
        <f t="shared" ref="H86:I87" si="64">G86*1.01</f>
        <v>139068.99867900001</v>
      </c>
      <c r="I86" s="278">
        <f t="shared" si="64"/>
        <v>140459.68866579002</v>
      </c>
      <c r="J86" s="278">
        <f>I86*1.01*(1-0.8)</f>
        <v>28372.857110489578</v>
      </c>
      <c r="K86" s="275">
        <f>E86*1.01</f>
        <v>157100.45000000001</v>
      </c>
      <c r="L86" s="278">
        <f>K86*1.01</f>
        <v>158671.45450000002</v>
      </c>
      <c r="M86" s="278">
        <f t="shared" ref="M86:N87" si="65">L86*1.01</f>
        <v>160258.16904500002</v>
      </c>
      <c r="N86" s="278">
        <f t="shared" si="65"/>
        <v>161860.75073545001</v>
      </c>
      <c r="O86" s="278">
        <f>N86*1.01*(1-0.8)</f>
        <v>32695.871648560893</v>
      </c>
      <c r="P86" s="178" t="s">
        <v>259</v>
      </c>
      <c r="Q86" s="178" t="s">
        <v>259</v>
      </c>
      <c r="R86" s="178" t="s">
        <v>259</v>
      </c>
      <c r="S86" s="178" t="s">
        <v>259</v>
      </c>
      <c r="T86" s="178" t="s">
        <v>259</v>
      </c>
    </row>
    <row r="87" spans="2:20" ht="23.25" thickBot="1" x14ac:dyDescent="0.3">
      <c r="B87" s="384"/>
      <c r="C87" s="216" t="s">
        <v>90</v>
      </c>
      <c r="D87" s="297">
        <v>3736</v>
      </c>
      <c r="E87" s="298">
        <v>4164</v>
      </c>
      <c r="F87" s="299">
        <f>D87*1.01</f>
        <v>3773.36</v>
      </c>
      <c r="G87" s="300">
        <f>F87*1.01</f>
        <v>3811.0936000000002</v>
      </c>
      <c r="H87" s="300">
        <f t="shared" si="64"/>
        <v>3849.2045360000002</v>
      </c>
      <c r="I87" s="300">
        <f t="shared" si="64"/>
        <v>3887.6965813600004</v>
      </c>
      <c r="J87" s="300">
        <f>I87*1.01*(1-0.8)</f>
        <v>785.31470943471993</v>
      </c>
      <c r="K87" s="297">
        <f>E87*1.01</f>
        <v>4205.6400000000003</v>
      </c>
      <c r="L87" s="300">
        <f>K87*1.01</f>
        <v>4247.6964000000007</v>
      </c>
      <c r="M87" s="300">
        <f t="shared" si="65"/>
        <v>4290.1733640000011</v>
      </c>
      <c r="N87" s="300">
        <f t="shared" si="65"/>
        <v>4333.0750976400013</v>
      </c>
      <c r="O87" s="300">
        <f>N87*1.01*(1-0.4)</f>
        <v>2625.8435091698407</v>
      </c>
      <c r="P87" s="192" t="s">
        <v>259</v>
      </c>
      <c r="Q87" s="192" t="s">
        <v>259</v>
      </c>
      <c r="R87" s="192" t="s">
        <v>259</v>
      </c>
      <c r="S87" s="192" t="s">
        <v>259</v>
      </c>
      <c r="T87" s="192" t="s">
        <v>259</v>
      </c>
    </row>
    <row r="88" spans="2:20" ht="15.75" thickBot="1" x14ac:dyDescent="0.3">
      <c r="B88" s="366" t="s">
        <v>300</v>
      </c>
      <c r="C88" s="367"/>
      <c r="D88" s="190">
        <f>SUM(D86:D87)</f>
        <v>138715</v>
      </c>
      <c r="E88" s="136">
        <f>SUM(E86:E87)</f>
        <v>159709</v>
      </c>
      <c r="F88" s="191"/>
      <c r="G88" s="176"/>
      <c r="H88" s="176"/>
      <c r="I88" s="136"/>
      <c r="J88" s="188">
        <f>SUM(J86:J87)</f>
        <v>29158.171819924297</v>
      </c>
      <c r="K88" s="190"/>
      <c r="L88" s="176"/>
      <c r="M88" s="176"/>
      <c r="N88" s="136"/>
      <c r="O88" s="188">
        <f>SUM(O86:O87)</f>
        <v>35321.71515773073</v>
      </c>
      <c r="P88" s="138"/>
      <c r="Q88" s="138"/>
      <c r="R88" s="138"/>
      <c r="S88" s="138"/>
      <c r="T88" s="170"/>
    </row>
    <row r="89" spans="2:20" ht="15.75" thickBot="1" x14ac:dyDescent="0.3">
      <c r="B89" s="205" t="s">
        <v>91</v>
      </c>
      <c r="C89" s="207" t="s">
        <v>92</v>
      </c>
      <c r="D89" s="222">
        <v>132398</v>
      </c>
      <c r="E89" s="222">
        <v>126513</v>
      </c>
      <c r="F89" s="101">
        <f>D89*1.04</f>
        <v>137693.92000000001</v>
      </c>
      <c r="G89" s="102">
        <f>F89*1.04</f>
        <v>143201.67680000002</v>
      </c>
      <c r="H89" s="102">
        <f t="shared" ref="H89:I89" si="66">G89*1.04</f>
        <v>148929.74387200002</v>
      </c>
      <c r="I89" s="102">
        <f t="shared" si="66"/>
        <v>154886.93362688003</v>
      </c>
      <c r="J89" s="102">
        <f>I89*1.04*(1-0.8)</f>
        <v>32216.482194391036</v>
      </c>
      <c r="K89" s="103">
        <f>E89*1.04</f>
        <v>131573.52000000002</v>
      </c>
      <c r="L89" s="102">
        <f>K89*1.04</f>
        <v>136836.46080000003</v>
      </c>
      <c r="M89" s="102">
        <f t="shared" ref="M89:N89" si="67">L89*1.04</f>
        <v>142309.91923200004</v>
      </c>
      <c r="N89" s="102">
        <f t="shared" si="67"/>
        <v>148002.31600128004</v>
      </c>
      <c r="O89" s="102">
        <f>N89*1.04*(1-0.8)</f>
        <v>30784.481728266244</v>
      </c>
      <c r="P89" s="104" t="s">
        <v>259</v>
      </c>
      <c r="Q89" s="175" t="s">
        <v>259</v>
      </c>
      <c r="R89" s="175" t="s">
        <v>259</v>
      </c>
      <c r="S89" s="175" t="s">
        <v>259</v>
      </c>
      <c r="T89" s="181" t="s">
        <v>259</v>
      </c>
    </row>
    <row r="90" spans="2:20" ht="22.5" x14ac:dyDescent="0.25">
      <c r="B90" s="396" t="s">
        <v>93</v>
      </c>
      <c r="C90" s="217" t="s">
        <v>261</v>
      </c>
      <c r="D90" s="301">
        <v>65440</v>
      </c>
      <c r="E90" s="302">
        <v>66119</v>
      </c>
      <c r="F90" s="303">
        <f>D90*1.01</f>
        <v>66094.399999999994</v>
      </c>
      <c r="G90" s="304">
        <f>F90*1.01</f>
        <v>66755.343999999997</v>
      </c>
      <c r="H90" s="304">
        <f>G90*1.01</f>
        <v>67422.897440000001</v>
      </c>
      <c r="I90" s="304">
        <f>H90*1.01</f>
        <v>68097.126414400002</v>
      </c>
      <c r="J90" s="304">
        <f>I90*1.01*(1-0.5)</f>
        <v>34389.048839272</v>
      </c>
      <c r="K90" s="301">
        <f>E90*1.01</f>
        <v>66780.19</v>
      </c>
      <c r="L90" s="304">
        <f>K90*1.01</f>
        <v>67447.991900000008</v>
      </c>
      <c r="M90" s="304">
        <f t="shared" ref="M90:N90" si="68">L90*1.01</f>
        <v>68122.471819000013</v>
      </c>
      <c r="N90" s="304">
        <f t="shared" si="68"/>
        <v>68803.696537190015</v>
      </c>
      <c r="O90" s="304">
        <f>N90*1.01*(1-0.5)</f>
        <v>34745.866751280955</v>
      </c>
      <c r="P90" s="193" t="s">
        <v>259</v>
      </c>
      <c r="Q90" s="193" t="s">
        <v>259</v>
      </c>
      <c r="R90" s="193" t="s">
        <v>259</v>
      </c>
      <c r="S90" s="193" t="s">
        <v>259</v>
      </c>
      <c r="T90" s="194" t="s">
        <v>259</v>
      </c>
    </row>
    <row r="91" spans="2:20" ht="23.25" thickBot="1" x14ac:dyDescent="0.3">
      <c r="B91" s="397"/>
      <c r="C91" s="218" t="s">
        <v>262</v>
      </c>
      <c r="D91" s="286">
        <v>1759</v>
      </c>
      <c r="E91" s="286">
        <v>600</v>
      </c>
      <c r="F91" s="286">
        <f>D91*1.01</f>
        <v>1776.59</v>
      </c>
      <c r="G91" s="286">
        <f>F91*1.01</f>
        <v>1794.3559</v>
      </c>
      <c r="H91" s="286">
        <f t="shared" ref="H91:I91" si="69">G91*1.01</f>
        <v>1812.2994590000001</v>
      </c>
      <c r="I91" s="286">
        <f t="shared" si="69"/>
        <v>1830.42245359</v>
      </c>
      <c r="J91" s="286">
        <f>I91*1.01*(1-0.5)</f>
        <v>924.36333906294999</v>
      </c>
      <c r="K91" s="286">
        <f>E91*1.01</f>
        <v>606</v>
      </c>
      <c r="L91" s="286">
        <f>K91*1.01</f>
        <v>612.06000000000006</v>
      </c>
      <c r="M91" s="286">
        <f t="shared" ref="M91:N91" si="70">L91*1.01</f>
        <v>618.18060000000003</v>
      </c>
      <c r="N91" s="286">
        <f t="shared" si="70"/>
        <v>624.36240600000008</v>
      </c>
      <c r="O91" s="286">
        <f>N91*1.01*(1-0.5)</f>
        <v>315.30301503000004</v>
      </c>
      <c r="P91" s="187" t="s">
        <v>259</v>
      </c>
      <c r="Q91" s="187" t="s">
        <v>259</v>
      </c>
      <c r="R91" s="187" t="s">
        <v>259</v>
      </c>
      <c r="S91" s="187" t="s">
        <v>259</v>
      </c>
      <c r="T91" s="195" t="s">
        <v>259</v>
      </c>
    </row>
    <row r="92" spans="2:20" ht="15.75" thickBot="1" x14ac:dyDescent="0.3">
      <c r="B92" s="389" t="s">
        <v>301</v>
      </c>
      <c r="C92" s="392"/>
      <c r="D92" s="191">
        <f>SUM(D90:D91)</f>
        <v>67199</v>
      </c>
      <c r="E92" s="176">
        <f>SUM(E90:E91)</f>
        <v>66719</v>
      </c>
      <c r="F92" s="176"/>
      <c r="G92" s="176"/>
      <c r="H92" s="176"/>
      <c r="I92" s="176"/>
      <c r="J92" s="176">
        <f>SUM(J90:J91)</f>
        <v>35313.412178334947</v>
      </c>
      <c r="K92" s="176"/>
      <c r="L92" s="176"/>
      <c r="M92" s="176"/>
      <c r="N92" s="176"/>
      <c r="O92" s="176">
        <f>SUM(O90:O91)</f>
        <v>35061.169766310952</v>
      </c>
      <c r="P92" s="176"/>
      <c r="Q92" s="176"/>
      <c r="R92" s="176"/>
      <c r="S92" s="176"/>
      <c r="T92" s="196"/>
    </row>
    <row r="93" spans="2:20" ht="15.75" thickBot="1" x14ac:dyDescent="0.3">
      <c r="B93" s="393"/>
      <c r="C93" s="394"/>
      <c r="D93" s="394"/>
      <c r="E93" s="394"/>
      <c r="F93" s="394"/>
      <c r="G93" s="394"/>
      <c r="H93" s="394"/>
      <c r="I93" s="394"/>
      <c r="J93" s="394"/>
      <c r="K93" s="394"/>
      <c r="L93" s="394"/>
      <c r="M93" s="394"/>
      <c r="N93" s="394"/>
      <c r="O93" s="394"/>
      <c r="P93" s="394"/>
      <c r="Q93" s="394"/>
      <c r="R93" s="394"/>
      <c r="S93" s="394"/>
      <c r="T93" s="395"/>
    </row>
    <row r="94" spans="2:20" ht="15.75" thickBot="1" x14ac:dyDescent="0.3">
      <c r="B94" s="88" t="s">
        <v>260</v>
      </c>
      <c r="C94" s="82" t="s">
        <v>279</v>
      </c>
      <c r="D94" s="368" t="s">
        <v>263</v>
      </c>
      <c r="E94" s="369"/>
      <c r="F94" s="369"/>
      <c r="G94" s="369"/>
      <c r="H94" s="369"/>
      <c r="I94" s="369"/>
      <c r="J94" s="369"/>
      <c r="K94" s="369"/>
      <c r="L94" s="369"/>
      <c r="M94" s="369"/>
      <c r="N94" s="369"/>
      <c r="O94" s="369"/>
      <c r="P94" s="369"/>
      <c r="Q94" s="369"/>
      <c r="R94" s="369"/>
      <c r="S94" s="369"/>
      <c r="T94" s="370"/>
    </row>
    <row r="96" spans="2:20" x14ac:dyDescent="0.25">
      <c r="G96" s="80"/>
      <c r="H96" s="80"/>
    </row>
    <row r="102" spans="7:7" x14ac:dyDescent="0.25">
      <c r="G102" s="81"/>
    </row>
    <row r="103" spans="7:7" x14ac:dyDescent="0.25">
      <c r="G103" s="81"/>
    </row>
  </sheetData>
  <mergeCells count="56">
    <mergeCell ref="B2:T2"/>
    <mergeCell ref="B3:T3"/>
    <mergeCell ref="B4:T4"/>
    <mergeCell ref="B5:T5"/>
    <mergeCell ref="B90:B91"/>
    <mergeCell ref="B68:B69"/>
    <mergeCell ref="B70:C70"/>
    <mergeCell ref="B71:B73"/>
    <mergeCell ref="B74:C74"/>
    <mergeCell ref="B75:B79"/>
    <mergeCell ref="B58:C58"/>
    <mergeCell ref="B60:B62"/>
    <mergeCell ref="B63:C63"/>
    <mergeCell ref="B64:B66"/>
    <mergeCell ref="B67:C67"/>
    <mergeCell ref="B43:C43"/>
    <mergeCell ref="B92:C92"/>
    <mergeCell ref="B93:T93"/>
    <mergeCell ref="B80:C80"/>
    <mergeCell ref="B81:B84"/>
    <mergeCell ref="B85:C85"/>
    <mergeCell ref="B86:B87"/>
    <mergeCell ref="B88:C88"/>
    <mergeCell ref="B55:C55"/>
    <mergeCell ref="B56:B57"/>
    <mergeCell ref="B26:B30"/>
    <mergeCell ref="B31:C31"/>
    <mergeCell ref="B35:C35"/>
    <mergeCell ref="B38:C38"/>
    <mergeCell ref="R7:R8"/>
    <mergeCell ref="B52:B54"/>
    <mergeCell ref="B36:B37"/>
    <mergeCell ref="B33:B34"/>
    <mergeCell ref="B48:B50"/>
    <mergeCell ref="B45:B46"/>
    <mergeCell ref="B39:B42"/>
    <mergeCell ref="B9:B11"/>
    <mergeCell ref="B13:B20"/>
    <mergeCell ref="B47:C47"/>
    <mergeCell ref="B51:C51"/>
    <mergeCell ref="S7:S8"/>
    <mergeCell ref="B21:C21"/>
    <mergeCell ref="B12:C12"/>
    <mergeCell ref="D94:T94"/>
    <mergeCell ref="C6:C8"/>
    <mergeCell ref="D6:E6"/>
    <mergeCell ref="F6:O6"/>
    <mergeCell ref="P6:T6"/>
    <mergeCell ref="D7:D8"/>
    <mergeCell ref="E7:E8"/>
    <mergeCell ref="T7:T8"/>
    <mergeCell ref="B6:B8"/>
    <mergeCell ref="F7:J7"/>
    <mergeCell ref="K7:O7"/>
    <mergeCell ref="P7:P8"/>
    <mergeCell ref="Q7:Q8"/>
  </mergeCells>
  <pageMargins left="0.70866141732283472" right="0.70866141732283472" top="0.74803149606299213" bottom="0.74803149606299213" header="0.31496062992125984" footer="0.31496062992125984"/>
  <pageSetup scale="65"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6" sqref="J1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MGLOBAL AGROINDUSTRIAL</vt:lpstr>
      <vt:lpstr>MGLOBAL MINERO</vt:lpstr>
      <vt:lpstr>GOBAL URBANO</vt:lpstr>
      <vt:lpstr>poblacion</vt:lpstr>
      <vt:lpstr>T agroindustrial</vt:lpstr>
      <vt:lpstr>T minero</vt:lpstr>
      <vt:lpstr>T urbano</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Fernando Castro</dc:creator>
  <cp:lastModifiedBy>Corpocesar</cp:lastModifiedBy>
  <cp:lastPrinted>2014-05-12T20:38:51Z</cp:lastPrinted>
  <dcterms:created xsi:type="dcterms:W3CDTF">2014-04-25T21:27:03Z</dcterms:created>
  <dcterms:modified xsi:type="dcterms:W3CDTF">2014-05-13T21:44:18Z</dcterms:modified>
</cp:coreProperties>
</file>