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10C0687A-26FD-40D6-9B4A-32B2AAAB03A9}"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 r:id="rId12"/>
  </externalReferenc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7" i="1" l="1"/>
  <c r="W17" i="1" s="1"/>
  <c r="X17" i="1" s="1"/>
  <c r="T17" i="1"/>
  <c r="AR31" i="1" l="1"/>
  <c r="AS31" i="1" s="1"/>
  <c r="AT31" i="1" s="1"/>
  <c r="AP31" i="1"/>
  <c r="AR30" i="1"/>
  <c r="AS30" i="1" s="1"/>
  <c r="AT30" i="1" s="1"/>
  <c r="AP30" i="1"/>
  <c r="AR29" i="1"/>
  <c r="AS29" i="1" s="1"/>
  <c r="AT29" i="1" s="1"/>
  <c r="AP29" i="1"/>
  <c r="AR28" i="1"/>
  <c r="AS28" i="1" s="1"/>
  <c r="AT28" i="1" s="1"/>
  <c r="AP28" i="1"/>
  <c r="AR27" i="1"/>
  <c r="AS27" i="1" s="1"/>
  <c r="AT27" i="1" s="1"/>
  <c r="AP27" i="1"/>
  <c r="AS26" i="1"/>
  <c r="AT26" i="1" s="1"/>
  <c r="AR26" i="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S17" i="1"/>
  <c r="AT17" i="1" s="1"/>
  <c r="AR17" i="1"/>
  <c r="AP17" i="1"/>
  <c r="AR16" i="1"/>
  <c r="AS16" i="1" s="1"/>
  <c r="AT16" i="1" s="1"/>
  <c r="AP16" i="1"/>
  <c r="AR15" i="1"/>
  <c r="AS15" i="1" s="1"/>
  <c r="AT15" i="1" s="1"/>
  <c r="AP15" i="1"/>
  <c r="AR14" i="1"/>
  <c r="AS14" i="1" s="1"/>
  <c r="AT14" i="1" s="1"/>
  <c r="AP14" i="1"/>
  <c r="AR13" i="1"/>
  <c r="AS13" i="1" s="1"/>
  <c r="AT13" i="1" s="1"/>
  <c r="AP13" i="1"/>
  <c r="AR11" i="1"/>
  <c r="AS11" i="1" s="1"/>
  <c r="AT11" i="1" s="1"/>
  <c r="AP11" i="1"/>
  <c r="V59" i="1"/>
  <c r="W59" i="1" s="1"/>
  <c r="X59" i="1" s="1"/>
  <c r="T59" i="1"/>
  <c r="V58" i="1"/>
  <c r="W58" i="1" s="1"/>
  <c r="X58" i="1" s="1"/>
  <c r="T58" i="1"/>
  <c r="W57" i="1"/>
  <c r="X57" i="1" s="1"/>
  <c r="V57" i="1"/>
  <c r="T57" i="1"/>
  <c r="V56" i="1"/>
  <c r="W56" i="1" s="1"/>
  <c r="X56" i="1" s="1"/>
  <c r="T56" i="1"/>
  <c r="V55" i="1"/>
  <c r="W55" i="1" s="1"/>
  <c r="X55" i="1" s="1"/>
  <c r="T55" i="1"/>
  <c r="W54" i="1"/>
  <c r="X54" i="1" s="1"/>
  <c r="V54" i="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W33" i="1"/>
  <c r="X33" i="1" s="1"/>
  <c r="V33" i="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T19" i="1"/>
  <c r="V18" i="1"/>
  <c r="W18" i="1" s="1"/>
  <c r="T18" i="1"/>
  <c r="V16" i="1"/>
  <c r="W16" i="1" s="1"/>
  <c r="X16" i="1" s="1"/>
  <c r="T16" i="1"/>
  <c r="V15" i="1"/>
  <c r="W15" i="1" s="1"/>
  <c r="X15" i="1" s="1"/>
  <c r="T15" i="1"/>
  <c r="V13" i="1"/>
  <c r="W13" i="1" s="1"/>
  <c r="X13" i="1" s="1"/>
  <c r="T13" i="1"/>
  <c r="V11" i="1"/>
  <c r="W11" i="1" s="1"/>
  <c r="X11" i="1" s="1"/>
  <c r="T11" i="1"/>
  <c r="AA15" i="1" l="1"/>
  <c r="AA16" i="1"/>
  <c r="AD11" i="1" l="1"/>
  <c r="AA11" i="1"/>
  <c r="L11" i="1"/>
  <c r="M11" i="1" s="1"/>
  <c r="F221" i="13"/>
  <c r="F211" i="13"/>
  <c r="F212" i="13"/>
  <c r="F213" i="13"/>
  <c r="F214" i="13"/>
  <c r="F215" i="13"/>
  <c r="F216" i="13"/>
  <c r="F217" i="13"/>
  <c r="F218" i="13"/>
  <c r="F219" i="13"/>
  <c r="F220" i="13"/>
  <c r="F210" i="13"/>
  <c r="AA47" i="1"/>
  <c r="AL47" i="1" s="1"/>
  <c r="AK47" i="1" s="1"/>
  <c r="AA42" i="1"/>
  <c r="AA36" i="1"/>
  <c r="AL44" i="18"/>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AD64" i="1"/>
  <c r="AA64" i="1"/>
  <c r="AD63" i="1"/>
  <c r="AA63" i="1"/>
  <c r="AH64" i="1" s="1"/>
  <c r="AD62" i="1"/>
  <c r="AA62" i="1"/>
  <c r="AD61" i="1"/>
  <c r="AA61" i="1"/>
  <c r="AD60" i="1"/>
  <c r="AA60" i="1"/>
  <c r="AL61" i="1" s="1"/>
  <c r="AK61" i="1" s="1"/>
  <c r="AD59" i="1"/>
  <c r="AA59" i="1"/>
  <c r="AL59" i="1" s="1"/>
  <c r="AK59" i="1" s="1"/>
  <c r="L59" i="1"/>
  <c r="M59" i="1" s="1"/>
  <c r="AD58" i="1"/>
  <c r="AA58" i="1"/>
  <c r="AD57" i="1"/>
  <c r="AA57" i="1"/>
  <c r="AL58" i="1" s="1"/>
  <c r="AK58" i="1" s="1"/>
  <c r="AD56" i="1"/>
  <c r="AA56" i="1"/>
  <c r="AD55" i="1"/>
  <c r="AA55" i="1"/>
  <c r="AD54" i="1"/>
  <c r="AA54" i="1"/>
  <c r="AD53" i="1"/>
  <c r="AA53" i="1"/>
  <c r="AH53" i="1" s="1"/>
  <c r="L53" i="1"/>
  <c r="M53" i="1" s="1"/>
  <c r="AD52" i="1"/>
  <c r="AA52" i="1"/>
  <c r="AL52" i="1" s="1"/>
  <c r="AK52" i="1" s="1"/>
  <c r="AD51" i="1"/>
  <c r="AA51" i="1"/>
  <c r="AD50" i="1"/>
  <c r="AA50" i="1"/>
  <c r="AD49" i="1"/>
  <c r="AA49" i="1"/>
  <c r="AD48" i="1"/>
  <c r="AA48" i="1"/>
  <c r="AL48" i="1" s="1"/>
  <c r="AK48" i="1" s="1"/>
  <c r="AD47" i="1"/>
  <c r="L47" i="1"/>
  <c r="M47" i="1" s="1"/>
  <c r="AD46" i="1"/>
  <c r="AA46" i="1"/>
  <c r="AD45" i="1"/>
  <c r="AA45" i="1"/>
  <c r="AH46" i="1" s="1"/>
  <c r="AD44" i="1"/>
  <c r="AA44" i="1"/>
  <c r="AD43" i="1"/>
  <c r="AA43" i="1"/>
  <c r="AD42" i="1"/>
  <c r="AD41" i="1"/>
  <c r="AA41" i="1"/>
  <c r="L41" i="1"/>
  <c r="M41" i="1" s="1"/>
  <c r="AD40" i="1"/>
  <c r="AA40" i="1"/>
  <c r="AD39" i="1"/>
  <c r="AA39" i="1"/>
  <c r="AD38" i="1"/>
  <c r="AA38" i="1"/>
  <c r="AH39" i="1" s="1"/>
  <c r="AD37" i="1"/>
  <c r="AA37" i="1"/>
  <c r="AH38" i="1" s="1"/>
  <c r="AI38" i="1" s="1"/>
  <c r="AD36" i="1"/>
  <c r="AD35" i="1"/>
  <c r="AA35" i="1"/>
  <c r="AH36" i="1" s="1"/>
  <c r="AJ36" i="1" s="1"/>
  <c r="L35" i="1"/>
  <c r="M35" i="1" s="1"/>
  <c r="AD34" i="1"/>
  <c r="AA34" i="1"/>
  <c r="AD33" i="1"/>
  <c r="AA33" i="1"/>
  <c r="AL34" i="1" s="1"/>
  <c r="AK34" i="1" s="1"/>
  <c r="AD32" i="1"/>
  <c r="AA32" i="1"/>
  <c r="AL32" i="1" s="1"/>
  <c r="AK32" i="1" s="1"/>
  <c r="AD31" i="1"/>
  <c r="AA31" i="1"/>
  <c r="AD30" i="1"/>
  <c r="AA30" i="1"/>
  <c r="AD29" i="1"/>
  <c r="AA29" i="1"/>
  <c r="AL29" i="1" s="1"/>
  <c r="AK29" i="1" s="1"/>
  <c r="L29" i="1"/>
  <c r="M29" i="1" s="1"/>
  <c r="AD28" i="1"/>
  <c r="AA28" i="1"/>
  <c r="AD27" i="1"/>
  <c r="AA27" i="1"/>
  <c r="AD26" i="1"/>
  <c r="AA26" i="1"/>
  <c r="AD25" i="1"/>
  <c r="AA25" i="1"/>
  <c r="AD24" i="1"/>
  <c r="AA24" i="1"/>
  <c r="AD23" i="1"/>
  <c r="AA23" i="1"/>
  <c r="L23" i="1"/>
  <c r="M23" i="1" s="1"/>
  <c r="AD22" i="1"/>
  <c r="AA22" i="1"/>
  <c r="AD21" i="1"/>
  <c r="AA21" i="1"/>
  <c r="AD20" i="1"/>
  <c r="AA20" i="1"/>
  <c r="AD19" i="1"/>
  <c r="AA19" i="1"/>
  <c r="AD18" i="1"/>
  <c r="AA18" i="1"/>
  <c r="AH19" i="1" s="1"/>
  <c r="L15" i="1"/>
  <c r="M15" i="1" s="1"/>
  <c r="AD16" i="1"/>
  <c r="AD15" i="1"/>
  <c r="AH29" i="1"/>
  <c r="AD13" i="1"/>
  <c r="AD14" i="1"/>
  <c r="AA14" i="1"/>
  <c r="AA13" i="1"/>
  <c r="AL62" i="1"/>
  <c r="AK62" i="1" s="1"/>
  <c r="AL31" i="1"/>
  <c r="AK31" i="1" s="1"/>
  <c r="AL64" i="1"/>
  <c r="AK64" i="1" s="1"/>
  <c r="AL28" i="1"/>
  <c r="AK28" i="1" s="1"/>
  <c r="O39" i="1"/>
  <c r="O33" i="1"/>
  <c r="O64" i="1"/>
  <c r="O44" i="1"/>
  <c r="O36" i="1"/>
  <c r="O50" i="1"/>
  <c r="O48" i="1"/>
  <c r="O61" i="1"/>
  <c r="O60" i="1"/>
  <c r="O56" i="1"/>
  <c r="O40" i="1"/>
  <c r="O32" i="1"/>
  <c r="O38" i="1"/>
  <c r="O34" i="1"/>
  <c r="O31" i="1"/>
  <c r="O49" i="1"/>
  <c r="O55" i="1"/>
  <c r="O37" i="1"/>
  <c r="O30" i="1"/>
  <c r="O22" i="1"/>
  <c r="O63" i="1"/>
  <c r="O20" i="1"/>
  <c r="O46" i="1"/>
  <c r="O51" i="1"/>
  <c r="O26" i="1"/>
  <c r="O62" i="1"/>
  <c r="O57" i="1"/>
  <c r="O54" i="1"/>
  <c r="O58" i="1"/>
  <c r="O45" i="1"/>
  <c r="O24" i="1"/>
  <c r="O25" i="1"/>
  <c r="O27" i="1"/>
  <c r="O21" i="1"/>
  <c r="O42" i="1"/>
  <c r="O28" i="1"/>
  <c r="B221" i="13" a="1"/>
  <c r="O43" i="1"/>
  <c r="O52" i="1"/>
  <c r="AL19" i="1" l="1"/>
  <c r="AK19" i="1" s="1"/>
  <c r="AH47" i="1"/>
  <c r="AI47" i="1" s="1"/>
  <c r="AB33" i="19" s="1"/>
  <c r="AL49" i="1"/>
  <c r="AK49" i="1" s="1"/>
  <c r="AH60" i="1"/>
  <c r="AI60" i="1" s="1"/>
  <c r="AL33" i="1"/>
  <c r="AK33" i="1" s="1"/>
  <c r="AH63" i="1"/>
  <c r="AJ63" i="1" s="1"/>
  <c r="AL25" i="1"/>
  <c r="AK25" i="1" s="1"/>
  <c r="AH56" i="1"/>
  <c r="AI56" i="1" s="1"/>
  <c r="M14" i="19" s="1"/>
  <c r="AH43" i="1"/>
  <c r="AI43" i="1" s="1"/>
  <c r="AH33" i="1"/>
  <c r="AH35" i="1"/>
  <c r="AH59" i="1"/>
  <c r="AI59" i="1" s="1"/>
  <c r="J25" i="19" s="1"/>
  <c r="AL42" i="1"/>
  <c r="AK42" i="1" s="1"/>
  <c r="AL56" i="1"/>
  <c r="AK56" i="1" s="1"/>
  <c r="AL46" i="1"/>
  <c r="AK46" i="1" s="1"/>
  <c r="U42" i="19" s="1"/>
  <c r="AL63" i="1"/>
  <c r="AK63" i="1" s="1"/>
  <c r="AH48" i="1"/>
  <c r="AI48" i="1" s="1"/>
  <c r="K43" i="19" s="1"/>
  <c r="B221" i="13"/>
  <c r="H210" i="13" s="1"/>
  <c r="W23" i="19"/>
  <c r="AH57" i="1"/>
  <c r="AH32" i="1"/>
  <c r="AI32" i="1" s="1"/>
  <c r="M40" i="19" s="1"/>
  <c r="AL40" i="1"/>
  <c r="AK40" i="1" s="1"/>
  <c r="AA41" i="19" s="1"/>
  <c r="AJ56" i="1"/>
  <c r="AL26" i="1"/>
  <c r="AK26" i="1" s="1"/>
  <c r="AL57" i="1"/>
  <c r="AK57" i="1" s="1"/>
  <c r="AH15" i="1"/>
  <c r="AH40" i="1"/>
  <c r="AI40" i="1" s="1"/>
  <c r="AM41" i="19" s="1"/>
  <c r="AL43" i="1"/>
  <c r="AK43" i="1" s="1"/>
  <c r="L52" i="19" s="1"/>
  <c r="AH13" i="1"/>
  <c r="AJ13" i="1" s="1"/>
  <c r="AH11" i="1"/>
  <c r="AJ11" i="1" s="1"/>
  <c r="AI53" i="1"/>
  <c r="AJ53" i="1"/>
  <c r="Y44" i="19"/>
  <c r="Y40" i="19"/>
  <c r="AK10" i="19"/>
  <c r="AJ64" i="1"/>
  <c r="AI64" i="1"/>
  <c r="O45" i="19" s="1"/>
  <c r="V23" i="19"/>
  <c r="AH23" i="19"/>
  <c r="AI46" i="1"/>
  <c r="AJ46" i="1"/>
  <c r="AL39" i="1"/>
  <c r="AK39" i="1" s="1"/>
  <c r="J33" i="19"/>
  <c r="AL27" i="1"/>
  <c r="AK27" i="1" s="1"/>
  <c r="AB13" i="19"/>
  <c r="P33" i="19"/>
  <c r="AL41" i="1"/>
  <c r="AK41" i="1" s="1"/>
  <c r="AL20" i="1"/>
  <c r="AK20" i="1" s="1"/>
  <c r="J43" i="19"/>
  <c r="AH49" i="1"/>
  <c r="AH41" i="1"/>
  <c r="AI41" i="1" s="1"/>
  <c r="AH25" i="1"/>
  <c r="AI25" i="1" s="1"/>
  <c r="W53" i="19"/>
  <c r="AL53" i="1"/>
  <c r="AK53" i="1" s="1"/>
  <c r="AC23" i="19"/>
  <c r="V13" i="19"/>
  <c r="AJ43" i="1"/>
  <c r="AH42" i="1"/>
  <c r="AH26" i="1"/>
  <c r="AJ26" i="1" s="1"/>
  <c r="AJ60" i="1"/>
  <c r="AL51" i="1"/>
  <c r="AK51" i="1" s="1"/>
  <c r="AH50" i="1"/>
  <c r="AJ50" i="1" s="1"/>
  <c r="AL50" i="1"/>
  <c r="AK50" i="1" s="1"/>
  <c r="K13" i="19"/>
  <c r="V25" i="19"/>
  <c r="P15" i="19"/>
  <c r="AH45" i="19"/>
  <c r="AH25" i="19"/>
  <c r="AI57" i="1"/>
  <c r="AJ57" i="1"/>
  <c r="M30" i="19"/>
  <c r="AK40" i="19"/>
  <c r="AM32" i="1"/>
  <c r="AE50" i="19"/>
  <c r="M10" i="19"/>
  <c r="Q33" i="19"/>
  <c r="AI13" i="19"/>
  <c r="W43" i="19"/>
  <c r="AH35" i="19"/>
  <c r="Q53" i="19"/>
  <c r="AI26" i="1"/>
  <c r="S19" i="19" s="1"/>
  <c r="K23" i="19"/>
  <c r="AC13" i="19"/>
  <c r="K33" i="19"/>
  <c r="AL35" i="1"/>
  <c r="AK35" i="1" s="1"/>
  <c r="AL18" i="1"/>
  <c r="AK18" i="1" s="1"/>
  <c r="AH58" i="1"/>
  <c r="AL21" i="1"/>
  <c r="AK21" i="1" s="1"/>
  <c r="Q23" i="19"/>
  <c r="AI23" i="19"/>
  <c r="AH22" i="1"/>
  <c r="AD27" i="19"/>
  <c r="AJ48" i="1"/>
  <c r="AI53" i="19"/>
  <c r="AK34" i="19"/>
  <c r="AE40" i="19"/>
  <c r="W13" i="19"/>
  <c r="AM48" i="1"/>
  <c r="AC53" i="19"/>
  <c r="AH18" i="1"/>
  <c r="AJ18" i="1" s="1"/>
  <c r="P13" i="19"/>
  <c r="AL60" i="1"/>
  <c r="AK60" i="1" s="1"/>
  <c r="Q15" i="19" s="1"/>
  <c r="M24" i="19"/>
  <c r="Q13" i="19"/>
  <c r="AC33" i="19"/>
  <c r="AC43" i="19"/>
  <c r="AL22" i="1"/>
  <c r="AK22" i="1" s="1"/>
  <c r="W33" i="19"/>
  <c r="AI33" i="19"/>
  <c r="AI43" i="19"/>
  <c r="AJ38" i="1"/>
  <c r="AH34" i="1"/>
  <c r="AI34" i="1" s="1"/>
  <c r="J45" i="19"/>
  <c r="AH15" i="19"/>
  <c r="AB15" i="19"/>
  <c r="AJ35" i="1"/>
  <c r="AI35" i="1"/>
  <c r="Y20" i="19"/>
  <c r="Y14" i="19"/>
  <c r="AJ39" i="1"/>
  <c r="AI39" i="1"/>
  <c r="AM59" i="1"/>
  <c r="AM40" i="1"/>
  <c r="AM31" i="19"/>
  <c r="AJ33" i="1"/>
  <c r="AI33" i="1"/>
  <c r="AB55" i="19"/>
  <c r="V45" i="19"/>
  <c r="Y34" i="19"/>
  <c r="V15" i="19"/>
  <c r="P35" i="19"/>
  <c r="J55" i="19"/>
  <c r="P45" i="19"/>
  <c r="Z24" i="19"/>
  <c r="AK50" i="19"/>
  <c r="U31" i="19"/>
  <c r="AJ52" i="19"/>
  <c r="L32" i="19"/>
  <c r="AJ19" i="1"/>
  <c r="AI19" i="1"/>
  <c r="X7" i="19"/>
  <c r="AJ47" i="19"/>
  <c r="Q43" i="19"/>
  <c r="K53" i="19"/>
  <c r="AL30" i="1"/>
  <c r="AK30" i="1" s="1"/>
  <c r="AH31" i="1"/>
  <c r="AH30" i="1"/>
  <c r="AI50" i="1"/>
  <c r="AI29" i="1"/>
  <c r="AJ29" i="1"/>
  <c r="AH21" i="1"/>
  <c r="AL24" i="1"/>
  <c r="AK24" i="1" s="1"/>
  <c r="AH23" i="1"/>
  <c r="AH24" i="1"/>
  <c r="AL23" i="1"/>
  <c r="AK23" i="1" s="1"/>
  <c r="AH28" i="1"/>
  <c r="AH27" i="1"/>
  <c r="AH54" i="1"/>
  <c r="AL55" i="1"/>
  <c r="AK55" i="1" s="1"/>
  <c r="AL54" i="1"/>
  <c r="AK54" i="1" s="1"/>
  <c r="AH55" i="1"/>
  <c r="AH61" i="1"/>
  <c r="AH62" i="1"/>
  <c r="AH52" i="1"/>
  <c r="AH51" i="1"/>
  <c r="J13" i="19"/>
  <c r="AI36" i="1"/>
  <c r="J23" i="19"/>
  <c r="J53" i="19"/>
  <c r="V53" i="19"/>
  <c r="AB43" i="19"/>
  <c r="AH43" i="19"/>
  <c r="AH33" i="19"/>
  <c r="P43" i="19"/>
  <c r="AH13" i="19"/>
  <c r="AB23" i="19"/>
  <c r="AB53" i="19"/>
  <c r="P53" i="19"/>
  <c r="AH53" i="19"/>
  <c r="AM47" i="1"/>
  <c r="V33" i="19"/>
  <c r="V43" i="19"/>
  <c r="P23" i="19"/>
  <c r="AH44" i="1"/>
  <c r="AL44" i="1"/>
  <c r="AK44" i="1" s="1"/>
  <c r="AL45" i="1"/>
  <c r="AK45" i="1" s="1"/>
  <c r="AH45" i="1"/>
  <c r="AL37" i="1"/>
  <c r="AK37" i="1" s="1"/>
  <c r="AH37" i="1"/>
  <c r="AL38" i="1"/>
  <c r="AK38" i="1" s="1"/>
  <c r="M31" i="19" s="1"/>
  <c r="AJ32" i="1"/>
  <c r="AH20" i="1"/>
  <c r="AJ47" i="1"/>
  <c r="AJ59" i="1"/>
  <c r="AL36" i="1"/>
  <c r="AK36" i="1" s="1"/>
  <c r="AL6" i="19"/>
  <c r="U6" i="19"/>
  <c r="AA26" i="19"/>
  <c r="AG46" i="19"/>
  <c r="AG26" i="19"/>
  <c r="AA16" i="19"/>
  <c r="O16" i="19"/>
  <c r="AA6" i="19"/>
  <c r="AG36" i="19"/>
  <c r="AM26" i="19"/>
  <c r="O26" i="19"/>
  <c r="U26" i="19"/>
  <c r="AM46" i="19"/>
  <c r="U16" i="19"/>
  <c r="AG16" i="19"/>
  <c r="O36" i="19"/>
  <c r="AM16" i="19"/>
  <c r="O6" i="19"/>
  <c r="Y16" i="19"/>
  <c r="AE26" i="19"/>
  <c r="AE6" i="19"/>
  <c r="AK46" i="19"/>
  <c r="M16" i="19"/>
  <c r="M46" i="19"/>
  <c r="S36" i="19"/>
  <c r="Y46" i="19"/>
  <c r="Y26" i="19"/>
  <c r="AE16" i="19"/>
  <c r="AK26" i="19"/>
  <c r="AK6" i="19"/>
  <c r="M6" i="19"/>
  <c r="S16" i="19"/>
  <c r="Y36" i="19"/>
  <c r="AK16" i="19"/>
  <c r="Y6" i="19"/>
  <c r="S6" i="19"/>
  <c r="AE46" i="19"/>
  <c r="M26" i="19"/>
  <c r="AK36" i="19"/>
  <c r="AE36" i="19"/>
  <c r="M36" i="19"/>
  <c r="S46" i="19"/>
  <c r="S26" i="19"/>
  <c r="AF26" i="19"/>
  <c r="AM36" i="19"/>
  <c r="O46" i="19"/>
  <c r="U36" i="19"/>
  <c r="U46" i="19"/>
  <c r="AA46" i="19"/>
  <c r="AA36" i="19"/>
  <c r="AM6" i="19"/>
  <c r="AG6" i="19"/>
  <c r="AK44" i="19" l="1"/>
  <c r="AM56" i="1"/>
  <c r="AI55" i="19"/>
  <c r="AE14" i="19"/>
  <c r="S14" i="19"/>
  <c r="AK24" i="19"/>
  <c r="AA51" i="19"/>
  <c r="AJ40" i="1"/>
  <c r="S54" i="19"/>
  <c r="S44" i="19"/>
  <c r="M44" i="19"/>
  <c r="Y24" i="19"/>
  <c r="O32" i="19"/>
  <c r="M34" i="19"/>
  <c r="AK14" i="19"/>
  <c r="AE54" i="19"/>
  <c r="U11" i="19"/>
  <c r="S34" i="19"/>
  <c r="AE44" i="19"/>
  <c r="M20" i="19"/>
  <c r="V55" i="19"/>
  <c r="J35" i="19"/>
  <c r="S30" i="19"/>
  <c r="AK30" i="19"/>
  <c r="AJ25" i="1"/>
  <c r="P25" i="19"/>
  <c r="AE10" i="19"/>
  <c r="AK54" i="19"/>
  <c r="Q25" i="19"/>
  <c r="AE34" i="19"/>
  <c r="AE24" i="19"/>
  <c r="Y54" i="19"/>
  <c r="AG11" i="19"/>
  <c r="X52" i="19"/>
  <c r="S40" i="19"/>
  <c r="J15" i="19"/>
  <c r="AE30" i="19"/>
  <c r="S10" i="19"/>
  <c r="AB45" i="19"/>
  <c r="P55" i="19"/>
  <c r="AB35" i="19"/>
  <c r="AH32" i="19"/>
  <c r="AK20" i="19"/>
  <c r="AL15" i="19"/>
  <c r="S24" i="19"/>
  <c r="O31" i="19"/>
  <c r="AM51" i="19"/>
  <c r="M9" i="19"/>
  <c r="O11" i="19"/>
  <c r="AB25" i="19"/>
  <c r="AE20" i="19"/>
  <c r="R32" i="19"/>
  <c r="AH55" i="19"/>
  <c r="V35" i="19"/>
  <c r="Y10" i="19"/>
  <c r="AM53" i="1"/>
  <c r="AI63" i="1"/>
  <c r="R39" i="19"/>
  <c r="AJ19" i="19"/>
  <c r="X39" i="19"/>
  <c r="X29" i="19"/>
  <c r="AJ39" i="19"/>
  <c r="R52" i="19"/>
  <c r="AM63" i="1"/>
  <c r="O42" i="19"/>
  <c r="AD22" i="19"/>
  <c r="R22" i="19"/>
  <c r="AJ22" i="19"/>
  <c r="AM11" i="19"/>
  <c r="T35" i="19"/>
  <c r="AF15" i="19"/>
  <c r="T25" i="19"/>
  <c r="AF25" i="19"/>
  <c r="O52" i="19"/>
  <c r="L12" i="19"/>
  <c r="R42" i="19"/>
  <c r="AD52" i="19"/>
  <c r="T15" i="19"/>
  <c r="AG51" i="19"/>
  <c r="R12" i="19"/>
  <c r="AA42" i="19"/>
  <c r="T44" i="19"/>
  <c r="N35" i="19"/>
  <c r="AL25" i="19"/>
  <c r="V52" i="19"/>
  <c r="N25" i="19"/>
  <c r="Z35" i="19"/>
  <c r="P12" i="19"/>
  <c r="AD32" i="19"/>
  <c r="AD12" i="19"/>
  <c r="X42" i="19"/>
  <c r="AG21" i="19"/>
  <c r="O21" i="19"/>
  <c r="X32" i="19"/>
  <c r="AJ32" i="19"/>
  <c r="AM21" i="19"/>
  <c r="Y39" i="19"/>
  <c r="U41" i="19"/>
  <c r="S50" i="19"/>
  <c r="Y30" i="19"/>
  <c r="T45" i="19"/>
  <c r="Z45" i="19"/>
  <c r="Y50" i="19"/>
  <c r="N55" i="19"/>
  <c r="M54" i="19"/>
  <c r="Z15" i="19"/>
  <c r="AJ42" i="19"/>
  <c r="AF35" i="19"/>
  <c r="AL35" i="19"/>
  <c r="AM43" i="1"/>
  <c r="L22" i="19"/>
  <c r="AL54" i="19"/>
  <c r="AA11" i="19"/>
  <c r="O51" i="19"/>
  <c r="S20" i="19"/>
  <c r="M50" i="19"/>
  <c r="AF45" i="19"/>
  <c r="AA31" i="19"/>
  <c r="Z55" i="19"/>
  <c r="Z25" i="19"/>
  <c r="AE39" i="19"/>
  <c r="L42" i="19"/>
  <c r="AG41" i="19"/>
  <c r="X22" i="19"/>
  <c r="AJ12" i="19"/>
  <c r="AD42" i="19"/>
  <c r="T55" i="19"/>
  <c r="AL45" i="19"/>
  <c r="AH54" i="19"/>
  <c r="U51" i="19"/>
  <c r="U21" i="19"/>
  <c r="AG31" i="19"/>
  <c r="O41" i="19"/>
  <c r="AA21" i="19"/>
  <c r="X12" i="19"/>
  <c r="K55" i="19"/>
  <c r="AI45" i="19"/>
  <c r="AK9" i="19"/>
  <c r="S9" i="19"/>
  <c r="AK19" i="19"/>
  <c r="M29" i="19"/>
  <c r="AH44" i="19"/>
  <c r="P34" i="19"/>
  <c r="AM46" i="1"/>
  <c r="AA52" i="19"/>
  <c r="AB34" i="19"/>
  <c r="O22" i="19"/>
  <c r="AB52" i="19"/>
  <c r="P54" i="19"/>
  <c r="AM52" i="19"/>
  <c r="AM22" i="19"/>
  <c r="V44" i="19"/>
  <c r="AG32" i="19"/>
  <c r="AA32" i="19"/>
  <c r="AM42" i="19"/>
  <c r="U22" i="19"/>
  <c r="AH24" i="19"/>
  <c r="AM32" i="19"/>
  <c r="V54" i="19"/>
  <c r="AA12" i="19"/>
  <c r="AG12" i="19"/>
  <c r="AI18" i="1"/>
  <c r="AM12" i="19"/>
  <c r="J44" i="19"/>
  <c r="AB14" i="19"/>
  <c r="O12" i="19"/>
  <c r="AG22" i="19"/>
  <c r="AG52" i="19"/>
  <c r="P44" i="19"/>
  <c r="AA22" i="19"/>
  <c r="U52" i="19"/>
  <c r="U12" i="19"/>
  <c r="AG42" i="19"/>
  <c r="U32" i="19"/>
  <c r="AB54" i="19"/>
  <c r="V24" i="19"/>
  <c r="J54" i="19"/>
  <c r="J14" i="19"/>
  <c r="AH14" i="19"/>
  <c r="AM55" i="19"/>
  <c r="AG15" i="19"/>
  <c r="O25" i="19"/>
  <c r="AH34" i="19"/>
  <c r="V14" i="19"/>
  <c r="U45" i="19"/>
  <c r="J34" i="19"/>
  <c r="V34" i="19"/>
  <c r="AB24" i="19"/>
  <c r="J24" i="19"/>
  <c r="AM45" i="19"/>
  <c r="AB42" i="19"/>
  <c r="J22" i="19"/>
  <c r="J52" i="19"/>
  <c r="AH52" i="19"/>
  <c r="J42" i="19"/>
  <c r="V32" i="19"/>
  <c r="AB12" i="19"/>
  <c r="P22" i="19"/>
  <c r="AM41" i="1"/>
  <c r="AB32" i="19"/>
  <c r="AB22" i="19"/>
  <c r="V22" i="19"/>
  <c r="P32" i="19"/>
  <c r="J12" i="19"/>
  <c r="AH12" i="19"/>
  <c r="AH22" i="19"/>
  <c r="AB44" i="19"/>
  <c r="AH14" i="1"/>
  <c r="AI14" i="1" s="1"/>
  <c r="AI11" i="1"/>
  <c r="W35" i="19"/>
  <c r="T14" i="19"/>
  <c r="AG45" i="19"/>
  <c r="O55" i="19"/>
  <c r="O15" i="19"/>
  <c r="AA55" i="19"/>
  <c r="AA45" i="19"/>
  <c r="AC45" i="19"/>
  <c r="AJ34" i="1"/>
  <c r="S51" i="19"/>
  <c r="K25" i="19"/>
  <c r="K45" i="19"/>
  <c r="T54" i="19"/>
  <c r="AM25" i="19"/>
  <c r="AL14" i="19"/>
  <c r="AJ41" i="1"/>
  <c r="J32" i="19"/>
  <c r="AA15" i="19"/>
  <c r="AM15" i="19"/>
  <c r="AM60" i="1"/>
  <c r="AI15" i="19"/>
  <c r="N14" i="19"/>
  <c r="N34" i="19"/>
  <c r="P24" i="19"/>
  <c r="O35" i="19"/>
  <c r="AA25" i="19"/>
  <c r="W55" i="19"/>
  <c r="W25" i="19"/>
  <c r="AF14" i="19"/>
  <c r="AG55" i="19"/>
  <c r="AG25" i="19"/>
  <c r="AM64" i="1"/>
  <c r="AI42" i="1"/>
  <c r="AJ42" i="1"/>
  <c r="AI25" i="19"/>
  <c r="AC35" i="19"/>
  <c r="U35" i="19"/>
  <c r="P14" i="19"/>
  <c r="AI49" i="1"/>
  <c r="AJ49" i="1"/>
  <c r="AM35" i="19"/>
  <c r="U25" i="19"/>
  <c r="U15" i="19"/>
  <c r="AC55" i="19"/>
  <c r="K15" i="19"/>
  <c r="W45" i="19"/>
  <c r="U55" i="19"/>
  <c r="AG35" i="19"/>
  <c r="AA35" i="19"/>
  <c r="V42" i="19"/>
  <c r="P42" i="19"/>
  <c r="AH42" i="19"/>
  <c r="V12" i="19"/>
  <c r="P52" i="19"/>
  <c r="AD19" i="19"/>
  <c r="Q35" i="19"/>
  <c r="AI35" i="19"/>
  <c r="AJ27" i="19"/>
  <c r="X47" i="19"/>
  <c r="R37" i="19"/>
  <c r="L27" i="19"/>
  <c r="AJ7" i="19"/>
  <c r="L7" i="19"/>
  <c r="AD7" i="19"/>
  <c r="AJ37" i="19"/>
  <c r="L17" i="19"/>
  <c r="X37" i="19"/>
  <c r="R27" i="19"/>
  <c r="AD17" i="19"/>
  <c r="X27" i="19"/>
  <c r="R47" i="19"/>
  <c r="R17" i="19"/>
  <c r="X17" i="19"/>
  <c r="L47" i="19"/>
  <c r="AD37" i="19"/>
  <c r="AD47" i="19"/>
  <c r="L37" i="19"/>
  <c r="AJ17" i="19"/>
  <c r="R7" i="19"/>
  <c r="AI58" i="1"/>
  <c r="AJ58" i="1"/>
  <c r="AI22" i="1"/>
  <c r="AJ22" i="1"/>
  <c r="Q45" i="19"/>
  <c r="AD29" i="19"/>
  <c r="L9" i="19"/>
  <c r="AD49" i="19"/>
  <c r="R9" i="19"/>
  <c r="AM25" i="1"/>
  <c r="L19" i="19"/>
  <c r="X9" i="19"/>
  <c r="X49" i="19"/>
  <c r="AD9" i="19"/>
  <c r="L29" i="19"/>
  <c r="R49" i="19"/>
  <c r="AJ49" i="19"/>
  <c r="AD39" i="19"/>
  <c r="L39" i="19"/>
  <c r="L49" i="19"/>
  <c r="AJ29" i="19"/>
  <c r="AJ9" i="19"/>
  <c r="R29" i="19"/>
  <c r="X19" i="19"/>
  <c r="R19" i="19"/>
  <c r="AC15" i="19"/>
  <c r="W15" i="19"/>
  <c r="K35" i="19"/>
  <c r="Q55" i="19"/>
  <c r="AC25" i="19"/>
  <c r="S39" i="19"/>
  <c r="AK39" i="19"/>
  <c r="AM26" i="1"/>
  <c r="M39" i="19"/>
  <c r="M49" i="19"/>
  <c r="M19" i="19"/>
  <c r="Y29" i="19"/>
  <c r="S49" i="19"/>
  <c r="AE19" i="19"/>
  <c r="AE9" i="19"/>
  <c r="AK49" i="19"/>
  <c r="AK29" i="19"/>
  <c r="Y19" i="19"/>
  <c r="S29" i="19"/>
  <c r="AE29" i="19"/>
  <c r="Y49" i="19"/>
  <c r="Y9" i="19"/>
  <c r="AE49" i="19"/>
  <c r="T24" i="19"/>
  <c r="Z54" i="19"/>
  <c r="AF54" i="19"/>
  <c r="AM57" i="1"/>
  <c r="N24" i="19"/>
  <c r="AL24" i="19"/>
  <c r="Z44" i="19"/>
  <c r="AL44" i="19"/>
  <c r="Z34" i="19"/>
  <c r="T34" i="19"/>
  <c r="Z14" i="19"/>
  <c r="AF24" i="19"/>
  <c r="AL34" i="19"/>
  <c r="AF34" i="19"/>
  <c r="AF44" i="19"/>
  <c r="N44" i="19"/>
  <c r="N54" i="19"/>
  <c r="AI45" i="1"/>
  <c r="AJ45" i="1"/>
  <c r="AI20" i="1"/>
  <c r="AJ20" i="1"/>
  <c r="AJ27" i="1"/>
  <c r="AI27" i="1"/>
  <c r="AI61" i="1"/>
  <c r="AJ61" i="1"/>
  <c r="AI28" i="1"/>
  <c r="AJ28" i="1"/>
  <c r="V20" i="19"/>
  <c r="P50" i="19"/>
  <c r="V10" i="19"/>
  <c r="AH10" i="19"/>
  <c r="AB10" i="19"/>
  <c r="P20" i="19"/>
  <c r="P10" i="19"/>
  <c r="AH30" i="19"/>
  <c r="J20" i="19"/>
  <c r="AB50" i="19"/>
  <c r="AH40" i="19"/>
  <c r="P40" i="19"/>
  <c r="J40" i="19"/>
  <c r="J50" i="19"/>
  <c r="J10" i="19"/>
  <c r="V40" i="19"/>
  <c r="P30" i="19"/>
  <c r="V50" i="19"/>
  <c r="AB20" i="19"/>
  <c r="AH20" i="19"/>
  <c r="AB30" i="19"/>
  <c r="J30" i="19"/>
  <c r="V30" i="19"/>
  <c r="AB40" i="19"/>
  <c r="AM29" i="1"/>
  <c r="AH50" i="19"/>
  <c r="AJ15" i="1"/>
  <c r="AH16" i="1" s="1"/>
  <c r="AI15" i="1"/>
  <c r="AI52" i="1"/>
  <c r="AJ52" i="1"/>
  <c r="S37" i="19"/>
  <c r="Y37" i="19"/>
  <c r="M27" i="19"/>
  <c r="AE17" i="19"/>
  <c r="Y17" i="19"/>
  <c r="AK37" i="19"/>
  <c r="AK27" i="19"/>
  <c r="AE7" i="19"/>
  <c r="AK17" i="19"/>
  <c r="Y7" i="19"/>
  <c r="S47" i="19"/>
  <c r="S27" i="19"/>
  <c r="AE37" i="19"/>
  <c r="M7" i="19"/>
  <c r="AE27" i="19"/>
  <c r="Y27" i="19"/>
  <c r="M37" i="19"/>
  <c r="Y47" i="19"/>
  <c r="M47" i="19"/>
  <c r="S17" i="19"/>
  <c r="S7" i="19"/>
  <c r="AK7" i="19"/>
  <c r="AK47" i="19"/>
  <c r="M17" i="19"/>
  <c r="AE47" i="19"/>
  <c r="AI44" i="1"/>
  <c r="AJ44" i="1"/>
  <c r="AJ55" i="1"/>
  <c r="AI55" i="1"/>
  <c r="N51" i="19"/>
  <c r="AL11" i="19"/>
  <c r="AF51" i="19"/>
  <c r="AF21" i="19"/>
  <c r="AL41" i="19"/>
  <c r="AL21" i="19"/>
  <c r="AL31" i="19"/>
  <c r="T21" i="19"/>
  <c r="T41" i="19"/>
  <c r="T51" i="19"/>
  <c r="T11" i="19"/>
  <c r="Z51" i="19"/>
  <c r="T31" i="19"/>
  <c r="N41" i="19"/>
  <c r="Z31" i="19"/>
  <c r="AM39" i="1"/>
  <c r="N21" i="19"/>
  <c r="AF41" i="19"/>
  <c r="N31" i="19"/>
  <c r="AF11" i="19"/>
  <c r="Z11" i="19"/>
  <c r="Z21" i="19"/>
  <c r="AF31" i="19"/>
  <c r="AL51" i="19"/>
  <c r="Z41" i="19"/>
  <c r="N11" i="19"/>
  <c r="AJ62" i="1"/>
  <c r="AI62" i="1"/>
  <c r="Y51" i="19"/>
  <c r="M21" i="19"/>
  <c r="AE11" i="19"/>
  <c r="AK21" i="19"/>
  <c r="AE31" i="19"/>
  <c r="Y11" i="19"/>
  <c r="Y31" i="19"/>
  <c r="Y41" i="19"/>
  <c r="AE41" i="19"/>
  <c r="S21" i="19"/>
  <c r="M41" i="19"/>
  <c r="AE21" i="19"/>
  <c r="M11" i="19"/>
  <c r="Y21" i="19"/>
  <c r="AE51" i="19"/>
  <c r="AK41" i="19"/>
  <c r="AK51" i="19"/>
  <c r="S31" i="19"/>
  <c r="AM38" i="1"/>
  <c r="M51" i="19"/>
  <c r="S41" i="19"/>
  <c r="AK31" i="19"/>
  <c r="AK11" i="19"/>
  <c r="AI51" i="19"/>
  <c r="Q21" i="19"/>
  <c r="AC31" i="19"/>
  <c r="W41" i="19"/>
  <c r="Q31" i="19"/>
  <c r="AC51" i="19"/>
  <c r="K41" i="19"/>
  <c r="AI21" i="19"/>
  <c r="W31" i="19"/>
  <c r="AI41" i="19"/>
  <c r="AI11" i="19"/>
  <c r="K51" i="19"/>
  <c r="Q11" i="19"/>
  <c r="W11" i="19"/>
  <c r="AC41" i="19"/>
  <c r="K21" i="19"/>
  <c r="AM36" i="1"/>
  <c r="W51" i="19"/>
  <c r="AI31" i="19"/>
  <c r="AC21" i="19"/>
  <c r="Q51" i="19"/>
  <c r="AC11" i="19"/>
  <c r="K31" i="19"/>
  <c r="K11" i="19"/>
  <c r="W21" i="19"/>
  <c r="Q41" i="19"/>
  <c r="AJ24" i="1"/>
  <c r="AI24" i="1"/>
  <c r="S43" i="19"/>
  <c r="S23" i="19"/>
  <c r="AE43" i="19"/>
  <c r="S13" i="19"/>
  <c r="Y13" i="19"/>
  <c r="AE53" i="19"/>
  <c r="S33" i="19"/>
  <c r="AE23" i="19"/>
  <c r="M13" i="19"/>
  <c r="AK53" i="19"/>
  <c r="AK33" i="19"/>
  <c r="AK43" i="19"/>
  <c r="Y53" i="19"/>
  <c r="AK13" i="19"/>
  <c r="AK23" i="19"/>
  <c r="S53" i="19"/>
  <c r="M23" i="19"/>
  <c r="Y23" i="19"/>
  <c r="AM50" i="1"/>
  <c r="Y33" i="19"/>
  <c r="Y43" i="19"/>
  <c r="AE33" i="19"/>
  <c r="M33" i="19"/>
  <c r="M53" i="19"/>
  <c r="M43" i="19"/>
  <c r="AE13" i="19"/>
  <c r="AM20" i="19"/>
  <c r="AG40" i="19"/>
  <c r="U10" i="19"/>
  <c r="O20" i="19"/>
  <c r="AG50" i="19"/>
  <c r="AG30" i="19"/>
  <c r="U30" i="19"/>
  <c r="O10" i="19"/>
  <c r="O50" i="19"/>
  <c r="U50" i="19"/>
  <c r="AM40" i="19"/>
  <c r="O30" i="19"/>
  <c r="AA10" i="19"/>
  <c r="AA30" i="19"/>
  <c r="AM50" i="19"/>
  <c r="U40" i="19"/>
  <c r="AG10" i="19"/>
  <c r="AA50" i="19"/>
  <c r="O40" i="19"/>
  <c r="AA40" i="19"/>
  <c r="AM30" i="19"/>
  <c r="U20" i="19"/>
  <c r="AG20" i="19"/>
  <c r="AM10" i="19"/>
  <c r="AM34" i="1"/>
  <c r="AA20" i="19"/>
  <c r="AF10" i="19"/>
  <c r="AF40" i="19"/>
  <c r="Z50" i="19"/>
  <c r="T20" i="19"/>
  <c r="AF30" i="19"/>
  <c r="N40" i="19"/>
  <c r="AL50" i="19"/>
  <c r="N50" i="19"/>
  <c r="N30" i="19"/>
  <c r="Z20" i="19"/>
  <c r="AL40" i="19"/>
  <c r="T30" i="19"/>
  <c r="AF50" i="19"/>
  <c r="AL20" i="19"/>
  <c r="Z30" i="19"/>
  <c r="Z40" i="19"/>
  <c r="T50" i="19"/>
  <c r="Z10" i="19"/>
  <c r="AL10" i="19"/>
  <c r="AM33" i="1"/>
  <c r="AL30" i="19"/>
  <c r="AF20" i="19"/>
  <c r="N20" i="19"/>
  <c r="T40" i="19"/>
  <c r="N10" i="19"/>
  <c r="T10" i="19"/>
  <c r="AD8" i="19"/>
  <c r="L18" i="19"/>
  <c r="AJ48" i="19"/>
  <c r="AD38" i="19"/>
  <c r="R28" i="19"/>
  <c r="AJ18" i="19"/>
  <c r="AD48" i="19"/>
  <c r="X28" i="19"/>
  <c r="R38" i="19"/>
  <c r="R48" i="19"/>
  <c r="X18" i="19"/>
  <c r="AJ38" i="19"/>
  <c r="L8" i="19"/>
  <c r="AJ8" i="19"/>
  <c r="R18" i="19"/>
  <c r="AD18" i="19"/>
  <c r="L38" i="19"/>
  <c r="L48" i="19"/>
  <c r="AM19" i="1"/>
  <c r="AD28" i="19"/>
  <c r="AJ28" i="19"/>
  <c r="L28" i="19"/>
  <c r="X48" i="19"/>
  <c r="R8" i="19"/>
  <c r="X8" i="19"/>
  <c r="X38" i="19"/>
  <c r="AI23" i="1"/>
  <c r="AJ23" i="1"/>
  <c r="T7" i="19"/>
  <c r="Z27" i="19"/>
  <c r="T47" i="19"/>
  <c r="AL37" i="19"/>
  <c r="AL7" i="19"/>
  <c r="AL47" i="19"/>
  <c r="AF47" i="19"/>
  <c r="AL17" i="19"/>
  <c r="T17" i="19"/>
  <c r="Z17" i="19"/>
  <c r="T27" i="19"/>
  <c r="AF17" i="19"/>
  <c r="AF7" i="19"/>
  <c r="Z37" i="19"/>
  <c r="AL27" i="19"/>
  <c r="AF37" i="19"/>
  <c r="T37" i="19"/>
  <c r="N27" i="19"/>
  <c r="N17" i="19"/>
  <c r="N37" i="19"/>
  <c r="N7" i="19"/>
  <c r="Z7" i="19"/>
  <c r="Z47" i="19"/>
  <c r="AF27" i="19"/>
  <c r="N47" i="19"/>
  <c r="AJ30" i="1"/>
  <c r="AI30" i="1"/>
  <c r="J28" i="19"/>
  <c r="V28" i="19"/>
  <c r="P28" i="19"/>
  <c r="V38" i="19"/>
  <c r="AB38" i="19"/>
  <c r="P8" i="19"/>
  <c r="AH38" i="19"/>
  <c r="AB18" i="19"/>
  <c r="J18" i="19"/>
  <c r="AH8" i="19"/>
  <c r="V8" i="19"/>
  <c r="AH18" i="19"/>
  <c r="J38" i="19"/>
  <c r="P18" i="19"/>
  <c r="J48" i="19"/>
  <c r="AB8" i="19"/>
  <c r="AB28" i="19"/>
  <c r="V18" i="19"/>
  <c r="P38" i="19"/>
  <c r="AH48" i="19"/>
  <c r="V48" i="19"/>
  <c r="AB48" i="19"/>
  <c r="AH28" i="19"/>
  <c r="J8" i="19"/>
  <c r="P48" i="19"/>
  <c r="AI37" i="1"/>
  <c r="AJ37" i="1"/>
  <c r="AJ54" i="1"/>
  <c r="AI54" i="1"/>
  <c r="AI31" i="1"/>
  <c r="AJ31" i="1"/>
  <c r="AC8" i="19"/>
  <c r="AI8" i="19"/>
  <c r="AC38" i="19"/>
  <c r="AC18" i="19"/>
  <c r="W8" i="19"/>
  <c r="Q38" i="19"/>
  <c r="W28" i="19"/>
  <c r="K38" i="19"/>
  <c r="K28" i="19"/>
  <c r="K8" i="19"/>
  <c r="Q48" i="19"/>
  <c r="AM18" i="1"/>
  <c r="AI48" i="19"/>
  <c r="AC48" i="19"/>
  <c r="AI28" i="19"/>
  <c r="AI38" i="19"/>
  <c r="W18" i="19"/>
  <c r="Q18" i="19"/>
  <c r="AC28" i="19"/>
  <c r="Q28" i="19"/>
  <c r="Q8" i="19"/>
  <c r="W48" i="19"/>
  <c r="W38" i="19"/>
  <c r="AI18" i="19"/>
  <c r="K18" i="19"/>
  <c r="K48" i="19"/>
  <c r="AB21" i="19"/>
  <c r="AB31" i="19"/>
  <c r="V21" i="19"/>
  <c r="P31" i="19"/>
  <c r="AB51" i="19"/>
  <c r="AH31" i="19"/>
  <c r="J31" i="19"/>
  <c r="P21" i="19"/>
  <c r="V51" i="19"/>
  <c r="AB41" i="19"/>
  <c r="V41" i="19"/>
  <c r="J51" i="19"/>
  <c r="AM35" i="1"/>
  <c r="V31" i="19"/>
  <c r="AH51" i="19"/>
  <c r="AH41" i="19"/>
  <c r="P11" i="19"/>
  <c r="P41" i="19"/>
  <c r="J21" i="19"/>
  <c r="P51" i="19"/>
  <c r="J11" i="19"/>
  <c r="AH11" i="19"/>
  <c r="V11" i="19"/>
  <c r="AH21" i="19"/>
  <c r="AB11" i="19"/>
  <c r="J41" i="19"/>
  <c r="AI51" i="1"/>
  <c r="AJ51" i="1"/>
  <c r="AI21" i="1"/>
  <c r="AJ21" i="1"/>
  <c r="S11" i="19"/>
  <c r="Z6" i="19"/>
  <c r="AL16" i="19"/>
  <c r="T6" i="19"/>
  <c r="N46" i="19"/>
  <c r="AF36" i="19"/>
  <c r="AF16" i="19"/>
  <c r="N26" i="19"/>
  <c r="T26" i="19"/>
  <c r="N6" i="19"/>
  <c r="AL26" i="19"/>
  <c r="Z36" i="19"/>
  <c r="AF46" i="19"/>
  <c r="Z16" i="19"/>
  <c r="AF6" i="19"/>
  <c r="N36" i="19"/>
  <c r="AL46" i="19"/>
  <c r="Z46" i="19"/>
  <c r="T16" i="19"/>
  <c r="AL36" i="19"/>
  <c r="T46" i="19"/>
  <c r="T36" i="19"/>
  <c r="AI13" i="1"/>
  <c r="Z26" i="19"/>
  <c r="N16" i="19"/>
  <c r="N45" i="19" l="1"/>
  <c r="AL55" i="19"/>
  <c r="AF55" i="19"/>
  <c r="N15" i="19"/>
  <c r="AJ14" i="1"/>
  <c r="AI16" i="1"/>
  <c r="K12" i="19"/>
  <c r="Q12" i="19"/>
  <c r="W52" i="19"/>
  <c r="K32" i="19"/>
  <c r="AI22" i="19"/>
  <c r="AM42" i="1"/>
  <c r="AC42" i="19"/>
  <c r="AI12" i="19"/>
  <c r="K52" i="19"/>
  <c r="AI32" i="19"/>
  <c r="W12" i="19"/>
  <c r="AC52" i="19"/>
  <c r="AI52" i="19"/>
  <c r="Q42" i="19"/>
  <c r="K22" i="19"/>
  <c r="AC12" i="19"/>
  <c r="W42" i="19"/>
  <c r="AI42" i="19"/>
  <c r="W32" i="19"/>
  <c r="Q22" i="19"/>
  <c r="K42" i="19"/>
  <c r="Q32" i="19"/>
  <c r="W22" i="19"/>
  <c r="Q52" i="19"/>
  <c r="AC22" i="19"/>
  <c r="AC32" i="19"/>
  <c r="AJ53" i="19"/>
  <c r="X23" i="19"/>
  <c r="AD53" i="19"/>
  <c r="AJ33" i="19"/>
  <c r="R53" i="19"/>
  <c r="R33" i="19"/>
  <c r="AJ13" i="19"/>
  <c r="AJ43" i="19"/>
  <c r="AD13" i="19"/>
  <c r="R43" i="19"/>
  <c r="L53" i="19"/>
  <c r="X43" i="19"/>
  <c r="X33" i="19"/>
  <c r="X53" i="19"/>
  <c r="L43" i="19"/>
  <c r="AM49" i="1"/>
  <c r="R23" i="19"/>
  <c r="R13" i="19"/>
  <c r="AJ23" i="19"/>
  <c r="X13" i="19"/>
  <c r="L33" i="19"/>
  <c r="L13" i="19"/>
  <c r="AD43" i="19"/>
  <c r="AD23" i="19"/>
  <c r="L23" i="19"/>
  <c r="AD33" i="19"/>
  <c r="O8" i="19"/>
  <c r="AA8" i="19"/>
  <c r="U8" i="19"/>
  <c r="U38" i="19"/>
  <c r="O18" i="19"/>
  <c r="AM38" i="19"/>
  <c r="U18" i="19"/>
  <c r="AG8" i="19"/>
  <c r="AA18" i="19"/>
  <c r="U48" i="19"/>
  <c r="AG38" i="19"/>
  <c r="AM22" i="1"/>
  <c r="AA38" i="19"/>
  <c r="AM48" i="19"/>
  <c r="O38" i="19"/>
  <c r="AG18" i="19"/>
  <c r="O28" i="19"/>
  <c r="AG48" i="19"/>
  <c r="O48" i="19"/>
  <c r="AM18" i="19"/>
  <c r="AA28" i="19"/>
  <c r="AM8" i="19"/>
  <c r="AG28" i="19"/>
  <c r="U28" i="19"/>
  <c r="AA48" i="19"/>
  <c r="AM28" i="19"/>
  <c r="O34" i="19"/>
  <c r="U24" i="19"/>
  <c r="AA44" i="19"/>
  <c r="AM58" i="1"/>
  <c r="AA34" i="19"/>
  <c r="AA54" i="19"/>
  <c r="O54" i="19"/>
  <c r="AG14" i="19"/>
  <c r="U54" i="19"/>
  <c r="AG54" i="19"/>
  <c r="AG24" i="19"/>
  <c r="AM14" i="19"/>
  <c r="AM54" i="19"/>
  <c r="AM44" i="19"/>
  <c r="O24" i="19"/>
  <c r="O44" i="19"/>
  <c r="AA14" i="19"/>
  <c r="U44" i="19"/>
  <c r="AM34" i="19"/>
  <c r="U34" i="19"/>
  <c r="AG44" i="19"/>
  <c r="O14" i="19"/>
  <c r="AM24" i="19"/>
  <c r="U14" i="19"/>
  <c r="AG34" i="19"/>
  <c r="AA24" i="19"/>
  <c r="S45" i="19"/>
  <c r="M45" i="19"/>
  <c r="Y55" i="19"/>
  <c r="AE25" i="19"/>
  <c r="Y15" i="19"/>
  <c r="Y45" i="19"/>
  <c r="AM62" i="1"/>
  <c r="AK45" i="19"/>
  <c r="AE35" i="19"/>
  <c r="M55" i="19"/>
  <c r="M15" i="19"/>
  <c r="Y25" i="19"/>
  <c r="M35" i="19"/>
  <c r="AK15" i="19"/>
  <c r="S25" i="19"/>
  <c r="Y35" i="19"/>
  <c r="AK35" i="19"/>
  <c r="M25" i="19"/>
  <c r="AE15" i="19"/>
  <c r="S55" i="19"/>
  <c r="AK25" i="19"/>
  <c r="S35" i="19"/>
  <c r="S15" i="19"/>
  <c r="AE45" i="19"/>
  <c r="AK55" i="19"/>
  <c r="AE55" i="19"/>
  <c r="M48" i="19"/>
  <c r="AK28" i="19"/>
  <c r="Y28" i="19"/>
  <c r="AM20" i="1"/>
  <c r="S28" i="19"/>
  <c r="AE48" i="19"/>
  <c r="S48" i="19"/>
  <c r="Y48" i="19"/>
  <c r="Y18" i="19"/>
  <c r="AE8" i="19"/>
  <c r="M8" i="19"/>
  <c r="AK8" i="19"/>
  <c r="AE38" i="19"/>
  <c r="Y8" i="19"/>
  <c r="Y38" i="19"/>
  <c r="M38" i="19"/>
  <c r="M28" i="19"/>
  <c r="S8" i="19"/>
  <c r="AE18" i="19"/>
  <c r="AK38" i="19"/>
  <c r="S18" i="19"/>
  <c r="AK48" i="19"/>
  <c r="M18" i="19"/>
  <c r="AE28" i="19"/>
  <c r="AK18" i="19"/>
  <c r="S38" i="19"/>
  <c r="S12" i="19"/>
  <c r="Y22" i="19"/>
  <c r="M42" i="19"/>
  <c r="S52" i="19"/>
  <c r="M22" i="19"/>
  <c r="S42" i="19"/>
  <c r="Y52" i="19"/>
  <c r="AK32" i="19"/>
  <c r="M52" i="19"/>
  <c r="S32" i="19"/>
  <c r="AE52" i="19"/>
  <c r="AK12" i="19"/>
  <c r="AK22" i="19"/>
  <c r="S22" i="19"/>
  <c r="M12" i="19"/>
  <c r="AE12" i="19"/>
  <c r="AK42" i="19"/>
  <c r="AK52" i="19"/>
  <c r="AE32" i="19"/>
  <c r="AE22" i="19"/>
  <c r="AM44" i="1"/>
  <c r="AE42" i="19"/>
  <c r="M32" i="19"/>
  <c r="Y32" i="19"/>
  <c r="Y42" i="19"/>
  <c r="Y12" i="19"/>
  <c r="AJ51" i="19"/>
  <c r="R11" i="19"/>
  <c r="AJ31" i="19"/>
  <c r="AM37" i="1"/>
  <c r="R31" i="19"/>
  <c r="L41" i="19"/>
  <c r="AJ41" i="19"/>
  <c r="R41" i="19"/>
  <c r="AJ21" i="19"/>
  <c r="AD11" i="19"/>
  <c r="L31" i="19"/>
  <c r="AD21" i="19"/>
  <c r="AD31" i="19"/>
  <c r="L21" i="19"/>
  <c r="R51" i="19"/>
  <c r="L51" i="19"/>
  <c r="X31" i="19"/>
  <c r="X11" i="19"/>
  <c r="X51" i="19"/>
  <c r="R21" i="19"/>
  <c r="AJ11" i="19"/>
  <c r="X41" i="19"/>
  <c r="L11" i="19"/>
  <c r="X21" i="19"/>
  <c r="AD51" i="19"/>
  <c r="AD41" i="19"/>
  <c r="AM23" i="1"/>
  <c r="V9" i="19"/>
  <c r="P49" i="19"/>
  <c r="AB19" i="19"/>
  <c r="J39" i="19"/>
  <c r="AH9" i="19"/>
  <c r="J49" i="19"/>
  <c r="J9" i="19"/>
  <c r="AB39" i="19"/>
  <c r="J29" i="19"/>
  <c r="P19" i="19"/>
  <c r="AH49" i="19"/>
  <c r="J19" i="19"/>
  <c r="V49" i="19"/>
  <c r="P39" i="19"/>
  <c r="V29" i="19"/>
  <c r="AH39" i="19"/>
  <c r="AB9" i="19"/>
  <c r="V39" i="19"/>
  <c r="V19" i="19"/>
  <c r="AH19" i="19"/>
  <c r="P9" i="19"/>
  <c r="P29" i="19"/>
  <c r="AB29" i="19"/>
  <c r="AB49" i="19"/>
  <c r="AH29" i="19"/>
  <c r="O37" i="19"/>
  <c r="AG27" i="19"/>
  <c r="AM27" i="19"/>
  <c r="AM7" i="19"/>
  <c r="U47" i="19"/>
  <c r="O17" i="19"/>
  <c r="U17" i="19"/>
  <c r="AG7" i="19"/>
  <c r="AA7" i="19"/>
  <c r="AG37" i="19"/>
  <c r="AA47" i="19"/>
  <c r="AG17" i="19"/>
  <c r="AG47" i="19"/>
  <c r="O27" i="19"/>
  <c r="AA17" i="19"/>
  <c r="O47" i="19"/>
  <c r="U7" i="19"/>
  <c r="U37" i="19"/>
  <c r="O7" i="19"/>
  <c r="AM47" i="19"/>
  <c r="AM17" i="19"/>
  <c r="AA37" i="19"/>
  <c r="U27" i="19"/>
  <c r="AM37" i="19"/>
  <c r="AA27" i="19"/>
  <c r="AG49" i="19"/>
  <c r="AA39" i="19"/>
  <c r="AG19" i="19"/>
  <c r="AG39" i="19"/>
  <c r="U49" i="19"/>
  <c r="O9" i="19"/>
  <c r="O49" i="19"/>
  <c r="AM9" i="19"/>
  <c r="AA19" i="19"/>
  <c r="AA49" i="19"/>
  <c r="AG29" i="19"/>
  <c r="U39" i="19"/>
  <c r="U9" i="19"/>
  <c r="AM19" i="19"/>
  <c r="AG9" i="19"/>
  <c r="U19" i="19"/>
  <c r="O39" i="19"/>
  <c r="AM49" i="19"/>
  <c r="AA9" i="19"/>
  <c r="AM28" i="1"/>
  <c r="O19" i="19"/>
  <c r="AA29" i="19"/>
  <c r="O29" i="19"/>
  <c r="AM39" i="19"/>
  <c r="U29" i="19"/>
  <c r="AM29" i="19"/>
  <c r="N43" i="19"/>
  <c r="AL43" i="19"/>
  <c r="AF33" i="19"/>
  <c r="AF13" i="19"/>
  <c r="AF43" i="19"/>
  <c r="AM51" i="1"/>
  <c r="T23" i="19"/>
  <c r="N33" i="19"/>
  <c r="AL23" i="19"/>
  <c r="Z13" i="19"/>
  <c r="N13" i="19"/>
  <c r="T53" i="19"/>
  <c r="Z43" i="19"/>
  <c r="T33" i="19"/>
  <c r="AL33" i="19"/>
  <c r="AF53" i="19"/>
  <c r="AF23" i="19"/>
  <c r="AL53" i="19"/>
  <c r="T13" i="19"/>
  <c r="T43" i="19"/>
  <c r="AL13" i="19"/>
  <c r="N23" i="19"/>
  <c r="Z33" i="19"/>
  <c r="Z53" i="19"/>
  <c r="Z23" i="19"/>
  <c r="N53" i="19"/>
  <c r="R14" i="19"/>
  <c r="X44" i="19"/>
  <c r="AD54" i="19"/>
  <c r="L54" i="19"/>
  <c r="AJ34" i="19"/>
  <c r="L44" i="19"/>
  <c r="AJ14" i="19"/>
  <c r="X24" i="19"/>
  <c r="R44" i="19"/>
  <c r="L34" i="19"/>
  <c r="AJ44" i="19"/>
  <c r="AJ24" i="19"/>
  <c r="R34" i="19"/>
  <c r="R24" i="19"/>
  <c r="AJ54" i="19"/>
  <c r="AD44" i="19"/>
  <c r="AM55" i="1"/>
  <c r="L24" i="19"/>
  <c r="X54" i="19"/>
  <c r="X34" i="19"/>
  <c r="AD24" i="19"/>
  <c r="L14" i="19"/>
  <c r="AD34" i="19"/>
  <c r="AD14" i="19"/>
  <c r="R54" i="19"/>
  <c r="X14" i="19"/>
  <c r="AF32" i="19"/>
  <c r="AF12" i="19"/>
  <c r="T22" i="19"/>
  <c r="N22" i="19"/>
  <c r="N32" i="19"/>
  <c r="Z32" i="19"/>
  <c r="AM45" i="1"/>
  <c r="AL32" i="19"/>
  <c r="T42" i="19"/>
  <c r="AF52" i="19"/>
  <c r="N52" i="19"/>
  <c r="N12" i="19"/>
  <c r="N42" i="19"/>
  <c r="AL12" i="19"/>
  <c r="Z52" i="19"/>
  <c r="Z22" i="19"/>
  <c r="T12" i="19"/>
  <c r="AF42" i="19"/>
  <c r="T52" i="19"/>
  <c r="Z12" i="19"/>
  <c r="T32" i="19"/>
  <c r="Z42" i="19"/>
  <c r="AL22" i="19"/>
  <c r="AF22" i="19"/>
  <c r="AL52" i="19"/>
  <c r="AL42" i="19"/>
  <c r="T18" i="19"/>
  <c r="AM21" i="1"/>
  <c r="AF18" i="19"/>
  <c r="N28" i="19"/>
  <c r="Z28" i="19"/>
  <c r="AL38" i="19"/>
  <c r="AF48" i="19"/>
  <c r="Z18" i="19"/>
  <c r="AF28" i="19"/>
  <c r="N18" i="19"/>
  <c r="AF8" i="19"/>
  <c r="AL18" i="19"/>
  <c r="AL8" i="19"/>
  <c r="Z8" i="19"/>
  <c r="N48" i="19"/>
  <c r="Z48" i="19"/>
  <c r="T48" i="19"/>
  <c r="N8" i="19"/>
  <c r="AL48" i="19"/>
  <c r="T8" i="19"/>
  <c r="T28" i="19"/>
  <c r="AL28" i="19"/>
  <c r="T38" i="19"/>
  <c r="AF38" i="19"/>
  <c r="Z38" i="19"/>
  <c r="N38" i="19"/>
  <c r="AC39" i="19"/>
  <c r="AI9" i="19"/>
  <c r="K29" i="19"/>
  <c r="AI29" i="19"/>
  <c r="W9" i="19"/>
  <c r="AM24" i="1"/>
  <c r="K49" i="19"/>
  <c r="AC19" i="19"/>
  <c r="K9" i="19"/>
  <c r="Q19" i="19"/>
  <c r="W29" i="19"/>
  <c r="W39" i="19"/>
  <c r="AC29" i="19"/>
  <c r="Q49" i="19"/>
  <c r="AI19" i="19"/>
  <c r="W49" i="19"/>
  <c r="K19" i="19"/>
  <c r="AC9" i="19"/>
  <c r="Q9" i="19"/>
  <c r="Q29" i="19"/>
  <c r="Q39" i="19"/>
  <c r="W19" i="19"/>
  <c r="K39" i="19"/>
  <c r="AI39" i="19"/>
  <c r="AI49" i="19"/>
  <c r="AC49" i="19"/>
  <c r="O13" i="19"/>
  <c r="AG33" i="19"/>
  <c r="O43" i="19"/>
  <c r="AG43" i="19"/>
  <c r="AM43" i="19"/>
  <c r="AM33" i="19"/>
  <c r="U43" i="19"/>
  <c r="AA33" i="19"/>
  <c r="U13" i="19"/>
  <c r="U33" i="19"/>
  <c r="O33" i="19"/>
  <c r="AM53" i="19"/>
  <c r="U23" i="19"/>
  <c r="AA13" i="19"/>
  <c r="AA53" i="19"/>
  <c r="AM13" i="19"/>
  <c r="AM52" i="1"/>
  <c r="AA43" i="19"/>
  <c r="AM23" i="19"/>
  <c r="AG23" i="19"/>
  <c r="O53" i="19"/>
  <c r="AG13" i="19"/>
  <c r="U53" i="19"/>
  <c r="AG53" i="19"/>
  <c r="AA23" i="19"/>
  <c r="O23" i="19"/>
  <c r="AM61" i="1"/>
  <c r="AD15" i="19"/>
  <c r="X25" i="19"/>
  <c r="X45" i="19"/>
  <c r="L35" i="19"/>
  <c r="R35" i="19"/>
  <c r="AJ15" i="19"/>
  <c r="L15" i="19"/>
  <c r="AJ25" i="19"/>
  <c r="AJ55" i="19"/>
  <c r="L45" i="19"/>
  <c r="AD35" i="19"/>
  <c r="R25" i="19"/>
  <c r="AD45" i="19"/>
  <c r="R45" i="19"/>
  <c r="R55" i="19"/>
  <c r="X55" i="19"/>
  <c r="AJ35" i="19"/>
  <c r="L55" i="19"/>
  <c r="R15" i="19"/>
  <c r="X15" i="19"/>
  <c r="AD25" i="19"/>
  <c r="X35" i="19"/>
  <c r="AD55" i="19"/>
  <c r="L25" i="19"/>
  <c r="AJ45" i="19"/>
  <c r="AD10" i="19"/>
  <c r="L50" i="19"/>
  <c r="X30" i="19"/>
  <c r="L20" i="19"/>
  <c r="R40" i="19"/>
  <c r="AJ20" i="19"/>
  <c r="L40" i="19"/>
  <c r="X40" i="19"/>
  <c r="AJ40" i="19"/>
  <c r="X50" i="19"/>
  <c r="AM31" i="1"/>
  <c r="AJ50" i="19"/>
  <c r="R30" i="19"/>
  <c r="AD40" i="19"/>
  <c r="L10" i="19"/>
  <c r="R10" i="19"/>
  <c r="AD30" i="19"/>
  <c r="L30" i="19"/>
  <c r="R20" i="19"/>
  <c r="AD50" i="19"/>
  <c r="AJ10" i="19"/>
  <c r="AJ30" i="19"/>
  <c r="R50" i="19"/>
  <c r="AD20" i="19"/>
  <c r="X10" i="19"/>
  <c r="X20" i="19"/>
  <c r="Q50" i="19"/>
  <c r="K50" i="19"/>
  <c r="AC30" i="19"/>
  <c r="K40" i="19"/>
  <c r="AI40" i="19"/>
  <c r="Q20" i="19"/>
  <c r="W20" i="19"/>
  <c r="W40" i="19"/>
  <c r="W10" i="19"/>
  <c r="K10" i="19"/>
  <c r="Q30" i="19"/>
  <c r="AI50" i="19"/>
  <c r="AI30" i="19"/>
  <c r="W50" i="19"/>
  <c r="AC20" i="19"/>
  <c r="AM30" i="1"/>
  <c r="W30" i="19"/>
  <c r="Q40" i="19"/>
  <c r="K30" i="19"/>
  <c r="AI20" i="19"/>
  <c r="AC40" i="19"/>
  <c r="K20" i="19"/>
  <c r="AC50" i="19"/>
  <c r="AC10" i="19"/>
  <c r="Q10" i="19"/>
  <c r="AI10" i="19"/>
  <c r="AC44" i="19"/>
  <c r="W44" i="19"/>
  <c r="W54" i="19"/>
  <c r="AC14" i="19"/>
  <c r="K54" i="19"/>
  <c r="Q44" i="19"/>
  <c r="K34" i="19"/>
  <c r="Q14" i="19"/>
  <c r="AI34" i="19"/>
  <c r="AC54" i="19"/>
  <c r="AC34" i="19"/>
  <c r="AI54" i="19"/>
  <c r="W14" i="19"/>
  <c r="AM54" i="1"/>
  <c r="Q54" i="19"/>
  <c r="K24" i="19"/>
  <c r="K44" i="19"/>
  <c r="Q34" i="19"/>
  <c r="W34" i="19"/>
  <c r="AI44" i="19"/>
  <c r="K14" i="19"/>
  <c r="Q24" i="19"/>
  <c r="AI14" i="19"/>
  <c r="AC24" i="19"/>
  <c r="AI24" i="19"/>
  <c r="W24" i="19"/>
  <c r="N39" i="19"/>
  <c r="AL9" i="19"/>
  <c r="Z29" i="19"/>
  <c r="AF19" i="19"/>
  <c r="Z49" i="19"/>
  <c r="T19" i="19"/>
  <c r="N29" i="19"/>
  <c r="N19" i="19"/>
  <c r="AL49" i="19"/>
  <c r="AL29" i="19"/>
  <c r="Z39" i="19"/>
  <c r="T29" i="19"/>
  <c r="AL39" i="19"/>
  <c r="T9" i="19"/>
  <c r="AF29" i="19"/>
  <c r="AF49" i="19"/>
  <c r="T39" i="19"/>
  <c r="AF39" i="19"/>
  <c r="AF9" i="19"/>
  <c r="N9" i="19"/>
  <c r="AL19" i="19"/>
  <c r="N49" i="19"/>
  <c r="T49" i="19"/>
  <c r="Z19" i="19"/>
  <c r="Z9" i="19"/>
  <c r="AM27" i="1"/>
  <c r="AJ16" i="1" l="1"/>
  <c r="O15" i="1" l="1"/>
  <c r="P15" i="1" s="1"/>
  <c r="O35" i="1"/>
  <c r="P35" i="1" s="1"/>
  <c r="O47" i="1"/>
  <c r="P47" i="1" s="1"/>
  <c r="O59" i="1"/>
  <c r="P59" i="1" s="1"/>
  <c r="O11" i="1"/>
  <c r="P11" i="1" s="1"/>
  <c r="O41" i="1"/>
  <c r="P41" i="1" s="1"/>
  <c r="O53" i="1"/>
  <c r="P53" i="1" s="1"/>
  <c r="O23" i="1"/>
  <c r="P23" i="1" s="1"/>
  <c r="O29" i="1"/>
  <c r="P29" i="1" s="1"/>
  <c r="P16" i="18" l="1"/>
  <c r="AB24" i="18"/>
  <c r="AH16" i="18"/>
  <c r="AB8" i="18"/>
  <c r="P40" i="18"/>
  <c r="AB16" i="18"/>
  <c r="V24" i="18"/>
  <c r="J40" i="18"/>
  <c r="AB40" i="18"/>
  <c r="AH24" i="18"/>
  <c r="AH40" i="18"/>
  <c r="J24" i="18"/>
  <c r="V8" i="18"/>
  <c r="P8" i="18"/>
  <c r="V40" i="18"/>
  <c r="R23" i="1"/>
  <c r="V32" i="18"/>
  <c r="J16" i="18"/>
  <c r="V16" i="18"/>
  <c r="J8" i="18"/>
  <c r="P32" i="18"/>
  <c r="J32" i="18"/>
  <c r="P24" i="18"/>
  <c r="AH32" i="18"/>
  <c r="AH8" i="18"/>
  <c r="Q23" i="1"/>
  <c r="AB32" i="18"/>
  <c r="J10" i="18"/>
  <c r="AB42" i="18"/>
  <c r="V34" i="18"/>
  <c r="V10" i="18"/>
  <c r="Q41" i="1"/>
  <c r="AB10" i="18"/>
  <c r="V18" i="18"/>
  <c r="J34" i="18"/>
  <c r="P18" i="18"/>
  <c r="J26" i="18"/>
  <c r="P34" i="18"/>
  <c r="J42" i="18"/>
  <c r="AB18" i="18"/>
  <c r="J18" i="18"/>
  <c r="AH26" i="18"/>
  <c r="R41" i="1"/>
  <c r="AH42" i="18"/>
  <c r="P26" i="18"/>
  <c r="P10" i="18"/>
  <c r="AH10" i="18"/>
  <c r="P42" i="18"/>
  <c r="V42" i="18"/>
  <c r="AH34" i="18"/>
  <c r="AB26" i="18"/>
  <c r="V26" i="18"/>
  <c r="AB34" i="18"/>
  <c r="AH18" i="18"/>
  <c r="V36" i="18"/>
  <c r="R59" i="1"/>
  <c r="AH20" i="18"/>
  <c r="P44" i="18"/>
  <c r="V20" i="18"/>
  <c r="V28" i="18"/>
  <c r="AH44" i="18"/>
  <c r="AB12" i="18"/>
  <c r="P20" i="18"/>
  <c r="J44" i="18"/>
  <c r="V44" i="18"/>
  <c r="AB36" i="18"/>
  <c r="J28" i="18"/>
  <c r="AB20" i="18"/>
  <c r="AH36" i="18"/>
  <c r="AB28" i="18"/>
  <c r="Q59" i="1"/>
  <c r="P12" i="18"/>
  <c r="J12" i="18"/>
  <c r="P28" i="18"/>
  <c r="AH12" i="18"/>
  <c r="V12" i="18"/>
  <c r="J20" i="18"/>
  <c r="J36" i="18"/>
  <c r="AH28" i="18"/>
  <c r="AB44" i="18"/>
  <c r="P36" i="18"/>
  <c r="T8" i="18"/>
  <c r="AL24" i="18"/>
  <c r="T32" i="18"/>
  <c r="AF24" i="18"/>
  <c r="AL32" i="18"/>
  <c r="R35" i="1"/>
  <c r="Z24" i="18"/>
  <c r="Z16" i="18"/>
  <c r="AF8" i="18"/>
  <c r="N40" i="18"/>
  <c r="Z32" i="18"/>
  <c r="N32" i="18"/>
  <c r="N16" i="18"/>
  <c r="Z40" i="18"/>
  <c r="AF16" i="18"/>
  <c r="T24" i="18"/>
  <c r="AL16" i="18"/>
  <c r="N8" i="18"/>
  <c r="T40" i="18"/>
  <c r="AL40" i="18"/>
  <c r="Q35" i="1"/>
  <c r="T16" i="18"/>
  <c r="AF40" i="18"/>
  <c r="Z8" i="18"/>
  <c r="AL8" i="18"/>
  <c r="AF32" i="18"/>
  <c r="N24" i="18"/>
  <c r="AL14" i="18"/>
  <c r="N22" i="18"/>
  <c r="Z38" i="18"/>
  <c r="AL30" i="18"/>
  <c r="T6" i="18"/>
  <c r="N14" i="18"/>
  <c r="AF14" i="18"/>
  <c r="AF30" i="18"/>
  <c r="AF6" i="18"/>
  <c r="Z22" i="18"/>
  <c r="T22" i="18"/>
  <c r="T30" i="18"/>
  <c r="Z14" i="18"/>
  <c r="AL6" i="18"/>
  <c r="AL38" i="18"/>
  <c r="N6" i="18"/>
  <c r="Z6" i="18"/>
  <c r="AF38" i="18"/>
  <c r="T14" i="18"/>
  <c r="Z30" i="18"/>
  <c r="N30" i="18"/>
  <c r="T38" i="18"/>
  <c r="AL22" i="18"/>
  <c r="N38" i="18"/>
  <c r="AF22" i="18"/>
  <c r="Q29" i="1"/>
  <c r="X16" i="18"/>
  <c r="R40" i="18"/>
  <c r="R29" i="1"/>
  <c r="AD16" i="18"/>
  <c r="L8" i="18"/>
  <c r="AD40" i="18"/>
  <c r="L32" i="18"/>
  <c r="R8" i="18"/>
  <c r="X32" i="18"/>
  <c r="X8" i="18"/>
  <c r="AD24" i="18"/>
  <c r="AJ40" i="18"/>
  <c r="AD8" i="18"/>
  <c r="X40" i="18"/>
  <c r="AD32" i="18"/>
  <c r="R16" i="18"/>
  <c r="AJ32" i="18"/>
  <c r="R32" i="18"/>
  <c r="L24" i="18"/>
  <c r="X24" i="18"/>
  <c r="AJ16" i="18"/>
  <c r="AJ24" i="18"/>
  <c r="AJ8" i="18"/>
  <c r="L16" i="18"/>
  <c r="R24" i="18"/>
  <c r="L40" i="18"/>
  <c r="N42" i="18"/>
  <c r="AL18" i="18"/>
  <c r="AF18" i="18"/>
  <c r="Z34" i="18"/>
  <c r="R53" i="1"/>
  <c r="T34" i="18"/>
  <c r="N26" i="18"/>
  <c r="AL42" i="18"/>
  <c r="AL26" i="18"/>
  <c r="AL34" i="18"/>
  <c r="N10" i="18"/>
  <c r="AF42" i="18"/>
  <c r="Z10" i="18"/>
  <c r="N34" i="18"/>
  <c r="T26" i="18"/>
  <c r="T10" i="18"/>
  <c r="T42" i="18"/>
  <c r="N18" i="18"/>
  <c r="Q53" i="1"/>
  <c r="T18" i="18"/>
  <c r="Z18" i="18"/>
  <c r="Z42" i="18"/>
  <c r="AF26" i="18"/>
  <c r="AL10" i="18"/>
  <c r="Z26" i="18"/>
  <c r="AF34" i="18"/>
  <c r="AF10" i="18"/>
  <c r="Q11" i="1"/>
  <c r="AL11" i="1" s="1"/>
  <c r="P14" i="18"/>
  <c r="J6" i="18"/>
  <c r="V30" i="18"/>
  <c r="V14" i="18"/>
  <c r="AH30" i="18"/>
  <c r="AH38" i="18"/>
  <c r="AB38" i="18"/>
  <c r="P6" i="18"/>
  <c r="V38" i="18"/>
  <c r="AH6" i="18"/>
  <c r="AB6" i="18"/>
  <c r="P38" i="18"/>
  <c r="J14" i="18"/>
  <c r="AB22" i="18"/>
  <c r="P30" i="18"/>
  <c r="AH22" i="18"/>
  <c r="J38" i="18"/>
  <c r="J30" i="18"/>
  <c r="AH14" i="18"/>
  <c r="J22" i="18"/>
  <c r="V22" i="18"/>
  <c r="AB14" i="18"/>
  <c r="P22" i="18"/>
  <c r="AB30" i="18"/>
  <c r="R11" i="1"/>
  <c r="V6" i="18"/>
  <c r="L42" i="18"/>
  <c r="AJ42" i="18"/>
  <c r="Q47" i="1"/>
  <c r="L26" i="18"/>
  <c r="R10" i="18"/>
  <c r="X34" i="18"/>
  <c r="X26" i="18"/>
  <c r="AJ10" i="18"/>
  <c r="R47" i="1"/>
  <c r="X10" i="18"/>
  <c r="L34" i="18"/>
  <c r="AJ34" i="18"/>
  <c r="R42" i="18"/>
  <c r="X42" i="18"/>
  <c r="AD26" i="18"/>
  <c r="L10" i="18"/>
  <c r="AJ18" i="18"/>
  <c r="AD34" i="18"/>
  <c r="AD18" i="18"/>
  <c r="AJ26" i="18"/>
  <c r="R18" i="18"/>
  <c r="X18" i="18"/>
  <c r="R26" i="18"/>
  <c r="L18" i="18"/>
  <c r="R34" i="18"/>
  <c r="AD10" i="18"/>
  <c r="AD42" i="18"/>
  <c r="X22" i="18"/>
  <c r="AJ38" i="18"/>
  <c r="R38" i="18"/>
  <c r="Q15" i="1"/>
  <c r="AL15" i="1" s="1"/>
  <c r="R6" i="18"/>
  <c r="AJ14" i="18"/>
  <c r="AD6" i="18"/>
  <c r="R14" i="18"/>
  <c r="X6" i="18"/>
  <c r="L38" i="18"/>
  <c r="AD22" i="18"/>
  <c r="AD14" i="18"/>
  <c r="X14" i="18"/>
  <c r="R30" i="18"/>
  <c r="X30" i="18"/>
  <c r="R22" i="18"/>
  <c r="L14" i="18"/>
  <c r="X38" i="18"/>
  <c r="L22" i="18"/>
  <c r="AD38" i="18"/>
  <c r="AJ6" i="18"/>
  <c r="R15" i="1"/>
  <c r="AJ30" i="18"/>
  <c r="AD30" i="18"/>
  <c r="L6" i="18"/>
  <c r="AJ22" i="18"/>
  <c r="L30" i="18"/>
  <c r="AK15" i="1" l="1"/>
  <c r="AL16" i="1"/>
  <c r="AK16" i="1" s="1"/>
  <c r="AL13" i="1"/>
  <c r="AK11" i="1"/>
  <c r="AK13" i="1" l="1"/>
  <c r="AL14" i="1"/>
  <c r="AK14" i="1" s="1"/>
  <c r="V47" i="19"/>
  <c r="AH17" i="19"/>
  <c r="P17" i="19"/>
  <c r="J47" i="19"/>
  <c r="V17" i="19"/>
  <c r="V27" i="19"/>
  <c r="AH47" i="19"/>
  <c r="AH7" i="19"/>
  <c r="P37" i="19"/>
  <c r="J7" i="19"/>
  <c r="V37" i="19"/>
  <c r="AH37" i="19"/>
  <c r="P27" i="19"/>
  <c r="AB7" i="19"/>
  <c r="J37" i="19"/>
  <c r="P7" i="19"/>
  <c r="AM15" i="1"/>
  <c r="AH27" i="19"/>
  <c r="AB37" i="19"/>
  <c r="AB47" i="19"/>
  <c r="J27" i="19"/>
  <c r="AB17" i="19"/>
  <c r="P47" i="19"/>
  <c r="V7" i="19"/>
  <c r="AB27" i="19"/>
  <c r="J17" i="19"/>
  <c r="P46" i="19"/>
  <c r="P6" i="19"/>
  <c r="AM11" i="1"/>
  <c r="AB16" i="19"/>
  <c r="J46" i="19"/>
  <c r="V6" i="19"/>
  <c r="AB36" i="19"/>
  <c r="AB26" i="19"/>
  <c r="P16" i="19"/>
  <c r="V36" i="19"/>
  <c r="AH16" i="19"/>
  <c r="V46" i="19"/>
  <c r="P26" i="19"/>
  <c r="J16" i="19"/>
  <c r="V16" i="19"/>
  <c r="AB6" i="19"/>
  <c r="J36" i="19"/>
  <c r="V26" i="19"/>
  <c r="J6" i="19"/>
  <c r="AH36" i="19"/>
  <c r="AH26" i="19"/>
  <c r="AH6" i="19"/>
  <c r="P36" i="19"/>
  <c r="AB46" i="19"/>
  <c r="AH46" i="19"/>
  <c r="J26" i="19"/>
  <c r="AM16" i="1"/>
  <c r="K27" i="19"/>
  <c r="AI17" i="19"/>
  <c r="W7" i="19"/>
  <c r="K7" i="19"/>
  <c r="K37" i="19"/>
  <c r="K17" i="19"/>
  <c r="K47" i="19"/>
  <c r="AI47" i="19"/>
  <c r="W47" i="19"/>
  <c r="W37" i="19"/>
  <c r="AI27" i="19"/>
  <c r="AC17" i="19"/>
  <c r="Q27" i="19"/>
  <c r="W27" i="19"/>
  <c r="Q17" i="19"/>
  <c r="AI7" i="19"/>
  <c r="W17" i="19"/>
  <c r="Q37" i="19"/>
  <c r="AC37" i="19"/>
  <c r="Q47" i="19"/>
  <c r="AC47" i="19"/>
  <c r="Q7" i="19"/>
  <c r="AC27" i="19"/>
  <c r="AI37" i="19"/>
  <c r="AC7" i="19"/>
  <c r="AI6" i="19" l="1"/>
  <c r="AC36" i="19"/>
  <c r="K36" i="19"/>
  <c r="AC6" i="19"/>
  <c r="Q36" i="19"/>
  <c r="Q26" i="19"/>
  <c r="K26" i="19"/>
  <c r="W6" i="19"/>
  <c r="K46" i="19"/>
  <c r="AI16" i="19"/>
  <c r="K6" i="19"/>
  <c r="AC26" i="19"/>
  <c r="Q46" i="19"/>
  <c r="AC16" i="19"/>
  <c r="W26" i="19"/>
  <c r="AI26" i="19"/>
  <c r="W46" i="19"/>
  <c r="Q16" i="19"/>
  <c r="AC46" i="19"/>
  <c r="AI36" i="19"/>
  <c r="W36" i="19"/>
  <c r="K16" i="19"/>
  <c r="AM13" i="1"/>
  <c r="Q6" i="19"/>
  <c r="W16" i="19"/>
  <c r="AI46" i="19"/>
  <c r="AJ16" i="19"/>
  <c r="X46" i="19"/>
  <c r="AD6" i="19"/>
  <c r="R46" i="19"/>
  <c r="AJ6" i="19"/>
  <c r="X6" i="19"/>
  <c r="R6" i="19"/>
  <c r="X26" i="19"/>
  <c r="L46" i="19"/>
  <c r="AJ36" i="19"/>
  <c r="X16" i="19"/>
  <c r="R26" i="19"/>
  <c r="AD26" i="19"/>
  <c r="R16" i="19"/>
  <c r="AJ26" i="19"/>
  <c r="AJ46" i="19"/>
  <c r="L16" i="19"/>
  <c r="X36" i="19"/>
  <c r="L36" i="19"/>
  <c r="AD16" i="19"/>
  <c r="AD36" i="19"/>
  <c r="R36" i="19"/>
  <c r="AM14" i="1"/>
  <c r="AD46" i="19"/>
  <c r="L6" i="19"/>
  <c r="L2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<sst xmlns="http://schemas.openxmlformats.org/spreadsheetml/2006/main" count="459" uniqueCount="309">
  <si>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</si>
  <si>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</si>
  <si>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</si>
  <si>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</si>
  <si>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</si>
  <si>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</si>
  <si>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</si>
  <si>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</si>
  <si>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</si>
  <si>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</si>
  <si>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</si>
  <si>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</si>
  <si>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</si>
  <si>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</si>
  <si>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</si>
  <si>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</si>
  <si>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</si>
  <si>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</si>
  <si>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</si>
  <si>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</si>
  <si>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</si>
  <si>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</si>
  <si>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</si>
  <si>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</si>
  <si>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</si>
  <si>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</si>
  <si>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</si>
  <si>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</si>
  <si>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</si>
  <si>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</si>
  <si>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</si>
  <si>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</si>
  <si>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</si>
  <si>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</si>
  <si>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</si>
  <si>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</si>
  <si>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</si>
  <si>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</si>
  <si>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</si>
  <si>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</si>
  <si>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</si>
  <si>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</si>
  <si>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</si>
  <si>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</si>
  <si>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</si>
  <si>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</si>
  <si>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</si>
  <si>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</si>
  <si>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</si>
  <si>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</si>
  <si>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</si>
  <si>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</si>
  <si>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</si>
  <si>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</si>
  <si>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</si>
  <si>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</si>
  <si>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</si>
  <si>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</si>
  <si>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</si>
  <si>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</si>
  <si>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</si>
  <si>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</si>
  <si>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 xml:space="preserve">PLANEACIÓN ESTRATÉGICA </t>
  </si>
  <si>
    <t>Objetivo:</t>
  </si>
  <si>
    <t xml:space="preserve">Definir las directrices y estrategias a implementar para orientar la entidad, su sistema de gestión y la administración general, estableciendo las líneas estratégicas, programas, proyectos y actividades  para articular armónicamente los lineamientos de las agendas globales, con las políticas ambientales nacionales y la misión de la Corporación Autónoma Regional del Cesar. </t>
  </si>
  <si>
    <t>Alcance:</t>
  </si>
  <si>
    <t xml:space="preserve">Inicia con la formulación de las directrices y lineamientos de direccionamiento de la entidad hasta el seguimiento de la implementación y /o ejecución de los planes, programas y proyectos, y su impacto sobre  el desarrollo de la misión de la Corporación.   
   </t>
  </si>
  <si>
    <t>Análisis del riesgo inherente</t>
  </si>
  <si>
    <t>Evaluación del riesgo - Valoración de los controles</t>
  </si>
  <si>
    <t>Evaluación del riesgo - Nivel del riesgo residual</t>
  </si>
  <si>
    <t>Plan de Acción</t>
  </si>
  <si>
    <t xml:space="preserve">Referencia </t>
  </si>
  <si>
    <t>Contexto Estrategico Interno -Externo- Proceso</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</si>
  <si>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</si>
  <si>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</si>
  <si>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</si>
  <si>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</si>
  <si>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</si>
  <si>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</si>
  <si>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</si>
  <si>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</si>
  <si>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</si>
  <si>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</si>
  <si>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</si>
  <si>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</si>
  <si>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</si>
  <si>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</si>
  <si>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</si>
  <si>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</si>
  <si>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</si>
  <si>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</si>
  <si>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Estrategico</t>
  </si>
  <si>
    <t>Consecuencia</t>
  </si>
  <si>
    <t>Tipo</t>
  </si>
  <si>
    <t>Implementación</t>
  </si>
  <si>
    <t>Calificación</t>
  </si>
  <si>
    <t>Documentación</t>
  </si>
  <si>
    <t>Frecuencia</t>
  </si>
  <si>
    <t>Evidencia</t>
  </si>
  <si>
    <t>Administrar los recursos naturales renovables y el ambiente en el área de su jurisdicción, generando conocimiento y adelantando procesos de sensibilización que permitan su conservación, recuperación, manejo y uso sostenible.
Reglamentar la planificación integral de los recursos naturales y el ambiente con el fin de coadyuvar en la implementación de normas de ocupación y uso ambiental del territorio en el departamento del Cesar.
Lograr la satisfacción de los diferentes actores sociales involucrados en la ejecución de la misión de la Corporación.
Mejorar continuamente la eficacia, eficiencia y efectividad del Sistema Integrado de Gestión.
Garantizar la competencia del talento humano, a través del fortalecimiento de los perfiles profesionales de los funcionarios y demás servidores de la corporación.
Asegurar continuamente el cumplimiento de los requisitos legales y los demás que le apliquen a la entidad en el desarrollo de su gestión interna.</t>
  </si>
  <si>
    <t>Económico y Reputacional</t>
  </si>
  <si>
    <t>Financiero</t>
  </si>
  <si>
    <t>Ejecucion y Administracion de procesos</t>
  </si>
  <si>
    <t xml:space="preserve">     Mayor a 500 SMLMV </t>
  </si>
  <si>
    <t>Correctivo</t>
  </si>
  <si>
    <t>Manual</t>
  </si>
  <si>
    <t>Documentado</t>
  </si>
  <si>
    <t>Continua</t>
  </si>
  <si>
    <t>Con Registro</t>
  </si>
  <si>
    <t>Evitar</t>
  </si>
  <si>
    <t>Seguimiento a las metas de recaudo</t>
  </si>
  <si>
    <t>Comité de cartera
Subdirección General del Area Administrativa y financiera</t>
  </si>
  <si>
    <t>semestral</t>
  </si>
  <si>
    <t>Informe de Gestión</t>
  </si>
  <si>
    <t>Detectivo</t>
  </si>
  <si>
    <t>Reducir (mitigar)</t>
  </si>
  <si>
    <t>Ajuste de metas y revisión de cumplimientos metas fisicas y financieras</t>
  </si>
  <si>
    <t>Subdirección General del Area de Planeación</t>
  </si>
  <si>
    <t xml:space="preserve">Seguimiento a metas fisicas y financieras </t>
  </si>
  <si>
    <t>Preventivo</t>
  </si>
  <si>
    <t>Económico</t>
  </si>
  <si>
    <t>Recursos limitados para financiación de proyectos</t>
  </si>
  <si>
    <t>Deficiente gestión ante entidades nacionales e internacionales, para la finanaciación de proyectos.</t>
  </si>
  <si>
    <t>Posibilidad de no ejecución de proyecto por deficiente gestión de recursos para su financiación</t>
  </si>
  <si>
    <t>Proyectos sin ejecutar</t>
  </si>
  <si>
    <t>Conformación de equipo estructurador de proyectos</t>
  </si>
  <si>
    <t>Presentación de proyectos formulados a diferentes convocatorias</t>
  </si>
  <si>
    <t>Estrategias de gestión de proyectos</t>
  </si>
  <si>
    <t>Presentación de informes de estructuración y seguimiento de proyectos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</si>
  <si>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</si>
  <si>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</si>
  <si>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</si>
  <si>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</si>
  <si>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</si>
  <si>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</si>
  <si>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</si>
  <si>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</si>
  <si>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</si>
  <si>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</si>
  <si>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</si>
  <si>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</si>
  <si>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</si>
  <si>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</si>
  <si>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</si>
  <si>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</si>
  <si>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</si>
  <si>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</si>
  <si>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</si>
  <si>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</si>
  <si>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</si>
  <si>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</si>
  <si>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</si>
  <si>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</si>
  <si>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</si>
  <si>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</si>
  <si>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</si>
  <si>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</si>
  <si>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</si>
  <si>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</si>
  <si>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</si>
  <si>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</si>
  <si>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</si>
  <si>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</si>
  <si>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</si>
  <si>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</si>
  <si>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</si>
  <si>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</si>
  <si>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</si>
  <si>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</si>
  <si>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</si>
  <si>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</si>
  <si>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</si>
  <si>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</si>
  <si>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</si>
  <si>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</si>
  <si>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</si>
  <si>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</si>
  <si>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</si>
  <si>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</si>
  <si>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</si>
  <si>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</si>
  <si>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</si>
  <si>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</si>
  <si>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</si>
  <si>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</si>
  <si>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</si>
  <si>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</si>
  <si>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</si>
  <si>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</si>
  <si>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</si>
  <si>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</si>
  <si>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</si>
  <si>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</si>
  <si>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</si>
  <si>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</si>
  <si>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</si>
  <si>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</si>
  <si>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</si>
  <si>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</si>
  <si>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</si>
  <si>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</si>
  <si>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</si>
  <si>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</si>
  <si>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</si>
  <si>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</si>
  <si>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</si>
  <si>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</si>
  <si>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</si>
  <si>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</si>
  <si>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</si>
  <si>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</si>
  <si>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</si>
  <si>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</si>
  <si>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</si>
  <si>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</si>
  <si>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</si>
  <si>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</si>
  <si>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</si>
  <si>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</si>
  <si>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</si>
  <si>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</si>
  <si>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</si>
  <si>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</si>
  <si>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Reputacional</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</si>
  <si>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</si>
  <si>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</si>
  <si>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</si>
  <si>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</si>
  <si>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</si>
  <si>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</si>
  <si>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</si>
  <si>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</si>
  <si>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</si>
  <si>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</si>
  <si>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</si>
  <si>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</si>
  <si>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</si>
  <si>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</si>
  <si>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Cada que se presenten Convocatorias</t>
  </si>
  <si>
    <t>Oportunidad (es)</t>
  </si>
  <si>
    <t>Incumplimiento de las acciones del  Plan de Acción Cuatrienal</t>
  </si>
  <si>
    <t>Falta de participación de la comunidad en la formulación de los instrumentos de planificación. 
Recaudo deficiente, baja cultura de pago de los municipios y entidades recaudadores de Tasas.</t>
  </si>
  <si>
    <t>Deficiente ejecución de ingresos para el cumplimiento de las acciones del  Plan de Acción Cuatrienal.</t>
  </si>
  <si>
    <t>Posibilidad de afectación economica  y reputacional por la deficiente ejecución de ingresos para el cumplimiento de las acciones del  Plan de Acción Cuatrienal, debido al reacudo deficiente, baja cultura de pago de los municipios y entidades recaudadores de Tasas.
Posibilidad de disminución de distribución de recursos a las CARs por nuevas figuras de autoridades ambientales.</t>
  </si>
  <si>
    <t>Análisis de Oportunidades</t>
  </si>
  <si>
    <t>Evaluación</t>
  </si>
  <si>
    <t>Nivel de la Oportunidad</t>
  </si>
  <si>
    <t>Zona de Oportunidad</t>
  </si>
  <si>
    <t>Análisis de Oportunidades con Tratamiento</t>
  </si>
  <si>
    <t>Nivel de la oportunidad</t>
  </si>
  <si>
    <t>Zona de la Oportunidad con Tratamiento</t>
  </si>
  <si>
    <t>SISTEMA INTEGRADO DE GESTIÓN
PLANEACIÓN ESTRATEGICA
MAPA DE RIESGOS Y OPORTUNIDADES POR PROCESOS</t>
  </si>
  <si>
    <r>
      <t xml:space="preserve">versión: </t>
    </r>
    <r>
      <rPr>
        <sz val="14"/>
        <color theme="1"/>
        <rFont val="Arial Narrow"/>
        <family val="2"/>
      </rPr>
      <t>4.0</t>
    </r>
  </si>
  <si>
    <t>FECHA: 27/12/2024</t>
  </si>
  <si>
    <t>Fecha Actualización: 22/04/2025</t>
  </si>
  <si>
    <t>Suscripción de compromisos, por parte de los procesos, en las metas de producto resagadas.</t>
  </si>
  <si>
    <t>Asignación de profesional del equipo de proyectos de la Subdirección General Área de Planeación a cada Programa del Plan de Acción 2024-2027, con el fin de facilitar el seguimiento a las metas establecidas en el mismo y evitar demoras en la entrega de resultados y avances de la gestión en cada vigencia.</t>
  </si>
  <si>
    <t>Identificación del riesgo y Oportunidad(es)</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</si>
  <si>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</si>
  <si>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</si>
  <si>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</si>
  <si>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</si>
  <si>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</si>
  <si>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</si>
  <si>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</si>
  <si>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</si>
  <si>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</si>
  <si>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</si>
  <si>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</si>
  <si>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</si>
  <si>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</si>
  <si>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</si>
  <si>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</si>
  <si>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</si>
  <si>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</si>
  <si>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</si>
  <si>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</si>
  <si>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</si>
  <si>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</si>
  <si>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</si>
  <si>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</si>
  <si>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</si>
  <si>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</si>
  <si>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</si>
  <si>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</si>
  <si>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</si>
  <si>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</si>
  <si>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</si>
  <si>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Posibilidad de acceder a los recursos de cooperación internacional para el sector ambiental</t>
  </si>
  <si>
    <t xml:space="preserve">Incrementar el número de proyectos a gestionar, buscando mejores oportunidades de inversión para contribuir al cumplimiento de las metas del Plan de Acción de la Corporación.
Fluidez en el proceso de ejecución de los recursos de asignación directa del sistema general de regalias </t>
  </si>
  <si>
    <t xml:space="preserve">Fluidez en el proceso de ejecución de los recursos de asignación directa del sistema general de regalias </t>
  </si>
  <si>
    <t>Lograr la firma de por lo menos dos (2) Memorandos de Entendimiento con grupos o entidades con quienes se establezcan accione sy/o colaboraciones.</t>
  </si>
  <si>
    <t>Anual</t>
  </si>
  <si>
    <t>Para Oportunidad:
Concertación para firma de Memorandos de entendiemientos</t>
  </si>
  <si>
    <t>Para el riesgo:
Estrategia de recaudo</t>
  </si>
  <si>
    <t>Para la Oportunidad:
Asignación de prestadores de servicios del equipo de proyectos al seguimiento a cada programa del Plan de Acción.</t>
  </si>
  <si>
    <t>Cumplir las acciones de seguimiento a la ejecución del Plan de Acción</t>
  </si>
  <si>
    <t>01 de marzo de 2025</t>
  </si>
  <si>
    <t>El Comité de Cartera se reune cada vez que las circunstancias lo exijan</t>
  </si>
  <si>
    <t>Cada que se presenten</t>
  </si>
  <si>
    <t>Cada que se presente la necesidad justificada</t>
  </si>
  <si>
    <r>
      <t xml:space="preserve">Para Riesgo y Oportunidad:
Cumplir las acciones de seguimiento a la ejecución del Plan de Acción
Para la </t>
    </r>
    <r>
      <rPr>
        <b/>
        <sz val="11"/>
        <color theme="1"/>
        <rFont val="Arial Narrow"/>
        <family val="2"/>
      </rPr>
      <t>Oportunidad</t>
    </r>
    <r>
      <rPr>
        <sz val="11"/>
        <color theme="1"/>
        <rFont val="Arial Narrow"/>
        <family val="2"/>
      </rPr>
      <t>: Asignar profesional del equipo de proyectos al seguimiento a cada programa del Plan de Acción.</t>
    </r>
  </si>
  <si>
    <t>Desde la Subdirección General del Área de Planeación, se encargó por profesional del equipo de proyectos asignándoles un programa y sus proyectos a cada profesional para realizar seguimiento al cumplimiento de metas.
Se hizo seguimiento al cumplimiento de metas del Plan de Acción. En el siguiente link se encuentra el Informe de Gestión de la vigencia 2025.
Evidencia:https://www.corpocesar.gov.co/files/2026/03/otros/Informe_Gestion_Plan_de_Accion_2024-2027_1_ene_31_dic_2025.pdf</t>
  </si>
  <si>
    <t>Se hizo seguimiento al cumplimiento de metas del Plan de Acción. 
Se obtuvo en la gestión de la vigencia 2025, que el porcentaje de cumplimiento de las metas físicas fue de 98,19% y en las metas financieras 85,32%
Evidencia:  https://www.corpocesar.gov.co/files/2026/03/otros/Informe_Gestion_Plan_de_Accion_2024-2027_1_ene_31_dic_2025.pdf</t>
  </si>
  <si>
    <r>
      <t xml:space="preserve">A fecha 31 de diciembre de 2025, no se han presentado proyectos, toda vez que no han abierto convocatorias.
A fecha </t>
    </r>
    <r>
      <rPr>
        <b/>
        <sz val="11"/>
        <rFont val="Arial Narrow"/>
        <family val="2"/>
      </rPr>
      <t>20 de marzo de 2026</t>
    </r>
    <r>
      <rPr>
        <sz val="11"/>
        <color theme="1"/>
        <rFont val="Arial Narrow"/>
        <family val="2"/>
      </rPr>
      <t xml:space="preserve"> se presentó el Proyecto RESTAURACIÓN PARTICIPATIVA DE ÁREAS ESTRATÉGICAS DE INTERÉS AMBIENTAL Y CULTURAL EN LACUENCA HIDROGRÁFICA RIO GUATAPURÍ, JURISDICCIÓN DEL MUNICIPIO DE VALLEDUPAR, DEPARTAMENTO DEL CESAR en la Convocatoria del Ministerio de Ambiente - Conservación de áreas ambientales estratégicas y lucha nacional contra la deforestación, de la Asignación Ambiental y el 20% del mayor recaudo del Sistema General de Regalías.</t>
    </r>
  </si>
  <si>
    <t>A corte 31 de diciembre de 2025, se presentó Informe de un proyecto financiado por el Fondo de Compensación Ambiental, denominado DESARROLLO DE ACCIONES PARA LA REHABILITACIÓN ECOLÓGICA DE ÁREAS DEGRADADAS EN ECOSISTEMAS ESTRATÉGICOS EN LA MICROCUENCA CUARÉ, EN EL DEPARTAMENTO DEL CESAR", con código BPIN 202400000000145, de fecha 25 de julio de 2025.</t>
  </si>
  <si>
    <t>Con el Acuerdo No 004 del 30 de mayo de 2025, “Por medio del cual se modifican los indicadores, metas físicas y financieras contenidos en el anexo de acciones operativas, que forma parte del Plan de Acción Cuatrienal 2024
2027 “GOBERNANZA Y GOBERNABILIDAD EN LA GESTION AMBIENTAL DEL CESAR”  de la Corporación Autónoma Regional del Cesar – CORPOCESAR-; aprobado mediante Acuerdo de Consejo Directivo No 003 del 17 de mayo de 2024; toda vez que, el Plan Financiero actualmente vigente fue elaborado con base en una proyección de ingresos que incluyó, entre otras fuentes, recursos del Sistema General de Regalías (SGR), los cuales fueron contemplados como la principal fuente de financiación para el cumplimiento de las metas establecidas en las acciones operativas del Plan. Dichas proyecciones se fundamentaron en la asignación presupuestal del bienio 2023–2024, partiendo de la expectativa de que los recursos correspondientes al bienio 2025–2026 se mantendrían o incrementarían. No obstante, en la actualidad se ha confirmado una reducción del 40% en dicha asignación con respecto al bienio anterior, lo cual obliga a replantear las metas inicialmente previstas y/o explorar fuentes de financiación complementarias. 
Y a través del ACUERDO No. 008 de 30 de septiembre de 2025 Por medio del cual se efectúa un traslado presupuestal con rentas administradas por la entidad (rae) en el presupuesto de gastos de inversión de la Corporación Autónoma Regional del Cesar – Corpocesar con destino a atender los programas y proyectos del del Plan de Acción Cuatrienal 2024-2027 “GOBERNANZA Y GOBERNABILIDAD EN LA GESTION AMBIENTAL DEL CESAR” de la Corporación Autónoma Regional del Cesar – CORPOCESAR; aprobado mediante Acuerdo de Consejo Directivo No 003 del 17 de mayo de 2024.
Y a través del ACUERDO No 018 de 22 de diciembre de 2025, por medio del cual se adiciona el presupuesto anual de ingresos y gastos de la Corporación con el propósito de atender compromisos ante el Fondo de Compensación Ambiental para la vigencia fiscal 2025; se faculta a la Dirección General para hacer los ajustes a que haya lugar en lo correspondiente al plan financiero de la vigencia 2024 – 2027.
Evidencia: https://www.corpocesar.gov.co/files/2025/12/ACUERDOS/ACUERDO_018_DEL_22_DE_DICIEMBRE_DE_2025.pdf
Se hizo seguimiento al cumplimiento de metas del Plan de Acción. 
Evidencia:  https://www.corpocesar.gov.co/files/2026/03/otros/Informe_Gestion_Plan_de_Accion_2024-2027_1_ene_31_dic_2025.pdf</t>
  </si>
  <si>
    <r>
      <t xml:space="preserve">A corte 31 de diciembre de 2025, se completó las actividades proyectadas en memorando de entendimiento con AGROSAVIA referente a la visita técnica a pilotos silvopastoriles e intercambio de experiencias; y la definición de hoja de ruta para reconversión ganadera y transferencia tecnológica hacia productores locales.
</t>
    </r>
    <r>
      <rPr>
        <sz val="11"/>
        <rFont val="Arial Narrow"/>
        <family val="2"/>
      </rPr>
      <t>En Octubre de 2025, se firmó memorando de entendimiento con WWF; El acuerdo busca trabajar juntos por la Protección del medio ambiente, Conservar la biodiversidad, Manejar de forma sostenible los recursos naturales, Fortalecer áreas protegidas y ecosistemas estratégicos del departamento del Cesar.</t>
    </r>
  </si>
  <si>
    <r>
      <t>Durante la vigencia 2025, se estimó un presupuesto cercano a los $ 35.845.096.652, de los cuales a la fecha se han gestionado y obtenido recursos por el orden de $ 34.256.331.342, lo que equivale a 95.5%, a corte 30 de septiembre de 2025. Se destacan dentro de los recaudos, los recursos del balance y rendimientos financieros, en atención al manejo adecuado que la tesorería de la entidad viene dando a los recaudos de recursos propios. Se observa un bajo recaudo de contribución del sector eléctrico en atención a que la empresa DRUMMON LTD viene generando menor aporte de su planta de energía eléctrica.
En 2025, las tasas y derechos administrativos tales como TUA y TR, muestran un comportamiento adecuado considerando que dicha facturación se pudo hacer solo en el segundo semestre de la presente anualidad.
Por su parte los aportes de NACION se viene recibiendo con la periocidad mensual esperada.
Evidencia: Informe de Avances Metas de Recaudo 2025_ Subdirección Administrativa y Financiera.</t>
    </r>
    <r>
      <rPr>
        <b/>
        <sz val="1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</si>
</sst>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6"/>
      <color theme="1"/>
      <name val="Arial Narrow"/>
      <family val="2"/>
    </font>
    <font>
      <b/>
      <sz val="12"/>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u/>
      <sz val="11"/>
      <color theme="10"/>
      <name val="Calibri"/>
      <family val="2"/>
      <scheme val="minor"/>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86">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dashed">
        <color theme="9" tint="-0.24994659260841701"/>
      </left>
      <right/>
      <top style="dashed">
        <color theme="9" tint="-0.24994659260841701"/>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
      <left style="dashed">
        <color theme="9" tint="-0.24994659260841701"/>
      </left>
      <right/>
      <top style="thin">
        <color theme="9"/>
      </top>
      <bottom/>
      <diagonal/>
    </border>
    <border>
      <left/>
      <right/>
      <top style="thin">
        <color theme="9"/>
      </top>
      <bottom/>
      <diagonal/>
    </border>
    <border>
      <left style="dashed">
        <color theme="9" tint="-0.24994659260841701"/>
      </left>
      <right style="dashed">
        <color theme="9" tint="-0.24994659260841701"/>
      </right>
      <top/>
      <bottom style="thin">
        <color indexed="64"/>
      </bottom>
      <diagonal/>
    </border>
  </borders>
  <cellStyleXfs count="8">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3" fillId="0" borderId="0"/>
    <xf numFmtId="0" fontId="68" fillId="0" borderId="0" applyNumberFormat="0" applyFill="0" applyBorder="0" applyAlignment="0" applyProtection="0"/>
  </cellStyleXfs>
  <cellXfs count="57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0" xfId="2" applyFont="1" applyFill="1" applyBorder="1"/>
    <xf numFmtId="0" fontId="50" fillId="3" borderId="51" xfId="2" applyFont="1" applyFill="1" applyBorder="1"/>
    <xf numFmtId="0" fontId="50" fillId="3" borderId="52"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42" xfId="0" applyNumberFormat="1"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9" fillId="3" borderId="32" xfId="0" applyFont="1" applyFill="1" applyBorder="1" applyAlignment="1">
      <alignment horizontal="justify" vertical="center" wrapText="1" readingOrder="1"/>
    </xf>
    <xf numFmtId="9" fontId="38" fillId="3" borderId="37" xfId="0" applyNumberFormat="1" applyFont="1" applyFill="1" applyBorder="1" applyAlignment="1">
      <alignment horizontal="center" vertical="center" wrapText="1" readingOrder="1"/>
    </xf>
    <xf numFmtId="0" fontId="39" fillId="3" borderId="37"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9" fillId="3" borderId="39" xfId="0" applyFont="1" applyFill="1" applyBorder="1" applyAlignment="1">
      <alignment horizontal="justify" vertical="center" wrapText="1" readingOrder="1"/>
    </xf>
    <xf numFmtId="0" fontId="39" fillId="3" borderId="40" xfId="0" applyFont="1" applyFill="1" applyBorder="1" applyAlignment="1">
      <alignment horizontal="center" vertical="center" wrapText="1" readingOrder="1"/>
    </xf>
    <xf numFmtId="0" fontId="47" fillId="3" borderId="0" xfId="0" applyFont="1" applyFill="1"/>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7" fillId="2" borderId="4" xfId="0" applyFont="1" applyFill="1" applyBorder="1" applyAlignment="1">
      <alignment horizontal="center" vertical="center" textRotation="90"/>
    </xf>
    <xf numFmtId="0" fontId="4" fillId="2" borderId="5" xfId="0" applyFont="1" applyFill="1" applyBorder="1" applyAlignment="1">
      <alignment horizontal="center" vertical="center"/>
    </xf>
    <xf numFmtId="0" fontId="1" fillId="0" borderId="6" xfId="0" applyFont="1" applyBorder="1" applyAlignment="1">
      <alignment horizontal="center" vertical="center"/>
    </xf>
    <xf numFmtId="0" fontId="27" fillId="2" borderId="5" xfId="0" applyFont="1" applyFill="1" applyBorder="1" applyAlignment="1">
      <alignment horizontal="center" vertical="top" textRotation="90" wrapText="1"/>
    </xf>
    <xf numFmtId="0" fontId="4" fillId="2" borderId="8" xfId="0" applyFont="1" applyFill="1" applyBorder="1" applyAlignment="1">
      <alignment horizontal="center" vertical="center"/>
    </xf>
    <xf numFmtId="0" fontId="26" fillId="2" borderId="28" xfId="0" applyFont="1" applyFill="1" applyBorder="1" applyAlignment="1">
      <alignment vertical="center"/>
    </xf>
    <xf numFmtId="0" fontId="26" fillId="2" borderId="29" xfId="0" applyFont="1" applyFill="1" applyBorder="1" applyAlignment="1">
      <alignment vertical="center"/>
    </xf>
    <xf numFmtId="0" fontId="26" fillId="2" borderId="3" xfId="0" applyFont="1" applyFill="1" applyBorder="1" applyAlignment="1">
      <alignment vertical="center"/>
    </xf>
    <xf numFmtId="0" fontId="26" fillId="2" borderId="0" xfId="0" applyFont="1" applyFill="1" applyAlignment="1">
      <alignment vertical="center"/>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64" fontId="1" fillId="3" borderId="2" xfId="1" applyNumberFormat="1" applyFont="1" applyFill="1" applyBorder="1" applyAlignment="1">
      <alignment horizontal="center" vertical="center"/>
    </xf>
    <xf numFmtId="164" fontId="1" fillId="9" borderId="2" xfId="1" applyNumberFormat="1" applyFont="1" applyFill="1" applyBorder="1" applyAlignment="1">
      <alignment horizontal="center" vertical="center"/>
    </xf>
    <xf numFmtId="0" fontId="1" fillId="3" borderId="0" xfId="0" applyFont="1" applyFill="1" applyAlignment="1">
      <alignment horizontal="justify" vertical="center" wrapText="1"/>
    </xf>
    <xf numFmtId="0" fontId="1" fillId="0" borderId="0" xfId="0" applyFont="1" applyAlignment="1">
      <alignment horizontal="justify" vertical="center" wrapText="1"/>
    </xf>
    <xf numFmtId="0" fontId="26" fillId="2" borderId="0" xfId="0" applyFont="1" applyFill="1" applyAlignment="1">
      <alignment horizontal="justify" vertical="center" wrapText="1"/>
    </xf>
    <xf numFmtId="0" fontId="4" fillId="3" borderId="0" xfId="0" applyFont="1" applyFill="1" applyAlignment="1">
      <alignment horizontal="justify" vertical="center" wrapText="1"/>
    </xf>
    <xf numFmtId="0" fontId="1" fillId="0" borderId="2" xfId="0" applyFont="1" applyBorder="1" applyAlignment="1" applyProtection="1">
      <alignment horizontal="center" vertical="center"/>
      <protection hidden="1"/>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4" fillId="0" borderId="8" xfId="0" applyFont="1" applyBorder="1" applyAlignment="1" applyProtection="1">
      <alignment horizontal="center" vertical="top"/>
      <protection hidden="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4" fillId="2" borderId="31"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1" fillId="3" borderId="13" xfId="5" applyFont="1" applyFill="1" applyBorder="1" applyAlignment="1">
      <alignment vertical="center"/>
    </xf>
    <xf numFmtId="0" fontId="61" fillId="3" borderId="0" xfId="5" applyFont="1" applyFill="1" applyAlignment="1">
      <alignment vertical="center"/>
    </xf>
    <xf numFmtId="0" fontId="62" fillId="3" borderId="14" xfId="5" applyFont="1" applyFill="1" applyBorder="1" applyAlignment="1">
      <alignment vertical="center"/>
    </xf>
    <xf numFmtId="0" fontId="61" fillId="3" borderId="15" xfId="5" applyFont="1" applyFill="1" applyBorder="1" applyAlignment="1">
      <alignment vertical="center"/>
    </xf>
    <xf numFmtId="0" fontId="36" fillId="3" borderId="14" xfId="5" applyFont="1" applyFill="1" applyBorder="1" applyAlignment="1">
      <alignment vertical="center"/>
    </xf>
    <xf numFmtId="0" fontId="64" fillId="3" borderId="0" xfId="6" applyFont="1" applyFill="1" applyAlignment="1">
      <alignment horizontal="center" vertical="center"/>
    </xf>
    <xf numFmtId="0" fontId="65" fillId="3" borderId="0" xfId="6" applyFont="1" applyFill="1" applyAlignment="1">
      <alignment horizontal="center" vertical="center" wrapText="1"/>
    </xf>
    <xf numFmtId="0" fontId="65" fillId="3" borderId="0" xfId="6" applyFont="1" applyFill="1" applyAlignment="1">
      <alignment horizontal="center" vertical="center"/>
    </xf>
    <xf numFmtId="0" fontId="66" fillId="17" borderId="32" xfId="6" applyFont="1" applyFill="1" applyBorder="1" applyAlignment="1">
      <alignment horizontal="center" vertical="center" wrapText="1"/>
    </xf>
    <xf numFmtId="0" fontId="66" fillId="17" borderId="32" xfId="6" applyFont="1" applyFill="1" applyBorder="1" applyAlignment="1">
      <alignment horizontal="center" vertical="center"/>
    </xf>
    <xf numFmtId="0" fontId="66" fillId="9" borderId="32" xfId="6" applyFont="1" applyFill="1" applyBorder="1" applyAlignment="1">
      <alignment horizontal="center" vertical="center"/>
    </xf>
    <xf numFmtId="0" fontId="67" fillId="9" borderId="32" xfId="6" applyFont="1" applyFill="1" applyBorder="1" applyAlignment="1">
      <alignment horizontal="center" vertical="center" wrapText="1"/>
    </xf>
    <xf numFmtId="0" fontId="67" fillId="9" borderId="32" xfId="6" applyFont="1" applyFill="1" applyBorder="1" applyAlignment="1">
      <alignment horizontal="center" vertical="center"/>
    </xf>
    <xf numFmtId="0" fontId="66" fillId="18" borderId="32" xfId="6" applyFont="1" applyFill="1" applyBorder="1" applyAlignment="1">
      <alignment horizontal="center" vertical="center"/>
    </xf>
    <xf numFmtId="0" fontId="67" fillId="18" borderId="32" xfId="6" applyFont="1" applyFill="1" applyBorder="1" applyAlignment="1">
      <alignment horizontal="center" vertical="center" wrapText="1"/>
    </xf>
    <xf numFmtId="0" fontId="66" fillId="5" borderId="32" xfId="6" applyFont="1" applyFill="1" applyBorder="1" applyAlignment="1">
      <alignment horizontal="center" vertical="center"/>
    </xf>
    <xf numFmtId="0" fontId="67" fillId="5" borderId="32"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2" xfId="0" applyFont="1" applyFill="1" applyBorder="1" applyAlignment="1">
      <alignment horizontal="center" vertical="center" wrapText="1"/>
    </xf>
    <xf numFmtId="0" fontId="38" fillId="20" borderId="32" xfId="0" applyFont="1" applyFill="1" applyBorder="1" applyAlignment="1">
      <alignment horizontal="center" vertical="center"/>
    </xf>
    <xf numFmtId="0" fontId="38" fillId="21" borderId="32" xfId="0" applyFont="1" applyFill="1" applyBorder="1" applyAlignment="1">
      <alignment horizontal="center" vertical="center" wrapText="1"/>
    </xf>
    <xf numFmtId="0" fontId="65" fillId="4" borderId="32" xfId="6" applyFont="1" applyFill="1" applyBorder="1" applyAlignment="1">
      <alignment horizontal="center" vertical="center" wrapText="1"/>
    </xf>
    <xf numFmtId="0" fontId="38" fillId="22" borderId="32" xfId="0" applyFont="1" applyFill="1" applyBorder="1" applyAlignment="1">
      <alignment horizontal="center" vertical="center" wrapText="1"/>
    </xf>
    <xf numFmtId="0" fontId="65" fillId="8" borderId="32" xfId="6" applyFont="1" applyFill="1" applyBorder="1" applyAlignment="1">
      <alignment horizontal="center" vertical="center" wrapText="1"/>
    </xf>
    <xf numFmtId="0" fontId="38" fillId="23" borderId="32" xfId="0" applyFont="1" applyFill="1" applyBorder="1" applyAlignment="1">
      <alignment horizontal="center" vertical="center" wrapText="1"/>
    </xf>
    <xf numFmtId="0" fontId="65" fillId="5" borderId="32"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1" fillId="3" borderId="17" xfId="5" applyFont="1" applyFill="1" applyBorder="1" applyAlignment="1">
      <alignment vertical="center"/>
    </xf>
    <xf numFmtId="0" fontId="1" fillId="0" borderId="8" xfId="0" applyFont="1" applyBorder="1" applyAlignment="1" applyProtection="1">
      <alignment vertical="top" wrapText="1"/>
      <protection locked="0"/>
    </xf>
    <xf numFmtId="0" fontId="1" fillId="0" borderId="5"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1" fillId="0" borderId="8" xfId="0" applyFont="1" applyBorder="1" applyAlignment="1" applyProtection="1">
      <alignment vertical="top"/>
      <protection locked="0"/>
    </xf>
    <xf numFmtId="0" fontId="1" fillId="0" borderId="5" xfId="0" applyFont="1" applyBorder="1" applyAlignment="1" applyProtection="1">
      <alignment vertical="top"/>
      <protection locked="0"/>
    </xf>
    <xf numFmtId="0" fontId="4" fillId="0" borderId="8" xfId="0" applyFont="1" applyBorder="1" applyAlignment="1" applyProtection="1">
      <alignment vertical="top" wrapText="1"/>
      <protection hidden="1"/>
    </xf>
    <xf numFmtId="0" fontId="4" fillId="0" borderId="5" xfId="0" applyFont="1" applyBorder="1" applyAlignment="1" applyProtection="1">
      <alignment vertical="top" wrapText="1"/>
      <protection hidden="1"/>
    </xf>
    <xf numFmtId="9" fontId="1" fillId="0" borderId="8" xfId="0" applyNumberFormat="1" applyFont="1" applyBorder="1" applyAlignment="1" applyProtection="1">
      <alignment vertical="top" wrapText="1"/>
      <protection hidden="1"/>
    </xf>
    <xf numFmtId="9" fontId="1" fillId="0" borderId="5" xfId="0" applyNumberFormat="1" applyFont="1" applyBorder="1" applyAlignment="1" applyProtection="1">
      <alignment vertical="top" wrapText="1"/>
      <protection hidden="1"/>
    </xf>
    <xf numFmtId="9" fontId="1" fillId="0" borderId="8" xfId="0" applyNumberFormat="1" applyFont="1" applyBorder="1" applyAlignment="1" applyProtection="1">
      <alignment vertical="top" wrapText="1"/>
      <protection locked="0"/>
    </xf>
    <xf numFmtId="9" fontId="1" fillId="0" borderId="5" xfId="0" applyNumberFormat="1" applyFont="1" applyBorder="1" applyAlignment="1" applyProtection="1">
      <alignment vertical="top" wrapText="1"/>
      <protection locked="0"/>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8" xfId="0" applyFont="1" applyBorder="1" applyAlignment="1" applyProtection="1">
      <alignment vertical="top"/>
      <protection hidden="1"/>
    </xf>
    <xf numFmtId="0" fontId="4" fillId="0" borderId="5" xfId="0" applyFont="1" applyBorder="1" applyAlignment="1" applyProtection="1">
      <alignment vertical="top"/>
      <protection hidden="1"/>
    </xf>
    <xf numFmtId="0" fontId="2" fillId="0" borderId="4" xfId="0" applyFont="1" applyBorder="1" applyAlignment="1" applyProtection="1">
      <alignment horizontal="justify" vertical="top" wrapText="1"/>
      <protection locked="0"/>
    </xf>
    <xf numFmtId="0" fontId="2" fillId="0" borderId="5" xfId="0" applyFont="1" applyBorder="1" applyAlignment="1" applyProtection="1">
      <alignment horizontal="justify" vertical="top" wrapText="1"/>
      <protection locked="0"/>
    </xf>
    <xf numFmtId="0" fontId="1" fillId="0" borderId="0" xfId="0" applyFont="1" applyAlignment="1">
      <alignment horizontal="justify" vertical="center"/>
    </xf>
    <xf numFmtId="0" fontId="26" fillId="2" borderId="28" xfId="0" applyFont="1" applyFill="1" applyBorder="1" applyAlignment="1">
      <alignment horizontal="justify" vertical="center"/>
    </xf>
    <xf numFmtId="0" fontId="26" fillId="2" borderId="0" xfId="0" applyFont="1" applyFill="1" applyAlignment="1">
      <alignment horizontal="justify" vertical="center"/>
    </xf>
    <xf numFmtId="0" fontId="1" fillId="3" borderId="0" xfId="0" applyFont="1" applyFill="1" applyAlignment="1">
      <alignment horizontal="justify" vertical="center"/>
    </xf>
    <xf numFmtId="0" fontId="1" fillId="0" borderId="2" xfId="0" applyFont="1" applyBorder="1" applyAlignment="1" applyProtection="1">
      <alignment horizontal="justify" vertical="center" wrapText="1"/>
      <protection locked="0"/>
    </xf>
    <xf numFmtId="0" fontId="1" fillId="0" borderId="2" xfId="0" applyFont="1" applyBorder="1" applyAlignment="1" applyProtection="1">
      <alignment horizontal="left" vertical="center" wrapText="1"/>
      <protection locked="0"/>
    </xf>
    <xf numFmtId="0" fontId="4" fillId="0" borderId="0" xfId="0" applyFont="1" applyAlignment="1">
      <alignment horizontal="justify" vertical="center" wrapText="1"/>
    </xf>
    <xf numFmtId="0" fontId="4" fillId="0" borderId="0" xfId="0" applyFont="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5" xfId="0" applyFont="1" applyBorder="1" applyAlignment="1">
      <alignment horizontal="justify" vertical="center" wrapText="1"/>
    </xf>
    <xf numFmtId="14" fontId="1" fillId="0" borderId="2" xfId="0" applyNumberFormat="1" applyFont="1" applyBorder="1" applyAlignment="1" applyProtection="1">
      <alignment horizontal="justify" vertical="center"/>
      <protection locked="0"/>
    </xf>
    <xf numFmtId="14" fontId="1" fillId="0" borderId="2" xfId="0" applyNumberFormat="1" applyFont="1" applyBorder="1" applyAlignment="1" applyProtection="1">
      <alignment horizontal="center" vertical="center" wrapText="1"/>
      <protection locked="0"/>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75" xfId="0" applyFont="1" applyFill="1" applyBorder="1" applyAlignment="1">
      <alignment horizontal="center" vertical="center" wrapText="1"/>
    </xf>
    <xf numFmtId="0" fontId="4" fillId="2" borderId="76"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4" fillId="2" borderId="75" xfId="0" applyFont="1" applyFill="1" applyBorder="1" applyAlignment="1">
      <alignment horizontal="center" vertical="center"/>
    </xf>
    <xf numFmtId="0" fontId="4" fillId="2" borderId="7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79" xfId="0" applyFont="1" applyFill="1" applyBorder="1" applyAlignment="1">
      <alignment horizontal="center" vertical="center" textRotation="90" wrapText="1"/>
    </xf>
    <xf numFmtId="0" fontId="4" fillId="2" borderId="80" xfId="0" applyFont="1" applyFill="1" applyBorder="1" applyAlignment="1">
      <alignment horizontal="center" vertical="center" textRotation="90" wrapText="1"/>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2" borderId="2" xfId="0" applyFont="1" applyFill="1" applyBorder="1" applyAlignment="1">
      <alignment horizontal="center" vertical="center" textRotation="90" wrapText="1"/>
    </xf>
    <xf numFmtId="0" fontId="1" fillId="3" borderId="0" xfId="0" applyFont="1" applyFill="1" applyAlignment="1">
      <alignment horizontal="left" vertical="center"/>
    </xf>
    <xf numFmtId="0" fontId="1" fillId="0" borderId="4" xfId="0" applyFont="1" applyBorder="1" applyAlignment="1" applyProtection="1">
      <alignment horizontal="center" vertical="center" textRotation="90"/>
      <protection locked="0"/>
    </xf>
    <xf numFmtId="0" fontId="1" fillId="0" borderId="5" xfId="0" applyFont="1" applyBorder="1" applyAlignment="1" applyProtection="1">
      <alignment horizontal="center" vertical="center" textRotation="90"/>
      <protection locked="0"/>
    </xf>
    <xf numFmtId="0" fontId="25" fillId="2" borderId="3" xfId="0" applyFont="1" applyFill="1" applyBorder="1" applyAlignment="1">
      <alignment horizontal="left" vertical="center"/>
    </xf>
    <xf numFmtId="0" fontId="25" fillId="2" borderId="30"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7" fillId="2" borderId="4"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0" borderId="74"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0" fontId="4" fillId="0" borderId="31"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1" fillId="0" borderId="4"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hidden="1"/>
    </xf>
    <xf numFmtId="0" fontId="26" fillId="3" borderId="32" xfId="0" applyFont="1" applyFill="1" applyBorder="1" applyAlignment="1">
      <alignment horizontal="center" vertical="center"/>
    </xf>
    <xf numFmtId="0" fontId="59" fillId="0" borderId="32" xfId="0" applyFont="1" applyBorder="1" applyAlignment="1">
      <alignment horizontal="center" vertical="center" wrapText="1"/>
    </xf>
    <xf numFmtId="0" fontId="59" fillId="0" borderId="32" xfId="0" applyFont="1" applyBorder="1" applyAlignment="1">
      <alignment horizontal="center" vertical="center"/>
    </xf>
    <xf numFmtId="0" fontId="4" fillId="2" borderId="8" xfId="0" applyFont="1" applyFill="1" applyBorder="1" applyAlignment="1">
      <alignment horizontal="center" vertical="center" wrapText="1"/>
    </xf>
    <xf numFmtId="0" fontId="8" fillId="3" borderId="3" xfId="0" applyFont="1" applyFill="1" applyBorder="1" applyAlignment="1" applyProtection="1">
      <alignment horizontal="left" vertical="center"/>
      <protection locked="0"/>
    </xf>
    <xf numFmtId="0" fontId="8" fillId="3" borderId="30" xfId="0" applyFont="1" applyFill="1" applyBorder="1" applyAlignment="1" applyProtection="1">
      <alignment horizontal="left" vertical="center"/>
      <protection locked="0"/>
    </xf>
    <xf numFmtId="0" fontId="8" fillId="3" borderId="31" xfId="0" applyFont="1" applyFill="1" applyBorder="1" applyAlignment="1" applyProtection="1">
      <alignment horizontal="left" vertical="center"/>
      <protection locked="0"/>
    </xf>
    <xf numFmtId="0" fontId="60" fillId="3" borderId="32" xfId="0" applyFont="1" applyFill="1" applyBorder="1" applyAlignment="1">
      <alignment horizontal="center"/>
    </xf>
    <xf numFmtId="0" fontId="27" fillId="3" borderId="32" xfId="0" applyFont="1" applyFill="1" applyBorder="1" applyAlignment="1">
      <alignment horizontal="center" vertical="center"/>
    </xf>
    <xf numFmtId="0" fontId="8" fillId="3" borderId="32" xfId="0" applyFont="1" applyFill="1" applyBorder="1" applyAlignment="1">
      <alignment horizontal="center"/>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0" fontId="4" fillId="0" borderId="8" xfId="0" applyFont="1" applyBorder="1" applyAlignment="1" applyProtection="1">
      <alignment horizontal="center" vertical="center"/>
      <protection hidden="1"/>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4" xfId="0" applyNumberFormat="1" applyFont="1" applyBorder="1" applyAlignment="1" applyProtection="1">
      <alignment horizontal="center" vertical="center"/>
      <protection hidden="1"/>
    </xf>
    <xf numFmtId="9" fontId="1" fillId="0" borderId="5" xfId="0" applyNumberFormat="1" applyFont="1" applyBorder="1" applyAlignment="1" applyProtection="1">
      <alignment horizontal="center" vertical="center"/>
      <protection hidden="1"/>
    </xf>
    <xf numFmtId="164" fontId="1" fillId="0" borderId="4" xfId="1" applyNumberFormat="1" applyFont="1" applyBorder="1" applyAlignment="1">
      <alignment horizontal="center" vertical="center"/>
    </xf>
    <xf numFmtId="164" fontId="1" fillId="0" borderId="5" xfId="1" applyNumberFormat="1" applyFont="1" applyBorder="1" applyAlignment="1">
      <alignment horizontal="center" vertical="center"/>
    </xf>
    <xf numFmtId="0" fontId="4" fillId="0" borderId="4" xfId="0" applyFont="1" applyBorder="1" applyAlignment="1" applyProtection="1">
      <alignment horizontal="center" vertical="center" textRotation="90" wrapText="1"/>
      <protection hidden="1"/>
    </xf>
    <xf numFmtId="0" fontId="4" fillId="0" borderId="5" xfId="0" applyFont="1" applyBorder="1" applyAlignment="1" applyProtection="1">
      <alignment horizontal="center" vertical="center" textRotation="90" wrapText="1"/>
      <protection hidden="1"/>
    </xf>
    <xf numFmtId="0" fontId="4" fillId="0" borderId="4" xfId="0" applyFont="1" applyBorder="1" applyAlignment="1" applyProtection="1">
      <alignment horizontal="center" vertical="center" textRotation="90"/>
      <protection hidden="1"/>
    </xf>
    <xf numFmtId="0" fontId="4" fillId="0" borderId="5" xfId="0" applyFont="1" applyBorder="1" applyAlignment="1" applyProtection="1">
      <alignment horizontal="center" vertical="center" textRotation="90"/>
      <protection hidden="1"/>
    </xf>
    <xf numFmtId="0" fontId="4" fillId="0" borderId="83" xfId="0" applyFont="1" applyBorder="1" applyAlignment="1" applyProtection="1">
      <alignment horizontal="center" vertical="center"/>
      <protection hidden="1"/>
    </xf>
    <xf numFmtId="0" fontId="4" fillId="0" borderId="84" xfId="0" applyFont="1" applyBorder="1" applyAlignment="1" applyProtection="1">
      <alignment horizontal="center" vertical="center" textRotation="90"/>
      <protection hidden="1"/>
    </xf>
    <xf numFmtId="0" fontId="4" fillId="0" borderId="30" xfId="0" applyFont="1" applyBorder="1" applyAlignment="1" applyProtection="1">
      <alignment horizontal="center" vertical="center" textRotation="90"/>
      <protection hidden="1"/>
    </xf>
    <xf numFmtId="0" fontId="4" fillId="0" borderId="84" xfId="0" applyFont="1" applyBorder="1" applyAlignment="1" applyProtection="1">
      <alignment horizontal="center" vertical="center"/>
      <protection hidden="1"/>
    </xf>
    <xf numFmtId="0" fontId="4" fillId="0" borderId="30" xfId="0" applyFont="1" applyBorder="1" applyAlignment="1" applyProtection="1">
      <alignment horizontal="center" vertical="center"/>
      <protection hidden="1"/>
    </xf>
    <xf numFmtId="0" fontId="4" fillId="0" borderId="74" xfId="0" applyFont="1" applyBorder="1" applyAlignment="1" applyProtection="1">
      <alignment horizontal="center" vertical="center" textRotation="90"/>
      <protection hidden="1"/>
    </xf>
    <xf numFmtId="0" fontId="4" fillId="0" borderId="3" xfId="0" applyFont="1" applyBorder="1" applyAlignment="1" applyProtection="1">
      <alignment horizontal="center" vertical="center" textRotation="90"/>
      <protection hidden="1"/>
    </xf>
    <xf numFmtId="0" fontId="2" fillId="0" borderId="8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locked="0"/>
    </xf>
    <xf numFmtId="0" fontId="56" fillId="3" borderId="63" xfId="2" applyFont="1" applyFill="1" applyBorder="1" applyAlignment="1">
      <alignment horizontal="justify" vertical="center" wrapText="1"/>
    </xf>
    <xf numFmtId="0" fontId="56" fillId="3" borderId="64" xfId="2" applyFont="1" applyFill="1" applyBorder="1" applyAlignment="1">
      <alignment horizontal="justify" vertical="center" wrapText="1"/>
    </xf>
    <xf numFmtId="0" fontId="55" fillId="3" borderId="70"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57" xfId="3" applyFont="1" applyFill="1" applyBorder="1" applyAlignment="1">
      <alignment horizontal="left" vertical="top" wrapText="1" readingOrder="1"/>
    </xf>
    <xf numFmtId="0" fontId="55" fillId="3" borderId="58" xfId="3" applyFont="1" applyFill="1" applyBorder="1" applyAlignment="1">
      <alignment horizontal="left" vertical="top" wrapText="1" readingOrder="1"/>
    </xf>
    <xf numFmtId="0" fontId="56" fillId="3" borderId="59" xfId="2" applyFont="1" applyFill="1" applyBorder="1" applyAlignment="1">
      <alignment horizontal="justify" vertical="center" wrapText="1"/>
    </xf>
    <xf numFmtId="0" fontId="56" fillId="3" borderId="60" xfId="2" applyFont="1" applyFill="1" applyBorder="1" applyAlignment="1">
      <alignment horizontal="justify" vertical="center" wrapText="1"/>
    </xf>
    <xf numFmtId="0" fontId="55" fillId="3" borderId="61" xfId="0" applyFont="1" applyFill="1" applyBorder="1" applyAlignment="1">
      <alignment horizontal="left" vertical="center" wrapText="1"/>
    </xf>
    <xf numFmtId="0" fontId="55" fillId="3" borderId="62"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6" fillId="3" borderId="65" xfId="0" applyFont="1" applyFill="1" applyBorder="1" applyAlignment="1">
      <alignment horizontal="justify" vertical="center" wrapText="1"/>
    </xf>
    <xf numFmtId="0" fontId="56" fillId="3" borderId="66" xfId="0" applyFont="1" applyFill="1" applyBorder="1" applyAlignment="1">
      <alignment horizontal="justify" vertical="center" wrapText="1"/>
    </xf>
    <xf numFmtId="0" fontId="51" fillId="14" borderId="47" xfId="2" applyFont="1" applyFill="1" applyBorder="1" applyAlignment="1">
      <alignment horizontal="center"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7"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2" fillId="3" borderId="50" xfId="2" quotePrefix="1" applyFont="1" applyFill="1" applyBorder="1" applyAlignment="1">
      <alignment horizontal="left" vertical="top" wrapText="1"/>
    </xf>
    <xf numFmtId="0" fontId="53"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3" xfId="3" applyFont="1" applyFill="1" applyBorder="1" applyAlignment="1">
      <alignment horizontal="center" vertical="center" wrapText="1"/>
    </xf>
    <xf numFmtId="0" fontId="55" fillId="14" borderId="54" xfId="3" applyFont="1" applyFill="1" applyBorder="1" applyAlignment="1">
      <alignment horizontal="center" vertical="center" wrapText="1"/>
    </xf>
    <xf numFmtId="0" fontId="55" fillId="14" borderId="55" xfId="2" applyFont="1" applyFill="1" applyBorder="1" applyAlignment="1">
      <alignment horizontal="center" vertical="center"/>
    </xf>
    <xf numFmtId="0" fontId="55" fillId="14" borderId="56" xfId="2" applyFont="1" applyFill="1" applyBorder="1" applyAlignment="1">
      <alignment horizontal="center" vertical="center"/>
    </xf>
    <xf numFmtId="0" fontId="2" fillId="3" borderId="67" xfId="2" quotePrefix="1" applyFont="1" applyFill="1" applyBorder="1" applyAlignment="1">
      <alignment horizontal="justify" vertical="center" wrapText="1"/>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4" xfId="0" applyFont="1" applyFill="1" applyBorder="1" applyAlignment="1">
      <alignment horizontal="center" vertical="center" wrapText="1" readingOrder="1"/>
    </xf>
    <xf numFmtId="0" fontId="41" fillId="15" borderId="35" xfId="0" applyFont="1" applyFill="1" applyBorder="1" applyAlignment="1">
      <alignment horizontal="center" vertical="center" wrapText="1" readingOrder="1"/>
    </xf>
    <xf numFmtId="0" fontId="41" fillId="15" borderId="46"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3" xfId="0" applyFont="1" applyFill="1" applyBorder="1" applyAlignment="1">
      <alignment horizontal="center" vertical="center" wrapText="1" readingOrder="1"/>
    </xf>
    <xf numFmtId="0" fontId="38" fillId="15" borderId="44" xfId="0" applyFont="1" applyFill="1" applyBorder="1" applyAlignment="1">
      <alignment horizontal="center" vertical="center" wrapText="1" readingOrder="1"/>
    </xf>
    <xf numFmtId="0" fontId="38" fillId="3" borderId="41" xfId="0" applyFont="1" applyFill="1" applyBorder="1" applyAlignment="1">
      <alignment horizontal="center" vertical="center" wrapText="1" readingOrder="1"/>
    </xf>
    <xf numFmtId="0" fontId="38" fillId="3" borderId="36"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8" fillId="3" borderId="38"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60" fillId="14" borderId="34" xfId="5" applyFont="1" applyFill="1" applyBorder="1" applyAlignment="1">
      <alignment horizontal="center" vertical="center"/>
    </xf>
    <xf numFmtId="0" fontId="60" fillId="14" borderId="35" xfId="5" applyFont="1" applyFill="1" applyBorder="1" applyAlignment="1">
      <alignment horizontal="center" vertical="center"/>
    </xf>
    <xf numFmtId="0" fontId="60" fillId="14" borderId="46" xfId="5" applyFont="1" applyFill="1" applyBorder="1" applyAlignment="1">
      <alignment horizontal="center" vertical="center"/>
    </xf>
    <xf numFmtId="0" fontId="36" fillId="3" borderId="81" xfId="5" applyFont="1" applyFill="1" applyBorder="1" applyAlignment="1">
      <alignment horizontal="center" vertical="center" wrapText="1"/>
    </xf>
    <xf numFmtId="0" fontId="36" fillId="3" borderId="68" xfId="5" applyFont="1" applyFill="1" applyBorder="1" applyAlignment="1">
      <alignment horizontal="center" vertical="center" wrapText="1"/>
    </xf>
    <xf numFmtId="0" fontId="36" fillId="3" borderId="82" xfId="5" applyFont="1" applyFill="1" applyBorder="1" applyAlignment="1">
      <alignment horizontal="center" vertical="center" wrapText="1"/>
    </xf>
    <xf numFmtId="0" fontId="62" fillId="16" borderId="34" xfId="5" applyFont="1" applyFill="1" applyBorder="1" applyAlignment="1">
      <alignment horizontal="center" vertical="center"/>
    </xf>
    <xf numFmtId="0" fontId="62" fillId="16" borderId="35" xfId="5" applyFont="1" applyFill="1" applyBorder="1" applyAlignment="1">
      <alignment horizontal="center" vertical="center"/>
    </xf>
    <xf numFmtId="0" fontId="62" fillId="16" borderId="46" xfId="5" applyFont="1" applyFill="1" applyBorder="1" applyAlignment="1">
      <alignment horizontal="center" vertical="center"/>
    </xf>
    <xf numFmtId="0" fontId="36" fillId="3" borderId="35" xfId="5" applyFont="1" applyFill="1" applyBorder="1" applyAlignment="1">
      <alignment horizontal="center" vertical="center" wrapText="1"/>
    </xf>
    <xf numFmtId="0" fontId="60" fillId="8" borderId="43" xfId="5" applyFont="1" applyFill="1" applyBorder="1" applyAlignment="1">
      <alignment horizontal="center" vertical="center" wrapText="1"/>
    </xf>
    <xf numFmtId="0" fontId="60" fillId="8" borderId="44" xfId="5" applyFont="1" applyFill="1" applyBorder="1" applyAlignment="1">
      <alignment horizontal="center" vertical="center" wrapText="1"/>
    </xf>
    <xf numFmtId="0" fontId="60" fillId="8" borderId="45" xfId="5" applyFont="1" applyFill="1" applyBorder="1" applyAlignment="1">
      <alignment horizontal="center" vertical="center" wrapText="1"/>
    </xf>
    <xf numFmtId="0" fontId="36" fillId="3" borderId="33" xfId="5" applyFont="1" applyFill="1" applyBorder="1" applyAlignment="1">
      <alignment horizontal="center" vertical="center" wrapText="1"/>
    </xf>
    <xf numFmtId="0" fontId="64" fillId="8" borderId="32" xfId="6" applyFont="1" applyFill="1" applyBorder="1" applyAlignment="1">
      <alignment horizontal="center" vertical="center"/>
    </xf>
    <xf numFmtId="0" fontId="38" fillId="19" borderId="32" xfId="0" applyFont="1" applyFill="1" applyBorder="1" applyAlignment="1">
      <alignment horizontal="center" vertical="center" wrapText="1"/>
    </xf>
    <xf numFmtId="0" fontId="38" fillId="19" borderId="32" xfId="0" applyFont="1" applyFill="1" applyBorder="1" applyAlignment="1">
      <alignment horizontal="center" vertical="center"/>
    </xf>
    <xf numFmtId="0" fontId="2" fillId="0" borderId="5" xfId="7" applyFont="1" applyFill="1" applyBorder="1" applyAlignment="1">
      <alignment horizontal="justify" vertical="center" wrapText="1"/>
    </xf>
  </cellXfs>
  <cellStyles count="8">
    <cellStyle name="Hipervínculo" xfId="7" builtinId="8"/>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86">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522514</xdr:colOff>
      <xdr:row>0</xdr:row>
      <xdr:rowOff>21772</xdr:rowOff>
    </xdr:from>
    <xdr:to>
      <xdr:col>3</xdr:col>
      <xdr:colOff>171549</xdr:colOff>
      <xdr:row>3</xdr:row>
      <xdr:rowOff>250464</xdr:rowOff>
    </xdr:to>
    <xdr:pic>
      <xdr:nvPicPr>
        <xdr:cNvPr id="3" name="Imagen 2">
          <a:extLst>
            <a:ext uri="{FF2B5EF4-FFF2-40B4-BE49-F238E27FC236}">
              <a16:creationId xmlns:a16="http://schemas.microsoft.com/office/drawing/2014/main" id="{C7264219-8154-4D66-857E-560F06193A23}"/>
            </a:ext>
          </a:extLst>
        </xdr:cNvPr>
        <xdr:cNvPicPr>
          <a:picLocks noChangeAspect="1"/>
        </xdr:cNvPicPr>
      </xdr:nvPicPr>
      <xdr:blipFill>
        <a:blip xmlns:r="http://schemas.openxmlformats.org/officeDocument/2006/relationships" r:embed="rId1"/>
        <a:stretch>
          <a:fillRect/>
        </a:stretch>
      </xdr:blipFill>
      <xdr:spPr>
        <a:xfrm>
          <a:off x="794657" y="21772"/>
          <a:ext cx="2274005" cy="10668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rpocesar1-my.sharepoint.com/personal/calidad_corpocesar_gov_co/Documents/COMPARTIDO/PROCESOS%20SIGC/PCE_1_PLANEACION%20ESTRATEGICA/MAPA%20DE%20RIESGO/1.%20Matriz_mapa_riesgos_final_agosto%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apas%20de%20riesgos_2025\2025_%20PCE_3_Mapa%20de%20Riesgo%20Gesti&#243;n%20y%20Mejora%20del%20Sistema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1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85" dataDxfId="84">
  <autoFilter ref="B209:C219" xr:uid="{00000000-0009-0000-0100-000001000000}"/>
  <tableColumns count="2">
    <tableColumn id="1" xr3:uid="{00000000-0010-0000-0000-000001000000}" name="Criterios" dataDxfId="83"/>
    <tableColumn id="2" xr3:uid="{00000000-0010-0000-0000-000002000000}" name="Subcriterios" dataDxfId="8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28"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84" t="s">
        <v>0</v>
      </c>
      <c r="C2" s="385"/>
      <c r="D2" s="385"/>
      <c r="E2" s="385"/>
      <c r="F2" s="385"/>
      <c r="G2" s="385"/>
      <c r="H2" s="386"/>
    </row>
    <row r="3" spans="2:8" x14ac:dyDescent="0.25">
      <c r="B3" s="81"/>
      <c r="C3" s="82"/>
      <c r="D3" s="82"/>
      <c r="E3" s="82"/>
      <c r="F3" s="82"/>
      <c r="G3" s="82"/>
      <c r="H3" s="83"/>
    </row>
    <row r="4" spans="2:8" ht="63" customHeight="1" x14ac:dyDescent="0.25">
      <c r="B4" s="387" t="s">
        <v>1</v>
      </c>
      <c r="C4" s="388"/>
      <c r="D4" s="388"/>
      <c r="E4" s="388"/>
      <c r="F4" s="388"/>
      <c r="G4" s="388"/>
      <c r="H4" s="389"/>
    </row>
    <row r="5" spans="2:8" ht="63" customHeight="1" x14ac:dyDescent="0.25">
      <c r="B5" s="390"/>
      <c r="C5" s="391"/>
      <c r="D5" s="391"/>
      <c r="E5" s="391"/>
      <c r="F5" s="391"/>
      <c r="G5" s="391"/>
      <c r="H5" s="392"/>
    </row>
    <row r="6" spans="2:8" ht="16.5" x14ac:dyDescent="0.25">
      <c r="B6" s="393" t="s">
        <v>2</v>
      </c>
      <c r="C6" s="394"/>
      <c r="D6" s="394"/>
      <c r="E6" s="394"/>
      <c r="F6" s="394"/>
      <c r="G6" s="394"/>
      <c r="H6" s="395"/>
    </row>
    <row r="7" spans="2:8" ht="95.25" customHeight="1" x14ac:dyDescent="0.25">
      <c r="B7" s="403" t="s">
        <v>3</v>
      </c>
      <c r="C7" s="404"/>
      <c r="D7" s="404"/>
      <c r="E7" s="404"/>
      <c r="F7" s="404"/>
      <c r="G7" s="404"/>
      <c r="H7" s="405"/>
    </row>
    <row r="8" spans="2:8" ht="16.5" x14ac:dyDescent="0.25">
      <c r="B8" s="117"/>
      <c r="C8" s="118"/>
      <c r="D8" s="118"/>
      <c r="E8" s="118"/>
      <c r="F8" s="118"/>
      <c r="G8" s="118"/>
      <c r="H8" s="119"/>
    </row>
    <row r="9" spans="2:8" ht="16.5" customHeight="1" x14ac:dyDescent="0.25">
      <c r="B9" s="396" t="s">
        <v>4</v>
      </c>
      <c r="C9" s="397"/>
      <c r="D9" s="397"/>
      <c r="E9" s="397"/>
      <c r="F9" s="397"/>
      <c r="G9" s="397"/>
      <c r="H9" s="398"/>
    </row>
    <row r="10" spans="2:8" ht="44.25" customHeight="1" x14ac:dyDescent="0.25">
      <c r="B10" s="396"/>
      <c r="C10" s="397"/>
      <c r="D10" s="397"/>
      <c r="E10" s="397"/>
      <c r="F10" s="397"/>
      <c r="G10" s="397"/>
      <c r="H10" s="398"/>
    </row>
    <row r="11" spans="2:8" ht="15.75" thickBot="1" x14ac:dyDescent="0.3">
      <c r="B11" s="106"/>
      <c r="C11" s="109"/>
      <c r="D11" s="114"/>
      <c r="E11" s="115"/>
      <c r="F11" s="115"/>
      <c r="G11" s="116"/>
      <c r="H11" s="110"/>
    </row>
    <row r="12" spans="2:8" ht="15.75" thickTop="1" x14ac:dyDescent="0.25">
      <c r="B12" s="106"/>
      <c r="C12" s="399" t="s">
        <v>5</v>
      </c>
      <c r="D12" s="400"/>
      <c r="E12" s="401" t="s">
        <v>6</v>
      </c>
      <c r="F12" s="402"/>
      <c r="G12" s="109"/>
      <c r="H12" s="110"/>
    </row>
    <row r="13" spans="2:8" ht="35.25" customHeight="1" x14ac:dyDescent="0.25">
      <c r="B13" s="106"/>
      <c r="C13" s="371" t="s">
        <v>7</v>
      </c>
      <c r="D13" s="372"/>
      <c r="E13" s="373" t="s">
        <v>8</v>
      </c>
      <c r="F13" s="374"/>
      <c r="G13" s="109"/>
      <c r="H13" s="110"/>
    </row>
    <row r="14" spans="2:8" ht="17.25" customHeight="1" x14ac:dyDescent="0.25">
      <c r="B14" s="106"/>
      <c r="C14" s="371" t="s">
        <v>9</v>
      </c>
      <c r="D14" s="372"/>
      <c r="E14" s="373" t="s">
        <v>10</v>
      </c>
      <c r="F14" s="374"/>
      <c r="G14" s="109"/>
      <c r="H14" s="110"/>
    </row>
    <row r="15" spans="2:8" ht="19.5" customHeight="1" x14ac:dyDescent="0.25">
      <c r="B15" s="106"/>
      <c r="C15" s="371" t="s">
        <v>11</v>
      </c>
      <c r="D15" s="372"/>
      <c r="E15" s="373" t="s">
        <v>12</v>
      </c>
      <c r="F15" s="374"/>
      <c r="G15" s="109"/>
      <c r="H15" s="110"/>
    </row>
    <row r="16" spans="2:8" ht="69.75" customHeight="1" x14ac:dyDescent="0.25">
      <c r="B16" s="106"/>
      <c r="C16" s="371" t="s">
        <v>13</v>
      </c>
      <c r="D16" s="372"/>
      <c r="E16" s="373" t="s">
        <v>14</v>
      </c>
      <c r="F16" s="374"/>
      <c r="G16" s="109"/>
      <c r="H16" s="110"/>
    </row>
    <row r="17" spans="2:8" ht="34.5" customHeight="1" x14ac:dyDescent="0.25">
      <c r="B17" s="106"/>
      <c r="C17" s="375" t="s">
        <v>15</v>
      </c>
      <c r="D17" s="376"/>
      <c r="E17" s="367" t="s">
        <v>16</v>
      </c>
      <c r="F17" s="368"/>
      <c r="G17" s="109"/>
      <c r="H17" s="110"/>
    </row>
    <row r="18" spans="2:8" ht="27.75" customHeight="1" x14ac:dyDescent="0.25">
      <c r="B18" s="106"/>
      <c r="C18" s="375" t="s">
        <v>17</v>
      </c>
      <c r="D18" s="376"/>
      <c r="E18" s="367" t="s">
        <v>18</v>
      </c>
      <c r="F18" s="368"/>
      <c r="G18" s="109"/>
      <c r="H18" s="110"/>
    </row>
    <row r="19" spans="2:8" ht="28.5" customHeight="1" x14ac:dyDescent="0.25">
      <c r="B19" s="106"/>
      <c r="C19" s="375" t="s">
        <v>19</v>
      </c>
      <c r="D19" s="376"/>
      <c r="E19" s="367" t="s">
        <v>20</v>
      </c>
      <c r="F19" s="368"/>
      <c r="G19" s="109"/>
      <c r="H19" s="110"/>
    </row>
    <row r="20" spans="2:8" ht="72.75" customHeight="1" x14ac:dyDescent="0.25">
      <c r="B20" s="106"/>
      <c r="C20" s="375" t="s">
        <v>21</v>
      </c>
      <c r="D20" s="376"/>
      <c r="E20" s="367" t="s">
        <v>22</v>
      </c>
      <c r="F20" s="368"/>
      <c r="G20" s="109"/>
      <c r="H20" s="110"/>
    </row>
    <row r="21" spans="2:8" ht="64.5" customHeight="1" x14ac:dyDescent="0.25">
      <c r="B21" s="106"/>
      <c r="C21" s="375" t="s">
        <v>23</v>
      </c>
      <c r="D21" s="376"/>
      <c r="E21" s="367" t="s">
        <v>24</v>
      </c>
      <c r="F21" s="368"/>
      <c r="G21" s="109"/>
      <c r="H21" s="110"/>
    </row>
    <row r="22" spans="2:8" ht="71.25" customHeight="1" x14ac:dyDescent="0.25">
      <c r="B22" s="106"/>
      <c r="C22" s="375" t="s">
        <v>25</v>
      </c>
      <c r="D22" s="376"/>
      <c r="E22" s="367" t="s">
        <v>26</v>
      </c>
      <c r="F22" s="368"/>
      <c r="G22" s="109"/>
      <c r="H22" s="110"/>
    </row>
    <row r="23" spans="2:8" ht="55.5" customHeight="1" x14ac:dyDescent="0.25">
      <c r="B23" s="106"/>
      <c r="C23" s="369" t="s">
        <v>27</v>
      </c>
      <c r="D23" s="370"/>
      <c r="E23" s="367" t="s">
        <v>28</v>
      </c>
      <c r="F23" s="368"/>
      <c r="G23" s="109"/>
      <c r="H23" s="110"/>
    </row>
    <row r="24" spans="2:8" ht="42" customHeight="1" x14ac:dyDescent="0.25">
      <c r="B24" s="106"/>
      <c r="C24" s="369" t="s">
        <v>29</v>
      </c>
      <c r="D24" s="370"/>
      <c r="E24" s="367" t="s">
        <v>30</v>
      </c>
      <c r="F24" s="368"/>
      <c r="G24" s="109"/>
      <c r="H24" s="110"/>
    </row>
    <row r="25" spans="2:8" ht="59.25" customHeight="1" x14ac:dyDescent="0.25">
      <c r="B25" s="106"/>
      <c r="C25" s="369" t="s">
        <v>31</v>
      </c>
      <c r="D25" s="370"/>
      <c r="E25" s="367" t="s">
        <v>32</v>
      </c>
      <c r="F25" s="368"/>
      <c r="G25" s="109"/>
      <c r="H25" s="110"/>
    </row>
    <row r="26" spans="2:8" ht="23.25" customHeight="1" x14ac:dyDescent="0.25">
      <c r="B26" s="106"/>
      <c r="C26" s="369" t="s">
        <v>33</v>
      </c>
      <c r="D26" s="370"/>
      <c r="E26" s="367" t="s">
        <v>34</v>
      </c>
      <c r="F26" s="368"/>
      <c r="G26" s="109"/>
      <c r="H26" s="110"/>
    </row>
    <row r="27" spans="2:8" ht="30.75" customHeight="1" x14ac:dyDescent="0.25">
      <c r="B27" s="106"/>
      <c r="C27" s="369" t="s">
        <v>35</v>
      </c>
      <c r="D27" s="370"/>
      <c r="E27" s="367" t="s">
        <v>36</v>
      </c>
      <c r="F27" s="368"/>
      <c r="G27" s="109"/>
      <c r="H27" s="110"/>
    </row>
    <row r="28" spans="2:8" ht="35.25" customHeight="1" x14ac:dyDescent="0.25">
      <c r="B28" s="106"/>
      <c r="C28" s="369" t="s">
        <v>37</v>
      </c>
      <c r="D28" s="370"/>
      <c r="E28" s="367" t="s">
        <v>38</v>
      </c>
      <c r="F28" s="368"/>
      <c r="G28" s="109"/>
      <c r="H28" s="110"/>
    </row>
    <row r="29" spans="2:8" ht="33" customHeight="1" x14ac:dyDescent="0.25">
      <c r="B29" s="106"/>
      <c r="C29" s="369" t="s">
        <v>37</v>
      </c>
      <c r="D29" s="370"/>
      <c r="E29" s="367" t="s">
        <v>38</v>
      </c>
      <c r="F29" s="368"/>
      <c r="G29" s="109"/>
      <c r="H29" s="110"/>
    </row>
    <row r="30" spans="2:8" ht="30" customHeight="1" x14ac:dyDescent="0.25">
      <c r="B30" s="106"/>
      <c r="C30" s="369" t="s">
        <v>39</v>
      </c>
      <c r="D30" s="370"/>
      <c r="E30" s="367" t="s">
        <v>40</v>
      </c>
      <c r="F30" s="368"/>
      <c r="G30" s="109"/>
      <c r="H30" s="110"/>
    </row>
    <row r="31" spans="2:8" ht="35.25" customHeight="1" x14ac:dyDescent="0.25">
      <c r="B31" s="106"/>
      <c r="C31" s="369" t="s">
        <v>41</v>
      </c>
      <c r="D31" s="370"/>
      <c r="E31" s="367" t="s">
        <v>42</v>
      </c>
      <c r="F31" s="368"/>
      <c r="G31" s="109"/>
      <c r="H31" s="110"/>
    </row>
    <row r="32" spans="2:8" ht="31.5" customHeight="1" x14ac:dyDescent="0.25">
      <c r="B32" s="106"/>
      <c r="C32" s="369" t="s">
        <v>43</v>
      </c>
      <c r="D32" s="370"/>
      <c r="E32" s="367" t="s">
        <v>44</v>
      </c>
      <c r="F32" s="368"/>
      <c r="G32" s="109"/>
      <c r="H32" s="110"/>
    </row>
    <row r="33" spans="2:8" ht="35.25" customHeight="1" x14ac:dyDescent="0.25">
      <c r="B33" s="106"/>
      <c r="C33" s="369" t="s">
        <v>45</v>
      </c>
      <c r="D33" s="370"/>
      <c r="E33" s="367" t="s">
        <v>46</v>
      </c>
      <c r="F33" s="368"/>
      <c r="G33" s="109"/>
      <c r="H33" s="110"/>
    </row>
    <row r="34" spans="2:8" ht="59.25" customHeight="1" x14ac:dyDescent="0.25">
      <c r="B34" s="106"/>
      <c r="C34" s="369" t="s">
        <v>47</v>
      </c>
      <c r="D34" s="370"/>
      <c r="E34" s="367" t="s">
        <v>48</v>
      </c>
      <c r="F34" s="368"/>
      <c r="G34" s="109"/>
      <c r="H34" s="110"/>
    </row>
    <row r="35" spans="2:8" ht="29.25" customHeight="1" x14ac:dyDescent="0.25">
      <c r="B35" s="106"/>
      <c r="C35" s="369" t="s">
        <v>49</v>
      </c>
      <c r="D35" s="370"/>
      <c r="E35" s="367" t="s">
        <v>50</v>
      </c>
      <c r="F35" s="368"/>
      <c r="G35" s="109"/>
      <c r="H35" s="110"/>
    </row>
    <row r="36" spans="2:8" ht="82.5" customHeight="1" x14ac:dyDescent="0.25">
      <c r="B36" s="106"/>
      <c r="C36" s="369" t="s">
        <v>51</v>
      </c>
      <c r="D36" s="370"/>
      <c r="E36" s="367" t="s">
        <v>52</v>
      </c>
      <c r="F36" s="368"/>
      <c r="G36" s="109"/>
      <c r="H36" s="110"/>
    </row>
    <row r="37" spans="2:8" ht="46.5" customHeight="1" x14ac:dyDescent="0.25">
      <c r="B37" s="106"/>
      <c r="C37" s="369" t="s">
        <v>53</v>
      </c>
      <c r="D37" s="370"/>
      <c r="E37" s="367" t="s">
        <v>54</v>
      </c>
      <c r="F37" s="368"/>
      <c r="G37" s="109"/>
      <c r="H37" s="110"/>
    </row>
    <row r="38" spans="2:8" ht="6.75" customHeight="1" thickBot="1" x14ac:dyDescent="0.3">
      <c r="B38" s="106"/>
      <c r="C38" s="380"/>
      <c r="D38" s="381"/>
      <c r="E38" s="382"/>
      <c r="F38" s="383"/>
      <c r="G38" s="109"/>
      <c r="H38" s="110"/>
    </row>
    <row r="39" spans="2:8" ht="15.75" thickTop="1" x14ac:dyDescent="0.25">
      <c r="B39" s="106"/>
      <c r="C39" s="107"/>
      <c r="D39" s="107"/>
      <c r="E39" s="108"/>
      <c r="F39" s="108"/>
      <c r="G39" s="109"/>
      <c r="H39" s="110"/>
    </row>
    <row r="40" spans="2:8" ht="21" customHeight="1" x14ac:dyDescent="0.25">
      <c r="B40" s="377" t="s">
        <v>55</v>
      </c>
      <c r="C40" s="378"/>
      <c r="D40" s="378"/>
      <c r="E40" s="378"/>
      <c r="F40" s="378"/>
      <c r="G40" s="378"/>
      <c r="H40" s="379"/>
    </row>
    <row r="41" spans="2:8" ht="20.25" customHeight="1" x14ac:dyDescent="0.25">
      <c r="B41" s="377" t="s">
        <v>56</v>
      </c>
      <c r="C41" s="378"/>
      <c r="D41" s="378"/>
      <c r="E41" s="378"/>
      <c r="F41" s="378"/>
      <c r="G41" s="378"/>
      <c r="H41" s="379"/>
    </row>
    <row r="42" spans="2:8" ht="20.25" customHeight="1" x14ac:dyDescent="0.25">
      <c r="B42" s="377" t="s">
        <v>57</v>
      </c>
      <c r="C42" s="378"/>
      <c r="D42" s="378"/>
      <c r="E42" s="378"/>
      <c r="F42" s="378"/>
      <c r="G42" s="378"/>
      <c r="H42" s="379"/>
    </row>
    <row r="43" spans="2:8" ht="20.25" customHeight="1" x14ac:dyDescent="0.25">
      <c r="B43" s="377" t="s">
        <v>58</v>
      </c>
      <c r="C43" s="378"/>
      <c r="D43" s="378"/>
      <c r="E43" s="378"/>
      <c r="F43" s="378"/>
      <c r="G43" s="378"/>
      <c r="H43" s="379"/>
    </row>
    <row r="44" spans="2:8" x14ac:dyDescent="0.25">
      <c r="B44" s="377" t="s">
        <v>59</v>
      </c>
      <c r="C44" s="378"/>
      <c r="D44" s="378"/>
      <c r="E44" s="378"/>
      <c r="F44" s="378"/>
      <c r="G44" s="378"/>
      <c r="H44" s="379"/>
    </row>
    <row r="45" spans="2:8" ht="15.75" thickBot="1" x14ac:dyDescent="0.3">
      <c r="B45" s="111"/>
      <c r="C45" s="112"/>
      <c r="D45" s="112"/>
      <c r="E45" s="112"/>
      <c r="F45" s="112"/>
      <c r="G45" s="112"/>
      <c r="H45" s="113"/>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67"/>
  <sheetViews>
    <sheetView tabSelected="1" topLeftCell="AU9" zoomScale="90" zoomScaleNormal="90" workbookViewId="0">
      <selection activeCell="AZ11" sqref="AZ11"/>
    </sheetView>
  </sheetViews>
  <sheetFormatPr baseColWidth="10" defaultColWidth="11.42578125" defaultRowHeight="16.5" x14ac:dyDescent="0.3"/>
  <cols>
    <col min="1" max="1" width="4" style="2" bestFit="1" customWidth="1"/>
    <col min="2" max="2" width="24.140625" style="2" customWidth="1"/>
    <col min="3" max="3" width="14.140625" style="2" customWidth="1"/>
    <col min="4" max="4" width="13.140625" style="2" customWidth="1"/>
    <col min="5" max="6" width="16.140625" style="2" customWidth="1"/>
    <col min="7" max="8" width="32.42578125" style="1" customWidth="1"/>
    <col min="9" max="9" width="19.8554687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18.7109375" style="1" customWidth="1"/>
    <col min="16" max="16" width="17.5703125" style="1" customWidth="1"/>
    <col min="17" max="17" width="6.28515625" style="1" bestFit="1" customWidth="1"/>
    <col min="18" max="24" width="16" style="1" customWidth="1"/>
    <col min="25" max="25" width="5.85546875" style="1" customWidth="1"/>
    <col min="26" max="26" width="31" style="1" customWidth="1"/>
    <col min="27" max="27" width="15.140625" style="1" bestFit="1" customWidth="1"/>
    <col min="28" max="28" width="6.85546875" style="1" customWidth="1"/>
    <col min="29" max="29" width="5" style="1" customWidth="1"/>
    <col min="30" max="30" width="5.5703125" style="1" customWidth="1"/>
    <col min="31" max="31" width="7.140625" style="1" customWidth="1"/>
    <col min="32" max="32" width="6.7109375" style="1" customWidth="1"/>
    <col min="33" max="33" width="7.5703125" style="1" customWidth="1"/>
    <col min="34" max="34" width="11.42578125" style="1" customWidth="1"/>
    <col min="35" max="35" width="8.7109375" style="1" customWidth="1"/>
    <col min="36" max="36" width="10.42578125" style="1" customWidth="1"/>
    <col min="37" max="37" width="9.28515625" style="1" customWidth="1"/>
    <col min="38" max="38" width="9.140625" style="1" customWidth="1"/>
    <col min="39" max="39" width="8.42578125" style="1" customWidth="1"/>
    <col min="40" max="44" width="7.28515625" style="1" customWidth="1"/>
    <col min="45" max="45" width="5.7109375" style="1" customWidth="1"/>
    <col min="46" max="46" width="10" style="1" customWidth="1"/>
    <col min="47" max="47" width="26.140625" style="1" customWidth="1"/>
    <col min="48" max="48" width="18.85546875" style="1" customWidth="1"/>
    <col min="49" max="49" width="19.28515625" style="1" customWidth="1"/>
    <col min="50" max="50" width="19.42578125" style="1" customWidth="1"/>
    <col min="51" max="51" width="101.5703125" style="230" customWidth="1"/>
    <col min="52" max="52" width="21" style="1" customWidth="1"/>
    <col min="53" max="53" width="26.42578125" style="165" customWidth="1"/>
    <col min="54" max="16384" width="11.42578125" style="1"/>
  </cols>
  <sheetData>
    <row r="1" spans="1:84" ht="25.9" customHeight="1" x14ac:dyDescent="0.3">
      <c r="A1" s="327"/>
      <c r="B1" s="327"/>
      <c r="C1" s="327"/>
      <c r="D1" s="327"/>
      <c r="E1" s="327"/>
      <c r="F1" s="328" t="s">
        <v>251</v>
      </c>
      <c r="G1" s="329"/>
      <c r="H1" s="329"/>
      <c r="I1" s="329"/>
      <c r="J1" s="329"/>
      <c r="K1" s="329"/>
      <c r="L1" s="329"/>
      <c r="M1" s="329"/>
      <c r="N1" s="336" t="s">
        <v>60</v>
      </c>
      <c r="O1" s="336"/>
      <c r="P1" s="336"/>
      <c r="Q1" s="336"/>
      <c r="R1" s="336"/>
    </row>
    <row r="2" spans="1:84" ht="16.5" customHeight="1" x14ac:dyDescent="0.3">
      <c r="A2" s="327"/>
      <c r="B2" s="327"/>
      <c r="C2" s="327"/>
      <c r="D2" s="327"/>
      <c r="E2" s="327"/>
      <c r="F2" s="329"/>
      <c r="G2" s="329"/>
      <c r="H2" s="329"/>
      <c r="I2" s="329"/>
      <c r="J2" s="329"/>
      <c r="K2" s="329"/>
      <c r="L2" s="329"/>
      <c r="M2" s="329"/>
      <c r="N2" s="335" t="s">
        <v>252</v>
      </c>
      <c r="O2" s="335"/>
      <c r="P2" s="335"/>
      <c r="Q2" s="335"/>
      <c r="R2" s="335"/>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231"/>
      <c r="AZ2" s="149"/>
      <c r="BA2" s="164"/>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s="150" customFormat="1" ht="24" customHeight="1" x14ac:dyDescent="0.25">
      <c r="A3" s="327"/>
      <c r="B3" s="327"/>
      <c r="C3" s="327"/>
      <c r="D3" s="327"/>
      <c r="E3" s="327"/>
      <c r="F3" s="329"/>
      <c r="G3" s="329"/>
      <c r="H3" s="329"/>
      <c r="I3" s="329"/>
      <c r="J3" s="329"/>
      <c r="K3" s="329"/>
      <c r="L3" s="329"/>
      <c r="M3" s="329"/>
      <c r="N3" s="335" t="s">
        <v>253</v>
      </c>
      <c r="O3" s="335"/>
      <c r="P3" s="335"/>
      <c r="Q3" s="335"/>
      <c r="R3" s="335"/>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232"/>
      <c r="AZ3" s="151"/>
      <c r="BA3" s="166"/>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row>
    <row r="4" spans="1:84" ht="27.6" customHeight="1" x14ac:dyDescent="0.3">
      <c r="A4" s="327"/>
      <c r="B4" s="327"/>
      <c r="C4" s="327"/>
      <c r="D4" s="327"/>
      <c r="E4" s="327"/>
      <c r="F4" s="329"/>
      <c r="G4" s="329"/>
      <c r="H4" s="329"/>
      <c r="I4" s="329"/>
      <c r="J4" s="329"/>
      <c r="K4" s="329"/>
      <c r="L4" s="329"/>
      <c r="M4" s="329"/>
      <c r="N4" s="334" t="s">
        <v>254</v>
      </c>
      <c r="O4" s="334"/>
      <c r="P4" s="334"/>
      <c r="Q4" s="334"/>
      <c r="R4" s="334"/>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233"/>
      <c r="AZ4" s="8"/>
      <c r="BA4" s="164"/>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304" t="s">
        <v>61</v>
      </c>
      <c r="B5" s="305"/>
      <c r="C5" s="306"/>
      <c r="D5" s="331" t="s">
        <v>62</v>
      </c>
      <c r="E5" s="332"/>
      <c r="F5" s="332"/>
      <c r="G5" s="332"/>
      <c r="H5" s="332"/>
      <c r="I5" s="332"/>
      <c r="J5" s="332"/>
      <c r="K5" s="332"/>
      <c r="L5" s="332"/>
      <c r="M5" s="332"/>
      <c r="N5" s="332"/>
      <c r="O5" s="332"/>
      <c r="P5" s="332"/>
      <c r="Q5" s="332"/>
      <c r="R5" s="333"/>
      <c r="S5" s="174"/>
      <c r="T5" s="174"/>
      <c r="U5" s="174"/>
      <c r="V5" s="174"/>
      <c r="W5" s="174"/>
      <c r="X5" s="174"/>
      <c r="Y5" s="301"/>
      <c r="Z5" s="301"/>
      <c r="AA5" s="301"/>
      <c r="AB5" s="8"/>
      <c r="AC5" s="8"/>
      <c r="AD5" s="8"/>
      <c r="AE5" s="8"/>
      <c r="AF5" s="8"/>
      <c r="AG5" s="8"/>
      <c r="AH5" s="8"/>
      <c r="AI5" s="8"/>
      <c r="AJ5" s="8"/>
      <c r="AK5" s="8"/>
      <c r="AL5" s="8"/>
      <c r="AM5" s="8"/>
      <c r="AN5" s="8"/>
      <c r="AO5" s="8"/>
      <c r="AP5" s="8"/>
      <c r="AQ5" s="8"/>
      <c r="AR5" s="8"/>
      <c r="AS5" s="8"/>
      <c r="AT5" s="8"/>
      <c r="AU5" s="8"/>
      <c r="AV5" s="8"/>
      <c r="AW5" s="8"/>
      <c r="AX5" s="8"/>
      <c r="AY5" s="233"/>
      <c r="AZ5" s="8"/>
      <c r="BA5" s="164"/>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60.6" customHeight="1" x14ac:dyDescent="0.3">
      <c r="A6" s="307" t="s">
        <v>63</v>
      </c>
      <c r="B6" s="308"/>
      <c r="C6" s="309"/>
      <c r="D6" s="337" t="s">
        <v>64</v>
      </c>
      <c r="E6" s="338"/>
      <c r="F6" s="338"/>
      <c r="G6" s="338"/>
      <c r="H6" s="338"/>
      <c r="I6" s="338"/>
      <c r="J6" s="338"/>
      <c r="K6" s="338"/>
      <c r="L6" s="338"/>
      <c r="M6" s="338"/>
      <c r="N6" s="338"/>
      <c r="O6" s="338"/>
      <c r="P6" s="338"/>
      <c r="Q6" s="338"/>
      <c r="R6" s="339"/>
      <c r="S6" s="175"/>
      <c r="T6" s="175"/>
      <c r="U6" s="175"/>
      <c r="V6" s="175"/>
      <c r="W6" s="175"/>
      <c r="X6" s="175"/>
      <c r="Y6" s="8"/>
      <c r="Z6" s="8"/>
      <c r="AA6" s="8"/>
      <c r="AB6" s="8"/>
      <c r="AC6" s="8"/>
      <c r="AD6" s="8"/>
      <c r="AE6" s="8"/>
      <c r="AF6" s="8"/>
      <c r="AG6" s="8"/>
      <c r="AH6" s="8"/>
      <c r="AI6" s="8"/>
      <c r="AJ6" s="8"/>
      <c r="AK6" s="8"/>
      <c r="AL6" s="8"/>
      <c r="AM6" s="8"/>
      <c r="AN6" s="8"/>
      <c r="AO6" s="8"/>
      <c r="AP6" s="8"/>
      <c r="AQ6" s="8"/>
      <c r="AR6" s="8"/>
      <c r="AS6" s="8"/>
      <c r="AT6" s="8"/>
      <c r="AU6" s="8"/>
      <c r="AV6" s="8"/>
      <c r="AW6" s="8"/>
      <c r="AX6" s="8"/>
      <c r="AY6" s="233"/>
      <c r="AZ6" s="8"/>
      <c r="BA6" s="164"/>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49.5" customHeight="1" x14ac:dyDescent="0.3">
      <c r="A7" s="307" t="s">
        <v>65</v>
      </c>
      <c r="B7" s="308"/>
      <c r="C7" s="309"/>
      <c r="D7" s="337" t="s">
        <v>66</v>
      </c>
      <c r="E7" s="338"/>
      <c r="F7" s="338"/>
      <c r="G7" s="338"/>
      <c r="H7" s="338"/>
      <c r="I7" s="338"/>
      <c r="J7" s="338"/>
      <c r="K7" s="338"/>
      <c r="L7" s="338"/>
      <c r="M7" s="338"/>
      <c r="N7" s="338"/>
      <c r="O7" s="338"/>
      <c r="P7" s="338"/>
      <c r="Q7" s="338"/>
      <c r="R7" s="339"/>
      <c r="S7" s="175"/>
      <c r="T7" s="175"/>
      <c r="U7" s="175"/>
      <c r="V7" s="175"/>
      <c r="W7" s="175"/>
      <c r="X7" s="175"/>
      <c r="Y7" s="8"/>
      <c r="Z7" s="8"/>
      <c r="AA7" s="8"/>
      <c r="AB7" s="8"/>
      <c r="AC7" s="8"/>
      <c r="AD7" s="8"/>
      <c r="AE7" s="8"/>
      <c r="AF7" s="8"/>
      <c r="AG7" s="8"/>
      <c r="AH7" s="8"/>
      <c r="AI7" s="8"/>
      <c r="AJ7" s="8"/>
      <c r="AK7" s="8"/>
      <c r="AL7" s="8"/>
      <c r="AM7" s="8"/>
      <c r="AN7" s="8"/>
      <c r="AO7" s="8"/>
      <c r="AP7" s="8"/>
      <c r="AQ7" s="8"/>
      <c r="AR7" s="8"/>
      <c r="AS7" s="8"/>
      <c r="AT7" s="8"/>
      <c r="AU7" s="8"/>
      <c r="AV7" s="8"/>
      <c r="AW7" s="8"/>
      <c r="AX7" s="8"/>
      <c r="AY7" s="233"/>
      <c r="AZ7" s="8"/>
      <c r="BA7" s="164"/>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43" t="s">
        <v>257</v>
      </c>
      <c r="B8" s="244"/>
      <c r="C8" s="244"/>
      <c r="D8" s="244"/>
      <c r="E8" s="244"/>
      <c r="F8" s="244"/>
      <c r="G8" s="244"/>
      <c r="H8" s="244"/>
      <c r="I8" s="244"/>
      <c r="J8" s="244"/>
      <c r="K8" s="245"/>
      <c r="L8" s="243" t="s">
        <v>67</v>
      </c>
      <c r="M8" s="244"/>
      <c r="N8" s="244"/>
      <c r="O8" s="244"/>
      <c r="P8" s="244"/>
      <c r="Q8" s="244"/>
      <c r="R8" s="245"/>
      <c r="S8" s="246" t="s">
        <v>244</v>
      </c>
      <c r="T8" s="247"/>
      <c r="U8" s="247"/>
      <c r="V8" s="247"/>
      <c r="W8" s="247"/>
      <c r="X8" s="248"/>
      <c r="Y8" s="243" t="s">
        <v>68</v>
      </c>
      <c r="Z8" s="244"/>
      <c r="AA8" s="244"/>
      <c r="AB8" s="244"/>
      <c r="AC8" s="244"/>
      <c r="AD8" s="244"/>
      <c r="AE8" s="244"/>
      <c r="AF8" s="244"/>
      <c r="AG8" s="245"/>
      <c r="AH8" s="243" t="s">
        <v>69</v>
      </c>
      <c r="AI8" s="244"/>
      <c r="AJ8" s="244"/>
      <c r="AK8" s="244"/>
      <c r="AL8" s="244"/>
      <c r="AM8" s="244"/>
      <c r="AN8" s="245"/>
      <c r="AO8" s="246" t="s">
        <v>248</v>
      </c>
      <c r="AP8" s="247"/>
      <c r="AQ8" s="247"/>
      <c r="AR8" s="247"/>
      <c r="AS8" s="244"/>
      <c r="AT8" s="244"/>
      <c r="AU8" s="243" t="s">
        <v>70</v>
      </c>
      <c r="AV8" s="244"/>
      <c r="AW8" s="244"/>
      <c r="AX8" s="244"/>
      <c r="AY8" s="244"/>
      <c r="AZ8" s="245"/>
      <c r="BA8" s="164"/>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310" t="s">
        <v>71</v>
      </c>
      <c r="B9" s="143"/>
      <c r="C9" s="314" t="s">
        <v>15</v>
      </c>
      <c r="D9" s="312" t="s">
        <v>72</v>
      </c>
      <c r="E9" s="312" t="s">
        <v>73</v>
      </c>
      <c r="F9" s="253" t="s">
        <v>74</v>
      </c>
      <c r="G9" s="313" t="s">
        <v>21</v>
      </c>
      <c r="H9" s="147"/>
      <c r="I9" s="147"/>
      <c r="J9" s="253" t="s">
        <v>23</v>
      </c>
      <c r="K9" s="312" t="s">
        <v>75</v>
      </c>
      <c r="L9" s="330" t="s">
        <v>76</v>
      </c>
      <c r="M9" s="316" t="s">
        <v>77</v>
      </c>
      <c r="N9" s="253" t="s">
        <v>78</v>
      </c>
      <c r="O9" s="253" t="s">
        <v>79</v>
      </c>
      <c r="P9" s="318" t="s">
        <v>80</v>
      </c>
      <c r="Q9" s="316" t="s">
        <v>77</v>
      </c>
      <c r="R9" s="312" t="s">
        <v>29</v>
      </c>
      <c r="S9" s="249" t="s">
        <v>95</v>
      </c>
      <c r="T9" s="249"/>
      <c r="U9" s="249"/>
      <c r="V9" s="249"/>
      <c r="W9" s="249" t="s">
        <v>245</v>
      </c>
      <c r="X9" s="249"/>
      <c r="Y9" s="254" t="s">
        <v>81</v>
      </c>
      <c r="Z9" s="252" t="s">
        <v>31</v>
      </c>
      <c r="AA9" s="253" t="s">
        <v>33</v>
      </c>
      <c r="AB9" s="252" t="s">
        <v>82</v>
      </c>
      <c r="AC9" s="252"/>
      <c r="AD9" s="252"/>
      <c r="AE9" s="252"/>
      <c r="AF9" s="252"/>
      <c r="AG9" s="252"/>
      <c r="AH9" s="300" t="s">
        <v>83</v>
      </c>
      <c r="AI9" s="300" t="s">
        <v>84</v>
      </c>
      <c r="AJ9" s="300" t="s">
        <v>77</v>
      </c>
      <c r="AK9" s="300" t="s">
        <v>85</v>
      </c>
      <c r="AL9" s="300" t="s">
        <v>77</v>
      </c>
      <c r="AM9" s="300" t="s">
        <v>86</v>
      </c>
      <c r="AN9" s="254" t="s">
        <v>49</v>
      </c>
      <c r="AO9" s="262" t="s">
        <v>95</v>
      </c>
      <c r="AP9" s="262"/>
      <c r="AQ9" s="262"/>
      <c r="AR9" s="262"/>
      <c r="AS9" s="263" t="s">
        <v>245</v>
      </c>
      <c r="AT9" s="264"/>
      <c r="AU9" s="252" t="s">
        <v>70</v>
      </c>
      <c r="AV9" s="252" t="s">
        <v>87</v>
      </c>
      <c r="AW9" s="252" t="s">
        <v>88</v>
      </c>
      <c r="AX9" s="252" t="s">
        <v>89</v>
      </c>
      <c r="AY9" s="252" t="s">
        <v>90</v>
      </c>
      <c r="AZ9" s="252" t="s">
        <v>53</v>
      </c>
      <c r="BA9" s="164"/>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311"/>
      <c r="B10" s="146" t="s">
        <v>91</v>
      </c>
      <c r="C10" s="314"/>
      <c r="D10" s="252"/>
      <c r="E10" s="252"/>
      <c r="F10" s="312"/>
      <c r="G10" s="314"/>
      <c r="H10" s="144" t="s">
        <v>239</v>
      </c>
      <c r="I10" s="144" t="s">
        <v>92</v>
      </c>
      <c r="J10" s="312"/>
      <c r="K10" s="252"/>
      <c r="L10" s="312"/>
      <c r="M10" s="317"/>
      <c r="N10" s="312"/>
      <c r="O10" s="312"/>
      <c r="P10" s="317"/>
      <c r="Q10" s="317"/>
      <c r="R10" s="252"/>
      <c r="S10" s="250" t="s">
        <v>132</v>
      </c>
      <c r="T10" s="251"/>
      <c r="U10" s="250" t="s">
        <v>15</v>
      </c>
      <c r="V10" s="251"/>
      <c r="W10" s="172" t="s">
        <v>246</v>
      </c>
      <c r="X10" s="172" t="s">
        <v>247</v>
      </c>
      <c r="Y10" s="255"/>
      <c r="Z10" s="252"/>
      <c r="AA10" s="312"/>
      <c r="AB10" s="7" t="s">
        <v>93</v>
      </c>
      <c r="AC10" s="7" t="s">
        <v>94</v>
      </c>
      <c r="AD10" s="7" t="s">
        <v>95</v>
      </c>
      <c r="AE10" s="7" t="s">
        <v>96</v>
      </c>
      <c r="AF10" s="7" t="s">
        <v>97</v>
      </c>
      <c r="AG10" s="7" t="s">
        <v>98</v>
      </c>
      <c r="AH10" s="300"/>
      <c r="AI10" s="300"/>
      <c r="AJ10" s="300"/>
      <c r="AK10" s="300"/>
      <c r="AL10" s="300"/>
      <c r="AM10" s="300"/>
      <c r="AN10" s="255"/>
      <c r="AO10" s="265" t="s">
        <v>132</v>
      </c>
      <c r="AP10" s="266"/>
      <c r="AQ10" s="265" t="s">
        <v>15</v>
      </c>
      <c r="AR10" s="266"/>
      <c r="AS10" s="178" t="s">
        <v>249</v>
      </c>
      <c r="AT10" s="173" t="s">
        <v>250</v>
      </c>
      <c r="AU10" s="252"/>
      <c r="AV10" s="252"/>
      <c r="AW10" s="252"/>
      <c r="AX10" s="252"/>
      <c r="AY10" s="253"/>
      <c r="AZ10" s="252"/>
      <c r="BA10" s="167"/>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237" customFormat="1" ht="216" customHeight="1" x14ac:dyDescent="0.25">
      <c r="A11" s="295">
        <v>1</v>
      </c>
      <c r="B11" s="293" t="s">
        <v>99</v>
      </c>
      <c r="C11" s="290" t="s">
        <v>100</v>
      </c>
      <c r="D11" s="290" t="s">
        <v>101</v>
      </c>
      <c r="E11" s="290" t="s">
        <v>241</v>
      </c>
      <c r="F11" s="290" t="s">
        <v>242</v>
      </c>
      <c r="G11" s="315" t="s">
        <v>243</v>
      </c>
      <c r="H11" s="315" t="s">
        <v>256</v>
      </c>
      <c r="I11" s="315" t="s">
        <v>240</v>
      </c>
      <c r="J11" s="290" t="s">
        <v>102</v>
      </c>
      <c r="K11" s="343">
        <v>50</v>
      </c>
      <c r="L11" s="298" t="str">
        <f>IF(K11&lt;=0,"",IF(K11&lt;=2,"Muy Baja",IF(K11&lt;=24,"Baja",IF(K11&lt;=500,"Media",IF(K11&lt;=5000,"Alta","Muy Alta")))))</f>
        <v>Media</v>
      </c>
      <c r="M11" s="340">
        <f>IF(L11="","",IF(L11="Muy Baja",0.2,IF(L11="Baja",0.4,IF(L11="Media",0.6,IF(L11="Alta",0.8,IF(L11="Muy Alta",1,))))))</f>
        <v>0.6</v>
      </c>
      <c r="N11" s="345" t="s">
        <v>103</v>
      </c>
      <c r="O11" s="340" t="str">
        <f>IF(NOT(ISERROR(MATCH(N11,'Tabla Impacto'!$B$221:$B$223,0))),'Tabla Impacto'!$F$223&amp;"Por favor no seleccionar los criterios de impacto(Afectación Económica o presupuestal y Pérdida Reputacional)",N11)</f>
        <v xml:space="preserve">     Mayor a 500 SMLMV </v>
      </c>
      <c r="P11" s="298" t="str">
        <f>IF(OR(O11='Tabla Impacto'!$C$11,O11='Tabla Impacto'!$D$11),"Leve",IF(OR(O11='Tabla Impacto'!$C$12,O11='Tabla Impacto'!$D$12),"Menor",IF(OR(O11='Tabla Impacto'!$C$13,O11='Tabla Impacto'!$D$13),"Moderado",IF(OR(O11='Tabla Impacto'!$C$14,O11='Tabla Impacto'!$D$14),"Mayor",IF(OR(O11='Tabla Impacto'!$C$15,O11='Tabla Impacto'!$D$15),"Catastrófico","")))))</f>
        <v>Catastrófico</v>
      </c>
      <c r="Q11" s="340">
        <f>IF(P11="","",IF(P11="Leve",0.2,IF(P11="Menor",0.4,IF(P11="Moderado",0.6,IF(P11="Mayor",0.8,IF(P11="Catastrófico",1,))))))</f>
        <v>1</v>
      </c>
      <c r="R11" s="323"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Extremo</v>
      </c>
      <c r="S11" s="319">
        <v>4</v>
      </c>
      <c r="T11" s="321" t="str">
        <f>+IF(S11=5,"CASI SEGURO",(IF(S11=4,"PROBABLE",(IF(S11=3,"POSIBLE",(IF(S11=2,"RARA VEZ",(IF(S11=1,"IMPROBABLE","")))))))))</f>
        <v>PROBABLE</v>
      </c>
      <c r="U11" s="319">
        <v>3</v>
      </c>
      <c r="V11" s="321" t="str">
        <f>+IF(U11=5,"ALTO",(IF(U11=3,"MEDIO",(IF(U11=1,"BAJO",IF(OR(U11=2,U11=4),"NO APLICA",""))))))</f>
        <v>MEDIO</v>
      </c>
      <c r="W11" s="323">
        <f>IF(AND(S11&lt;&gt;"",U11&lt;&gt;"",V11&lt;&gt;"NO APLICA"),S11*U11,"")</f>
        <v>12</v>
      </c>
      <c r="X11" s="323" t="str">
        <f>IF(AND(W11&lt;4,W11&gt;0),"BAJA",IF(AND(W11&gt;9,W11&lt;26),"ALTA",IF(AND(W11&gt;3,W11&lt;10),"MEDIA","")))</f>
        <v>ALTA</v>
      </c>
      <c r="Y11" s="295">
        <v>1</v>
      </c>
      <c r="Z11" s="239" t="s">
        <v>294</v>
      </c>
      <c r="AA11" s="325" t="str">
        <f>IF(OR(AB11="Preventivo",AB11="Detectivo"),"Probabilidad",IF(AB11="Correctivo","Impacto",""))</f>
        <v>Impacto</v>
      </c>
      <c r="AB11" s="302" t="s">
        <v>104</v>
      </c>
      <c r="AC11" s="302" t="s">
        <v>105</v>
      </c>
      <c r="AD11" s="347" t="str">
        <f>IF(AND(AB11="Preventivo",AC11="Automático"),"50%",IF(AND(AB11="Preventivo",AC11="Manual"),"40%",IF(AND(AB11="Detectivo",AC11="Automático"),"40%",IF(AND(AB11="Detectivo",AC11="Manual"),"30%",IF(AND(AB11="Correctivo",AC11="Automático"),"35%",IF(AND(AB11="Correctivo",AC11="Manual"),"25%",""))))))</f>
        <v>25%</v>
      </c>
      <c r="AE11" s="302" t="s">
        <v>106</v>
      </c>
      <c r="AF11" s="302" t="s">
        <v>107</v>
      </c>
      <c r="AG11" s="302" t="s">
        <v>108</v>
      </c>
      <c r="AH11" s="349">
        <f>IFERROR(IF(AA11="Probabilidad",(M11-(+M11*AD11)),IF(AA11="Impacto",M11,"")),"")</f>
        <v>0.6</v>
      </c>
      <c r="AI11" s="351" t="str">
        <f>IFERROR(IF(AH11="","",IF(AH11&lt;=0.2,"Muy Baja",IF(AH11&lt;=0.4,"Baja",IF(AH11&lt;=0.6,"Media",IF(AH11&lt;=0.8,"Alta","Muy Alta"))))),"")</f>
        <v>Media</v>
      </c>
      <c r="AJ11" s="347">
        <f>+AH11</f>
        <v>0.6</v>
      </c>
      <c r="AK11" s="351" t="str">
        <f>IFERROR(IF(AL11="","",IF(AL11&lt;=0.2,"Leve",IF(AL11&lt;=0.4,"Menor",IF(AL11&lt;=0.6,"Moderado",IF(AL11&lt;=0.8,"Mayor","Catastrófico"))))),"")</f>
        <v>Mayor</v>
      </c>
      <c r="AL11" s="347">
        <f>IFERROR(IF(AA11="Impacto",(Q11-(+Q11*AD11)),IF(AA11="Probabilidad",Q11,"")),"")</f>
        <v>0.75</v>
      </c>
      <c r="AM11" s="353"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302" t="s">
        <v>109</v>
      </c>
      <c r="AO11" s="355">
        <v>4</v>
      </c>
      <c r="AP11" s="356" t="str">
        <f>+IF(AO11=5,"CASI SEGURO",(IF(AO11=4,"PROBABLE",(IF(AO11=3,"POSIBLE",(IF(AO11=2,"RARA VEZ",(IF(AO11=1,"IMPROBABLE","")))))))))</f>
        <v>PROBABLE</v>
      </c>
      <c r="AQ11" s="358">
        <v>3</v>
      </c>
      <c r="AR11" s="356" t="str">
        <f>+IF(AQ11=5,"ALTO",(IF(AQ11=3,"MEDIO",(IF(AQ11=1,"BAJO",IF(OR(AQ11=2,AQ11=4),"NO APLICA",""))))))</f>
        <v>MEDIO</v>
      </c>
      <c r="AS11" s="321">
        <f>IF(AND(AO11&lt;&gt;"",AQ11&lt;&gt;"",AR11&lt;&gt;"NO APLICA"),AO11*AQ11,"")</f>
        <v>12</v>
      </c>
      <c r="AT11" s="360" t="str">
        <f>IF(AND(AS11&lt;4,AS11&gt;0),"BAJA",IF(AND(AS11&gt;9,AS11&lt;26),"ALTA",IF(AND(AS11&gt;3,AS11&lt;10),"MEDIA","")))</f>
        <v>ALTA</v>
      </c>
      <c r="AU11" s="238" t="s">
        <v>110</v>
      </c>
      <c r="AV11" s="159" t="s">
        <v>111</v>
      </c>
      <c r="AW11" s="241" t="s">
        <v>298</v>
      </c>
      <c r="AX11" s="238" t="s">
        <v>299</v>
      </c>
      <c r="AY11" s="572" t="s">
        <v>308</v>
      </c>
      <c r="AZ11" s="238" t="s">
        <v>226</v>
      </c>
      <c r="BA11" s="236"/>
    </row>
    <row r="12" spans="1:84" s="3" customFormat="1" ht="179.25" customHeight="1" x14ac:dyDescent="0.25">
      <c r="A12" s="296"/>
      <c r="B12" s="294"/>
      <c r="C12" s="291"/>
      <c r="D12" s="291"/>
      <c r="E12" s="291"/>
      <c r="F12" s="291"/>
      <c r="G12" s="288"/>
      <c r="H12" s="362"/>
      <c r="I12" s="288"/>
      <c r="J12" s="291"/>
      <c r="K12" s="344"/>
      <c r="L12" s="299"/>
      <c r="M12" s="341"/>
      <c r="N12" s="346"/>
      <c r="O12" s="341"/>
      <c r="P12" s="299"/>
      <c r="Q12" s="341"/>
      <c r="R12" s="342"/>
      <c r="S12" s="320"/>
      <c r="T12" s="322"/>
      <c r="U12" s="320"/>
      <c r="V12" s="322"/>
      <c r="W12" s="324"/>
      <c r="X12" s="324"/>
      <c r="Y12" s="297"/>
      <c r="Z12" s="234" t="s">
        <v>295</v>
      </c>
      <c r="AA12" s="326"/>
      <c r="AB12" s="303"/>
      <c r="AC12" s="303"/>
      <c r="AD12" s="348"/>
      <c r="AE12" s="303"/>
      <c r="AF12" s="303"/>
      <c r="AG12" s="303"/>
      <c r="AH12" s="350"/>
      <c r="AI12" s="352"/>
      <c r="AJ12" s="348"/>
      <c r="AK12" s="352"/>
      <c r="AL12" s="348"/>
      <c r="AM12" s="354"/>
      <c r="AN12" s="303"/>
      <c r="AO12" s="320"/>
      <c r="AP12" s="357"/>
      <c r="AQ12" s="359"/>
      <c r="AR12" s="357"/>
      <c r="AS12" s="322"/>
      <c r="AT12" s="361"/>
      <c r="AU12" s="159" t="s">
        <v>301</v>
      </c>
      <c r="AV12" s="159" t="s">
        <v>117</v>
      </c>
      <c r="AW12" s="160" t="s">
        <v>297</v>
      </c>
      <c r="AX12" s="242">
        <v>46022</v>
      </c>
      <c r="AY12" s="240" t="s">
        <v>302</v>
      </c>
      <c r="AZ12" s="238" t="s">
        <v>226</v>
      </c>
      <c r="BA12" s="164"/>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row>
    <row r="13" spans="1:84" ht="388.5" customHeight="1" x14ac:dyDescent="0.3">
      <c r="A13" s="296"/>
      <c r="B13" s="294"/>
      <c r="C13" s="291"/>
      <c r="D13" s="291"/>
      <c r="E13" s="291"/>
      <c r="F13" s="291"/>
      <c r="G13" s="288"/>
      <c r="H13" s="288" t="s">
        <v>255</v>
      </c>
      <c r="I13" s="288"/>
      <c r="J13" s="291"/>
      <c r="K13" s="344"/>
      <c r="L13" s="299"/>
      <c r="M13" s="341"/>
      <c r="N13" s="346"/>
      <c r="O13" s="341"/>
      <c r="P13" s="299"/>
      <c r="Q13" s="341"/>
      <c r="R13" s="342"/>
      <c r="S13" s="323">
        <v>4</v>
      </c>
      <c r="T13" s="323" t="str">
        <f t="shared" ref="T13:T59" si="0">+IF(S13=5,"CASI SEGURO",(IF(S13=4,"PROBABLE",(IF(S13=3,"POSIBLE",(IF(S13=2,"RARA VEZ",(IF(S13=1,"IMPROBABLE","")))))))))</f>
        <v>PROBABLE</v>
      </c>
      <c r="U13" s="323">
        <v>5</v>
      </c>
      <c r="V13" s="323" t="str">
        <f t="shared" ref="V13:V59" si="1">+IF(U13=5,"ALTO",(IF(U13=3,"MEDIO",(IF(U13=1,"BAJO",IF(OR(U13=2,U13=4),"NO APLICA",""))))))</f>
        <v>ALTO</v>
      </c>
      <c r="W13" s="323">
        <f t="shared" ref="W13:W59" si="2">IF(AND(S13&lt;&gt;"",U13&lt;&gt;"",V13&lt;&gt;"NO APLICA"),S13*U13,"")</f>
        <v>20</v>
      </c>
      <c r="X13" s="323" t="str">
        <f t="shared" ref="X13:X59" si="3">IF(AND(W13&lt;4,W13&gt;0),"BAJA",IF(AND(W13&gt;9,W13&lt;26),"ALTA",IF(AND(W13&gt;3,W13&lt;10),"MEDIA","")))</f>
        <v>ALTA</v>
      </c>
      <c r="Y13" s="6">
        <v>2</v>
      </c>
      <c r="Z13" s="235" t="s">
        <v>113</v>
      </c>
      <c r="AA13" s="168" t="str">
        <f>IF(OR(AB13="Preventivo",AB13="Detectivo"),"Probabilidad",IF(AB13="Correctivo","Impacto",""))</f>
        <v>Probabilidad</v>
      </c>
      <c r="AB13" s="152" t="s">
        <v>114</v>
      </c>
      <c r="AC13" s="152" t="s">
        <v>105</v>
      </c>
      <c r="AD13" s="153" t="str">
        <f t="shared" ref="AD13:AD14" si="4">IF(AND(AB13="Preventivo",AC13="Automático"),"50%",IF(AND(AB13="Preventivo",AC13="Manual"),"40%",IF(AND(AB13="Detectivo",AC13="Automático"),"40%",IF(AND(AB13="Detectivo",AC13="Manual"),"30%",IF(AND(AB13="Correctivo",AC13="Automático"),"35%",IF(AND(AB13="Correctivo",AC13="Manual"),"25%",""))))))</f>
        <v>30%</v>
      </c>
      <c r="AE13" s="152" t="s">
        <v>106</v>
      </c>
      <c r="AF13" s="152" t="s">
        <v>107</v>
      </c>
      <c r="AG13" s="152" t="s">
        <v>108</v>
      </c>
      <c r="AH13" s="154">
        <f>IFERROR(IF(AND(AA11="Probabilidad",AA13="Probabilidad"),(AJ11-(+AJ11*AD13)),IF(AA13="Probabilidad",(M11-(+M11*AD13)),IF(AA13="Impacto",AJ11,""))),"")</f>
        <v>0.42</v>
      </c>
      <c r="AI13" s="155" t="str">
        <f t="shared" ref="AI13:AI64" si="5">IFERROR(IF(AH13="","",IF(AH13&lt;=0.2,"Muy Baja",IF(AH13&lt;=0.4,"Baja",IF(AH13&lt;=0.6,"Media",IF(AH13&lt;=0.8,"Alta","Muy Alta"))))),"")</f>
        <v>Media</v>
      </c>
      <c r="AJ13" s="156">
        <f t="shared" ref="AJ13:AJ14" si="6">+AH13</f>
        <v>0.42</v>
      </c>
      <c r="AK13" s="155" t="str">
        <f>IFERROR(IF(AL13="","",IF(AL13&lt;=0.2,"Leve",IF(AL13&lt;=0.4,"Menor",IF(AL13&lt;=0.6,"Moderado",IF(AL13&lt;=0.8,"Mayor","Catastrófico"))))),"")</f>
        <v>Mayor</v>
      </c>
      <c r="AL13" s="156">
        <f>IFERROR(IF(AND(AA11="Impacto",AA13="Impacto"),(AL11-(+AL11*AD13)),IF(AA13="Impacto",(Q11-(+Q11*AD13)),IF(AA13="Probabilidad",AL11,""))),"")</f>
        <v>0.75</v>
      </c>
      <c r="AM13" s="157" t="str">
        <f t="shared" ref="AM13:AM14" si="7">IFERROR(IF(OR(AND(AI13="Muy Baja",AK13="Leve"),AND(AI13="Muy Baja",AK13="Menor"),AND(AI13="Baja",AK13="Leve")),"Bajo",IF(OR(AND(AI13="Muy baja",AK13="Moderado"),AND(AI13="Baja",AK13="Menor"),AND(AI13="Baja",AK13="Moderado"),AND(AI13="Media",AK13="Leve"),AND(AI13="Media",AK13="Menor"),AND(AI13="Media",AK13="Moderado"),AND(AI13="Alta",AK13="Leve"),AND(AI13="Alta",AK13="Menor")),"Moderado",IF(OR(AND(AI13="Muy Baja",AK13="Mayor"),AND(AI13="Baja",AK13="Mayor"),AND(AI13="Media",AK13="Mayor"),AND(AI13="Alta",AK13="Moderado"),AND(AI13="Alta",AK13="Mayor"),AND(AI13="Muy Alta",AK13="Leve"),AND(AI13="Muy Alta",AK13="Menor"),AND(AI13="Muy Alta",AK13="Moderado"),AND(AI13="Muy Alta",AK13="Mayor")),"Alto",IF(OR(AND(AI13="Muy Baja",AK13="Catastrófico"),AND(AI13="Baja",AK13="Catastrófico"),AND(AI13="Media",AK13="Catastrófico"),AND(AI13="Alta",AK13="Catastrófico"),AND(AI13="Muy Alta",AK13="Catastrófico")),"Extremo","")))),"")</f>
        <v>Alto</v>
      </c>
      <c r="AN13" s="158" t="s">
        <v>115</v>
      </c>
      <c r="AO13" s="176">
        <v>4</v>
      </c>
      <c r="AP13" s="179" t="str">
        <f t="shared" ref="AP13:AP31" si="8">+IF(AO13=5,"CASI SEGURO",(IF(AO13=4,"PROBABLE",(IF(AO13=3,"POSIBLE",(IF(AO13=2,"RARA VEZ",(IF(AO13=1,"IMPROBABLE","")))))))))</f>
        <v>PROBABLE</v>
      </c>
      <c r="AQ13" s="176">
        <v>5</v>
      </c>
      <c r="AR13" s="179" t="str">
        <f t="shared" ref="AR13:AR31" si="9">+IF(AQ13=5,"ALTO",(IF(AQ13=3,"MEDIO",(IF(AQ13=1,"BAJO",IF(OR(AQ13=2,AQ13=4),"NO APLICA",""))))))</f>
        <v>ALTO</v>
      </c>
      <c r="AS13" s="176">
        <f t="shared" ref="AS13:AS31" si="10">IF(AND(AO13&lt;&gt;"",AQ13&lt;&gt;"",AR13&lt;&gt;"NO APLICA"),AO13*AQ13,"")</f>
        <v>20</v>
      </c>
      <c r="AT13" s="179" t="str">
        <f t="shared" ref="AT13:AT31" si="11">IF(AND(AS13&lt;4,AS13&gt;0),"BAJA",IF(AND(AS13&gt;9,AS13&lt;26),"ALTA",IF(AND(AS13&gt;3,AS13&lt;10),"MEDIA","")))</f>
        <v>ALTA</v>
      </c>
      <c r="AU13" s="159" t="s">
        <v>116</v>
      </c>
      <c r="AV13" s="159" t="s">
        <v>117</v>
      </c>
      <c r="AW13" s="242" t="s">
        <v>300</v>
      </c>
      <c r="AX13" s="242">
        <v>46022</v>
      </c>
      <c r="AY13" s="240" t="s">
        <v>306</v>
      </c>
      <c r="AZ13" s="170" t="s">
        <v>226</v>
      </c>
      <c r="BA13" s="164"/>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168.75" customHeight="1" x14ac:dyDescent="0.3">
      <c r="A14" s="297"/>
      <c r="B14" s="294"/>
      <c r="C14" s="292"/>
      <c r="D14" s="292"/>
      <c r="E14" s="292"/>
      <c r="F14" s="292"/>
      <c r="G14" s="289"/>
      <c r="H14" s="289"/>
      <c r="I14" s="289"/>
      <c r="J14" s="292"/>
      <c r="K14" s="363"/>
      <c r="L14" s="364"/>
      <c r="M14" s="365"/>
      <c r="N14" s="366"/>
      <c r="O14" s="365"/>
      <c r="P14" s="364"/>
      <c r="Q14" s="365"/>
      <c r="R14" s="324"/>
      <c r="S14" s="324"/>
      <c r="T14" s="324"/>
      <c r="U14" s="324"/>
      <c r="V14" s="324"/>
      <c r="W14" s="324"/>
      <c r="X14" s="324"/>
      <c r="Y14" s="6">
        <v>3</v>
      </c>
      <c r="Z14" s="161" t="s">
        <v>118</v>
      </c>
      <c r="AA14" s="168" t="str">
        <f>IF(OR(AB14="Preventivo",AB14="Detectivo"),"Probabilidad",IF(AB14="Correctivo","Impacto",""))</f>
        <v>Probabilidad</v>
      </c>
      <c r="AB14" s="123" t="s">
        <v>119</v>
      </c>
      <c r="AC14" s="152" t="s">
        <v>105</v>
      </c>
      <c r="AD14" s="153" t="str">
        <f t="shared" si="4"/>
        <v>40%</v>
      </c>
      <c r="AE14" s="152" t="s">
        <v>106</v>
      </c>
      <c r="AF14" s="152" t="s">
        <v>107</v>
      </c>
      <c r="AG14" s="152" t="s">
        <v>108</v>
      </c>
      <c r="AH14" s="154">
        <f>IFERROR(IF(AND(AA13="Probabilidad",AA14="Probabilidad"),(AJ13-(+AJ13*AD14)),IF(AND(AA13="Impacto",AA14="Probabilidad"),(AJ11-(+AJ11*AD14)),IF(AA14="Impacto",AJ13,""))),"")</f>
        <v>0.252</v>
      </c>
      <c r="AI14" s="155" t="str">
        <f t="shared" si="5"/>
        <v>Baja</v>
      </c>
      <c r="AJ14" s="156">
        <f t="shared" si="6"/>
        <v>0.252</v>
      </c>
      <c r="AK14" s="155" t="str">
        <f t="shared" ref="AK14:AK64" si="12">IFERROR(IF(AL14="","",IF(AL14&lt;=0.2,"Leve",IF(AL14&lt;=0.4,"Menor",IF(AL14&lt;=0.6,"Moderado",IF(AL14&lt;=0.8,"Mayor","Catastrófico"))))),"")</f>
        <v>Mayor</v>
      </c>
      <c r="AL14" s="156">
        <f>IFERROR(IF(AND(AA13="Impacto",AA14="Impacto"),(AL13-(+AL13*AD14)),IF(AND(AA13="Probabilidad",AA14="Impacto"),(AL11-(+AL11*AD14)),IF(AA14="Probabilidad",AL13,""))),"")</f>
        <v>0.75</v>
      </c>
      <c r="AM14" s="157" t="str">
        <f t="shared" si="7"/>
        <v>Alto</v>
      </c>
      <c r="AN14" s="158" t="s">
        <v>115</v>
      </c>
      <c r="AO14" s="176">
        <v>5</v>
      </c>
      <c r="AP14" s="179" t="str">
        <f t="shared" si="8"/>
        <v>CASI SEGURO</v>
      </c>
      <c r="AQ14" s="176">
        <v>5</v>
      </c>
      <c r="AR14" s="179" t="str">
        <f t="shared" si="9"/>
        <v>ALTO</v>
      </c>
      <c r="AS14" s="176">
        <f t="shared" si="10"/>
        <v>25</v>
      </c>
      <c r="AT14" s="179" t="str">
        <f t="shared" si="11"/>
        <v>ALTA</v>
      </c>
      <c r="AU14" s="159" t="s">
        <v>296</v>
      </c>
      <c r="AV14" s="159" t="s">
        <v>117</v>
      </c>
      <c r="AW14" s="160" t="s">
        <v>297</v>
      </c>
      <c r="AX14" s="242">
        <v>46022</v>
      </c>
      <c r="AY14" s="240" t="s">
        <v>303</v>
      </c>
      <c r="AZ14" s="170" t="s">
        <v>226</v>
      </c>
      <c r="BA14" s="164"/>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15.5" customHeight="1" x14ac:dyDescent="0.3">
      <c r="A15" s="256">
        <v>2</v>
      </c>
      <c r="B15" s="294"/>
      <c r="C15" s="259" t="s">
        <v>120</v>
      </c>
      <c r="D15" s="259" t="s">
        <v>101</v>
      </c>
      <c r="E15" s="259" t="s">
        <v>121</v>
      </c>
      <c r="F15" s="259" t="s">
        <v>122</v>
      </c>
      <c r="G15" s="285" t="s">
        <v>123</v>
      </c>
      <c r="H15" s="228" t="s">
        <v>289</v>
      </c>
      <c r="I15" s="315" t="s">
        <v>124</v>
      </c>
      <c r="J15" s="290" t="s">
        <v>102</v>
      </c>
      <c r="K15" s="343">
        <v>10</v>
      </c>
      <c r="L15" s="298" t="str">
        <f>IF(K15&lt;=0,"",IF(K15&lt;=2,"Muy Baja",IF(K15&lt;=24,"Baja",IF(K15&lt;=500,"Media",IF(K15&lt;=5000,"Alta","Muy Alta")))))</f>
        <v>Baja</v>
      </c>
      <c r="M15" s="340">
        <f>IF(L15="","",IF(L15="Muy Baja",0.2,IF(L15="Baja",0.4,IF(L15="Media",0.6,IF(L15="Alta",0.8,IF(L15="Muy Alta",1,))))))</f>
        <v>0.4</v>
      </c>
      <c r="N15" s="345" t="s">
        <v>103</v>
      </c>
      <c r="O15" s="340" t="str">
        <f>IF(NOT(ISERROR(MATCH(N15,'Tabla Impacto'!$B$221:$B$223,0))),'Tabla Impacto'!$F$223&amp;"Por favor no seleccionar los criterios de impacto(Afectación Económica o presupuestal y Pérdida Reputacional)",N15)</f>
        <v xml:space="preserve">     Mayor a 500 SMLMV </v>
      </c>
      <c r="P15" s="298" t="str">
        <f>IF(OR(O15='Tabla Impacto'!$C$11,O15='Tabla Impacto'!$D$11),"Leve",IF(OR(O15='Tabla Impacto'!$C$12,O15='Tabla Impacto'!$D$12),"Menor",IF(OR(O15='Tabla Impacto'!$C$13,O15='Tabla Impacto'!$D$13),"Moderado",IF(OR(O15='Tabla Impacto'!$C$14,O15='Tabla Impacto'!$D$14),"Mayor",IF(OR(O15='Tabla Impacto'!$C$15,O15='Tabla Impacto'!$D$15),"Catastrófico","")))))</f>
        <v>Catastrófico</v>
      </c>
      <c r="Q15" s="340">
        <f>IF(P15="","",IF(P15="Leve",0.2,IF(P15="Menor",0.4,IF(P15="Moderado",0.6,IF(P15="Mayor",0.8,IF(P15="Catastrófico",1,))))))</f>
        <v>1</v>
      </c>
      <c r="R15" s="323" t="str">
        <f>IF(OR(AND(L15="Muy Baja",P15="Leve"),AND(L15="Muy Baja",P15="Menor"),AND(L15="Baja",P15="Leve")),"Bajo",IF(OR(AND(L15="Muy baja",P15="Moderado"),AND(L15="Baja",P15="Menor"),AND(L15="Baja",P15="Moderado"),AND(L15="Media",P15="Leve"),AND(L15="Media",P15="Menor"),AND(L15="Media",P15="Moderado"),AND(L15="Alta",P15="Leve"),AND(L15="Alta",P15="Menor")),"Moderado",IF(OR(AND(L15="Muy Baja",P15="Mayor"),AND(L15="Baja",P15="Mayor"),AND(L15="Media",P15="Mayor"),AND(L15="Alta",P15="Moderado"),AND(L15="Alta",P15="Mayor"),AND(L15="Muy Alta",P15="Leve"),AND(L15="Muy Alta",P15="Menor"),AND(L15="Muy Alta",P15="Moderado"),AND(L15="Muy Alta",P15="Mayor")),"Alto",IF(OR(AND(L15="Muy Baja",P15="Catastrófico"),AND(L15="Baja",P15="Catastrófico"),AND(L15="Media",P15="Catastrófico"),AND(L15="Alta",P15="Catastrófico"),AND(L15="Muy Alta",P15="Catastrófico")),"Extremo",""))))</f>
        <v>Extremo</v>
      </c>
      <c r="S15" s="176">
        <v>3</v>
      </c>
      <c r="T15" s="176" t="str">
        <f t="shared" si="0"/>
        <v>POSIBLE</v>
      </c>
      <c r="U15" s="176">
        <v>3</v>
      </c>
      <c r="V15" s="176" t="str">
        <f t="shared" si="1"/>
        <v>MEDIO</v>
      </c>
      <c r="W15" s="176">
        <f t="shared" si="2"/>
        <v>9</v>
      </c>
      <c r="X15" s="176" t="str">
        <f t="shared" si="3"/>
        <v>MEDIA</v>
      </c>
      <c r="Y15" s="6">
        <v>1</v>
      </c>
      <c r="Z15" s="235" t="s">
        <v>125</v>
      </c>
      <c r="AA15" s="168" t="str">
        <f t="shared" ref="AA15:AA16" si="13">IF(OR(AB15="Preventivo",AB15="Detectivo"),"Probabilidad",IF(AB15="Correctivo","Impacto",""))</f>
        <v>Probabilidad</v>
      </c>
      <c r="AB15" s="152" t="s">
        <v>119</v>
      </c>
      <c r="AC15" s="152" t="s">
        <v>105</v>
      </c>
      <c r="AD15" s="153" t="str">
        <f>IF(AND(AB15="Preventivo",AC15="Automático"),"50%",IF(AND(AB15="Preventivo",AC15="Manual"),"40%",IF(AND(AB15="Detectivo",AC15="Automático"),"40%",IF(AND(AB15="Detectivo",AC15="Manual"),"30%",IF(AND(AB15="Correctivo",AC15="Automático"),"35%",IF(AND(AB15="Correctivo",AC15="Manual"),"25%",""))))))</f>
        <v>40%</v>
      </c>
      <c r="AE15" s="152" t="s">
        <v>106</v>
      </c>
      <c r="AF15" s="152" t="s">
        <v>107</v>
      </c>
      <c r="AG15" s="152" t="s">
        <v>108</v>
      </c>
      <c r="AH15" s="154">
        <f>IFERROR(IF(AA15="Probabilidad",(M15-(+M15*AD15)),IF(AA15="Impacto",M15,"")),"")</f>
        <v>0.24</v>
      </c>
      <c r="AI15" s="155" t="str">
        <f>IFERROR(IF(AH15="","",IF(AH15&lt;=0.2,"Muy Baja",IF(AH15&lt;=0.4,"Baja",IF(AH15&lt;=0.6,"Media",IF(AH15&lt;=0.8,"Alta","Muy Alta"))))),"")</f>
        <v>Baja</v>
      </c>
      <c r="AJ15" s="156">
        <f>+AH15</f>
        <v>0.24</v>
      </c>
      <c r="AK15" s="155" t="str">
        <f>IFERROR(IF(AL15="","",IF(AL15&lt;=0.2,"Leve",IF(AL15&lt;=0.4,"Menor",IF(AL15&lt;=0.6,"Moderado",IF(AL15&lt;=0.8,"Mayor","Catastrófico"))))),"")</f>
        <v>Catastrófico</v>
      </c>
      <c r="AL15" s="156">
        <f>IFERROR(IF(AA15="Impacto",(Q15-(+Q15*AD15)),IF(AA15="Probabilidad",Q15,"")),"")</f>
        <v>1</v>
      </c>
      <c r="AM15" s="157" t="str">
        <f>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Extremo</v>
      </c>
      <c r="AN15" s="158" t="s">
        <v>115</v>
      </c>
      <c r="AO15" s="176">
        <v>4</v>
      </c>
      <c r="AP15" s="179" t="str">
        <f t="shared" si="8"/>
        <v>PROBABLE</v>
      </c>
      <c r="AQ15" s="176">
        <v>3</v>
      </c>
      <c r="AR15" s="179" t="str">
        <f t="shared" si="9"/>
        <v>MEDIO</v>
      </c>
      <c r="AS15" s="176">
        <f t="shared" si="10"/>
        <v>12</v>
      </c>
      <c r="AT15" s="179" t="str">
        <f t="shared" si="11"/>
        <v>ALTA</v>
      </c>
      <c r="AU15" s="159" t="s">
        <v>126</v>
      </c>
      <c r="AV15" s="159" t="s">
        <v>117</v>
      </c>
      <c r="AW15" s="159" t="s">
        <v>238</v>
      </c>
      <c r="AX15" s="169" t="s">
        <v>238</v>
      </c>
      <c r="AY15" s="240" t="s">
        <v>304</v>
      </c>
      <c r="AZ15" s="170" t="s">
        <v>226</v>
      </c>
      <c r="BA15" s="164"/>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50" customHeight="1" x14ac:dyDescent="0.3">
      <c r="A16" s="257"/>
      <c r="B16" s="294"/>
      <c r="C16" s="260"/>
      <c r="D16" s="260"/>
      <c r="E16" s="260"/>
      <c r="F16" s="260"/>
      <c r="G16" s="286"/>
      <c r="H16" s="229" t="s">
        <v>290</v>
      </c>
      <c r="I16" s="288"/>
      <c r="J16" s="291"/>
      <c r="K16" s="344"/>
      <c r="L16" s="299"/>
      <c r="M16" s="341"/>
      <c r="N16" s="346"/>
      <c r="O16" s="341"/>
      <c r="P16" s="299"/>
      <c r="Q16" s="341"/>
      <c r="R16" s="342"/>
      <c r="S16" s="176">
        <v>3</v>
      </c>
      <c r="T16" s="176" t="str">
        <f t="shared" si="0"/>
        <v>POSIBLE</v>
      </c>
      <c r="U16" s="176">
        <v>3</v>
      </c>
      <c r="V16" s="176" t="str">
        <f t="shared" si="1"/>
        <v>MEDIO</v>
      </c>
      <c r="W16" s="176">
        <f t="shared" si="2"/>
        <v>9</v>
      </c>
      <c r="X16" s="176" t="str">
        <f t="shared" si="3"/>
        <v>MEDIA</v>
      </c>
      <c r="Y16" s="6">
        <v>2</v>
      </c>
      <c r="Z16" s="159" t="s">
        <v>127</v>
      </c>
      <c r="AA16" s="325" t="str">
        <f t="shared" si="13"/>
        <v>Probabilidad</v>
      </c>
      <c r="AB16" s="302" t="s">
        <v>119</v>
      </c>
      <c r="AC16" s="302" t="s">
        <v>105</v>
      </c>
      <c r="AD16" s="347" t="str">
        <f t="shared" ref="AD16" si="14">IF(AND(AB16="Preventivo",AC16="Automático"),"50%",IF(AND(AB16="Preventivo",AC16="Manual"),"40%",IF(AND(AB16="Detectivo",AC16="Automático"),"40%",IF(AND(AB16="Detectivo",AC16="Manual"),"30%",IF(AND(AB16="Correctivo",AC16="Automático"),"35%",IF(AND(AB16="Correctivo",AC16="Manual"),"25%",""))))))</f>
        <v>40%</v>
      </c>
      <c r="AE16" s="302" t="s">
        <v>106</v>
      </c>
      <c r="AF16" s="302" t="s">
        <v>107</v>
      </c>
      <c r="AG16" s="302" t="s">
        <v>108</v>
      </c>
      <c r="AH16" s="349">
        <f>IFERROR(IF(AND(AA15="Probabilidad",AA16="Probabilidad"),(AJ15-(+AJ15*AD16)),IF(AA16="Probabilidad",(M15-(+M15*AD16)),IF(AA16="Impacto",AJ15,""))),"")</f>
        <v>0.14399999999999999</v>
      </c>
      <c r="AI16" s="351" t="str">
        <f t="shared" si="5"/>
        <v>Muy Baja</v>
      </c>
      <c r="AJ16" s="347">
        <f t="shared" ref="AJ16" si="15">+AH16</f>
        <v>0.14399999999999999</v>
      </c>
      <c r="AK16" s="351" t="str">
        <f t="shared" si="12"/>
        <v>Catastrófico</v>
      </c>
      <c r="AL16" s="347">
        <f>IFERROR(IF(AND(AA15="Impacto",AA16="Impacto"),(AL15-(+AL15*AD16)),IF(AA16="Impacto",(Q15-(+Q15*AD16)),IF(AA16="Probabilidad",AL15,""))),"")</f>
        <v>1</v>
      </c>
      <c r="AM16" s="353" t="str">
        <f t="shared" ref="AM16" si="16">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Extremo</v>
      </c>
      <c r="AN16" s="302" t="s">
        <v>115</v>
      </c>
      <c r="AO16" s="176">
        <v>4</v>
      </c>
      <c r="AP16" s="179" t="str">
        <f t="shared" si="8"/>
        <v>PROBABLE</v>
      </c>
      <c r="AQ16" s="176">
        <v>3</v>
      </c>
      <c r="AR16" s="179" t="str">
        <f t="shared" si="9"/>
        <v>MEDIO</v>
      </c>
      <c r="AS16" s="176">
        <f t="shared" si="10"/>
        <v>12</v>
      </c>
      <c r="AT16" s="179" t="str">
        <f t="shared" si="11"/>
        <v>ALTA</v>
      </c>
      <c r="AU16" s="159" t="s">
        <v>128</v>
      </c>
      <c r="AV16" s="159" t="s">
        <v>117</v>
      </c>
      <c r="AW16" s="160" t="s">
        <v>112</v>
      </c>
      <c r="AX16" s="242">
        <v>46022</v>
      </c>
      <c r="AY16" s="240" t="s">
        <v>305</v>
      </c>
      <c r="AZ16" s="170" t="s">
        <v>226</v>
      </c>
      <c r="BA16" s="164"/>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5.25" customHeight="1" x14ac:dyDescent="0.3">
      <c r="A17" s="256">
        <v>3</v>
      </c>
      <c r="B17" s="294"/>
      <c r="C17" s="260"/>
      <c r="D17" s="260"/>
      <c r="E17" s="260"/>
      <c r="F17" s="260"/>
      <c r="G17" s="286"/>
      <c r="H17" s="228" t="s">
        <v>288</v>
      </c>
      <c r="I17" s="288"/>
      <c r="J17" s="291"/>
      <c r="K17" s="344"/>
      <c r="L17" s="299"/>
      <c r="M17" s="341"/>
      <c r="N17" s="346"/>
      <c r="O17" s="341"/>
      <c r="P17" s="299"/>
      <c r="Q17" s="341"/>
      <c r="R17" s="342"/>
      <c r="S17" s="176">
        <v>3</v>
      </c>
      <c r="T17" s="176" t="str">
        <f t="shared" si="0"/>
        <v>POSIBLE</v>
      </c>
      <c r="U17" s="176">
        <v>3</v>
      </c>
      <c r="V17" s="176" t="str">
        <f t="shared" si="1"/>
        <v>MEDIO</v>
      </c>
      <c r="W17" s="176">
        <f t="shared" si="2"/>
        <v>9</v>
      </c>
      <c r="X17" s="176" t="str">
        <f t="shared" si="3"/>
        <v>MEDIA</v>
      </c>
      <c r="Y17" s="6">
        <v>3</v>
      </c>
      <c r="Z17" s="234" t="s">
        <v>293</v>
      </c>
      <c r="AA17" s="326"/>
      <c r="AB17" s="303"/>
      <c r="AC17" s="303"/>
      <c r="AD17" s="348"/>
      <c r="AE17" s="303"/>
      <c r="AF17" s="303"/>
      <c r="AG17" s="303"/>
      <c r="AH17" s="350"/>
      <c r="AI17" s="352"/>
      <c r="AJ17" s="348"/>
      <c r="AK17" s="352"/>
      <c r="AL17" s="348"/>
      <c r="AM17" s="354"/>
      <c r="AN17" s="303"/>
      <c r="AO17" s="176">
        <v>5</v>
      </c>
      <c r="AP17" s="179" t="str">
        <f t="shared" si="8"/>
        <v>CASI SEGURO</v>
      </c>
      <c r="AQ17" s="176">
        <v>5</v>
      </c>
      <c r="AR17" s="179" t="str">
        <f t="shared" si="9"/>
        <v>ALTO</v>
      </c>
      <c r="AS17" s="176">
        <f t="shared" si="10"/>
        <v>25</v>
      </c>
      <c r="AT17" s="179" t="str">
        <f t="shared" si="11"/>
        <v>ALTA</v>
      </c>
      <c r="AU17" s="159" t="s">
        <v>291</v>
      </c>
      <c r="AV17" s="159" t="s">
        <v>117</v>
      </c>
      <c r="AW17" s="160" t="s">
        <v>292</v>
      </c>
      <c r="AX17" s="160" t="s">
        <v>292</v>
      </c>
      <c r="AY17" s="240" t="s">
        <v>307</v>
      </c>
      <c r="AZ17" s="170" t="s">
        <v>227</v>
      </c>
      <c r="BA17" s="164"/>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57"/>
      <c r="B18" s="135"/>
      <c r="C18" s="212"/>
      <c r="D18" s="212"/>
      <c r="E18" s="212"/>
      <c r="F18" s="138"/>
      <c r="G18" s="214"/>
      <c r="H18" s="141"/>
      <c r="I18" s="141"/>
      <c r="J18" s="212"/>
      <c r="K18" s="216"/>
      <c r="L18" s="218"/>
      <c r="M18" s="220"/>
      <c r="N18" s="222"/>
      <c r="O18" s="224"/>
      <c r="P18" s="218"/>
      <c r="Q18" s="220"/>
      <c r="R18" s="226"/>
      <c r="S18" s="177"/>
      <c r="T18" s="177" t="str">
        <f t="shared" si="0"/>
        <v/>
      </c>
      <c r="U18" s="177"/>
      <c r="V18" s="177" t="str">
        <f t="shared" si="1"/>
        <v/>
      </c>
      <c r="W18" s="177" t="str">
        <f t="shared" si="2"/>
        <v/>
      </c>
      <c r="X18" s="177"/>
      <c r="Y18" s="120"/>
      <c r="Z18" s="121"/>
      <c r="AA18" s="122" t="str">
        <f>IF(OR(AB18="Preventivo",AB18="Detectivo"),"Probabilidad",IF(AB18="Correctivo","Impacto",""))</f>
        <v/>
      </c>
      <c r="AB18" s="123"/>
      <c r="AC18" s="152"/>
      <c r="AD18" s="153" t="str">
        <f t="shared" ref="AD18:AD22" si="17">IF(AND(AB18="Preventivo",AC18="Automático"),"50%",IF(AND(AB18="Preventivo",AC18="Manual"),"40%",IF(AND(AB18="Detectivo",AC18="Automático"),"40%",IF(AND(AB18="Detectivo",AC18="Manual"),"30%",IF(AND(AB18="Correctivo",AC18="Automático"),"35%",IF(AND(AB18="Correctivo",AC18="Manual"),"25%",""))))))</f>
        <v/>
      </c>
      <c r="AE18" s="152"/>
      <c r="AF18" s="152"/>
      <c r="AG18" s="152"/>
      <c r="AH18" s="162" t="str">
        <f>IFERROR(IF(AND(AA17="Probabilidad",AA18="Probabilidad"),(AJ17-(+AJ17*AD18)),IF(AA18="Probabilidad",(M17-(+M17*AD18)),IF(AA18="Impacto",AJ17,""))),"")</f>
        <v/>
      </c>
      <c r="AI18" s="155" t="str">
        <f t="shared" si="5"/>
        <v/>
      </c>
      <c r="AJ18" s="156" t="str">
        <f t="shared" ref="AJ18:AJ22" si="18">+AH18</f>
        <v/>
      </c>
      <c r="AK18" s="155" t="str">
        <f t="shared" si="12"/>
        <v/>
      </c>
      <c r="AL18" s="156" t="str">
        <f>IFERROR(IF(AND(AA17="Impacto",AA18="Impacto"),(AL17-(+AL17*AD18)),IF(AA18="Impacto",(Q17-(+Q17*AD18)),IF(AA18="Probabilidad",AL17,""))),"")</f>
        <v/>
      </c>
      <c r="AM18" s="157" t="str">
        <f t="shared" ref="AM18:AM19" si="19">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
      </c>
      <c r="AN18" s="158"/>
      <c r="AO18" s="176"/>
      <c r="AP18" s="179" t="str">
        <f t="shared" si="8"/>
        <v/>
      </c>
      <c r="AQ18" s="176"/>
      <c r="AR18" s="179" t="str">
        <f t="shared" si="9"/>
        <v/>
      </c>
      <c r="AS18" s="176" t="str">
        <f t="shared" si="10"/>
        <v/>
      </c>
      <c r="AT18" s="179" t="str">
        <f t="shared" si="11"/>
        <v/>
      </c>
      <c r="AU18" s="159"/>
      <c r="AV18" s="161"/>
      <c r="AW18" s="160"/>
      <c r="AX18" s="160"/>
      <c r="AY18" s="234"/>
      <c r="AZ18" s="161"/>
      <c r="BA18" s="164"/>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57"/>
      <c r="B19" s="135"/>
      <c r="C19" s="212"/>
      <c r="D19" s="212"/>
      <c r="E19" s="212"/>
      <c r="F19" s="138"/>
      <c r="G19" s="214"/>
      <c r="H19" s="141"/>
      <c r="I19" s="141"/>
      <c r="J19" s="212"/>
      <c r="K19" s="216"/>
      <c r="L19" s="218"/>
      <c r="M19" s="220"/>
      <c r="N19" s="222"/>
      <c r="O19" s="224"/>
      <c r="P19" s="218"/>
      <c r="Q19" s="220"/>
      <c r="R19" s="226"/>
      <c r="S19" s="177"/>
      <c r="T19" s="177" t="str">
        <f t="shared" si="0"/>
        <v/>
      </c>
      <c r="U19" s="177"/>
      <c r="V19" s="177" t="str">
        <f t="shared" si="1"/>
        <v/>
      </c>
      <c r="W19" s="177" t="str">
        <f t="shared" si="2"/>
        <v/>
      </c>
      <c r="X19" s="177"/>
      <c r="Y19" s="120"/>
      <c r="Z19" s="133"/>
      <c r="AA19" s="122" t="str">
        <f>IF(OR(AB19="Preventivo",AB19="Detectivo"),"Probabilidad",IF(AB19="Correctivo","Impacto",""))</f>
        <v/>
      </c>
      <c r="AB19" s="123"/>
      <c r="AC19" s="152"/>
      <c r="AD19" s="153" t="str">
        <f t="shared" si="17"/>
        <v/>
      </c>
      <c r="AE19" s="152"/>
      <c r="AF19" s="152"/>
      <c r="AG19" s="152"/>
      <c r="AH19" s="154" t="str">
        <f>IFERROR(IF(AND(AA18="Probabilidad",AA19="Probabilidad"),(AJ18-(+AJ18*AD19)),IF(AND(AA18="Impacto",AA19="Probabilidad"),(AJ17-(+AJ17*AD19)),IF(AA19="Impacto",AJ18,""))),"")</f>
        <v/>
      </c>
      <c r="AI19" s="155" t="str">
        <f t="shared" si="5"/>
        <v/>
      </c>
      <c r="AJ19" s="156" t="str">
        <f t="shared" si="18"/>
        <v/>
      </c>
      <c r="AK19" s="155" t="str">
        <f t="shared" si="12"/>
        <v/>
      </c>
      <c r="AL19" s="156" t="str">
        <f>IFERROR(IF(AND(AA18="Impacto",AA19="Impacto"),(AL18-(+AL18*AD19)),IF(AND(AA18="Probabilidad",AA19="Impacto"),(AL17-(+AL17*AD19)),IF(AA19="Probabilidad",AL18,""))),"")</f>
        <v/>
      </c>
      <c r="AM19" s="157" t="str">
        <f t="shared" si="19"/>
        <v/>
      </c>
      <c r="AN19" s="158"/>
      <c r="AO19" s="176"/>
      <c r="AP19" s="179" t="str">
        <f t="shared" si="8"/>
        <v/>
      </c>
      <c r="AQ19" s="176"/>
      <c r="AR19" s="179" t="str">
        <f t="shared" si="9"/>
        <v/>
      </c>
      <c r="AS19" s="176" t="str">
        <f t="shared" si="10"/>
        <v/>
      </c>
      <c r="AT19" s="179" t="str">
        <f t="shared" si="11"/>
        <v/>
      </c>
      <c r="AU19" s="159"/>
      <c r="AV19" s="161"/>
      <c r="AW19" s="160"/>
      <c r="AX19" s="160"/>
      <c r="AY19" s="234"/>
      <c r="AZ19" s="161"/>
      <c r="BA19" s="164"/>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57"/>
      <c r="B20" s="135"/>
      <c r="C20" s="212"/>
      <c r="D20" s="212"/>
      <c r="E20" s="212"/>
      <c r="F20" s="138"/>
      <c r="G20" s="214"/>
      <c r="H20" s="141"/>
      <c r="I20" s="141"/>
      <c r="J20" s="212"/>
      <c r="K20" s="216"/>
      <c r="L20" s="218"/>
      <c r="M20" s="220"/>
      <c r="N20" s="222"/>
      <c r="O20" s="224">
        <f t="shared" ref="O20:O22" si="20">IF(NOT(ISERROR(MATCH(N20,_xlfn.ANCHORARRAY(G31),0))),M33&amp;"Por favor no seleccionar los criterios de impacto",N20)</f>
        <v>0</v>
      </c>
      <c r="P20" s="218"/>
      <c r="Q20" s="220"/>
      <c r="R20" s="226"/>
      <c r="S20" s="177"/>
      <c r="T20" s="177" t="str">
        <f t="shared" si="0"/>
        <v/>
      </c>
      <c r="U20" s="177"/>
      <c r="V20" s="177" t="str">
        <f t="shared" si="1"/>
        <v/>
      </c>
      <c r="W20" s="177" t="str">
        <f t="shared" si="2"/>
        <v/>
      </c>
      <c r="X20" s="177" t="str">
        <f t="shared" si="3"/>
        <v/>
      </c>
      <c r="Y20" s="120">
        <v>4</v>
      </c>
      <c r="Z20" s="121"/>
      <c r="AA20" s="122" t="str">
        <f t="shared" ref="AA20:AA22" si="21">IF(OR(AB20="Preventivo",AB20="Detectivo"),"Probabilidad",IF(AB20="Correctivo","Impacto",""))</f>
        <v/>
      </c>
      <c r="AB20" s="123"/>
      <c r="AC20" s="152"/>
      <c r="AD20" s="153" t="str">
        <f t="shared" si="17"/>
        <v/>
      </c>
      <c r="AE20" s="152"/>
      <c r="AF20" s="152"/>
      <c r="AG20" s="152"/>
      <c r="AH20" s="154" t="str">
        <f t="shared" ref="AH20:AH22" si="22">IFERROR(IF(AND(AA19="Probabilidad",AA20="Probabilidad"),(AJ19-(+AJ19*AD20)),IF(AND(AA19="Impacto",AA20="Probabilidad"),(AJ18-(+AJ18*AD20)),IF(AA20="Impacto",AJ19,""))),"")</f>
        <v/>
      </c>
      <c r="AI20" s="155" t="str">
        <f t="shared" si="5"/>
        <v/>
      </c>
      <c r="AJ20" s="156" t="str">
        <f t="shared" si="18"/>
        <v/>
      </c>
      <c r="AK20" s="155" t="str">
        <f t="shared" si="12"/>
        <v/>
      </c>
      <c r="AL20" s="156" t="str">
        <f t="shared" ref="AL20:AL22" si="23">IFERROR(IF(AND(AA19="Impacto",AA20="Impacto"),(AL19-(+AL19*AD20)),IF(AND(AA19="Probabilidad",AA20="Impacto"),(AL18-(+AL18*AD20)),IF(AA20="Probabilidad",AL19,""))),"")</f>
        <v/>
      </c>
      <c r="AM20" s="157" t="str">
        <f>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58"/>
      <c r="AO20" s="176"/>
      <c r="AP20" s="179" t="str">
        <f t="shared" si="8"/>
        <v/>
      </c>
      <c r="AQ20" s="176"/>
      <c r="AR20" s="179" t="str">
        <f t="shared" si="9"/>
        <v/>
      </c>
      <c r="AS20" s="176" t="str">
        <f t="shared" si="10"/>
        <v/>
      </c>
      <c r="AT20" s="179" t="str">
        <f t="shared" si="11"/>
        <v/>
      </c>
      <c r="AU20" s="159"/>
      <c r="AV20" s="161"/>
      <c r="AW20" s="160"/>
      <c r="AX20" s="160"/>
      <c r="AY20" s="234"/>
      <c r="AZ20" s="161"/>
      <c r="BA20" s="164"/>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57"/>
      <c r="B21" s="135"/>
      <c r="C21" s="212"/>
      <c r="D21" s="212"/>
      <c r="E21" s="212"/>
      <c r="F21" s="138"/>
      <c r="G21" s="214"/>
      <c r="H21" s="141"/>
      <c r="I21" s="141"/>
      <c r="J21" s="212"/>
      <c r="K21" s="216"/>
      <c r="L21" s="218"/>
      <c r="M21" s="220"/>
      <c r="N21" s="222"/>
      <c r="O21" s="224">
        <f t="shared" si="20"/>
        <v>0</v>
      </c>
      <c r="P21" s="218"/>
      <c r="Q21" s="220"/>
      <c r="R21" s="226"/>
      <c r="S21" s="177"/>
      <c r="T21" s="177" t="str">
        <f t="shared" si="0"/>
        <v/>
      </c>
      <c r="U21" s="177"/>
      <c r="V21" s="177" t="str">
        <f t="shared" si="1"/>
        <v/>
      </c>
      <c r="W21" s="177" t="str">
        <f t="shared" si="2"/>
        <v/>
      </c>
      <c r="X21" s="177" t="str">
        <f t="shared" si="3"/>
        <v/>
      </c>
      <c r="Y21" s="120">
        <v>5</v>
      </c>
      <c r="Z21" s="121"/>
      <c r="AA21" s="122" t="str">
        <f t="shared" si="21"/>
        <v/>
      </c>
      <c r="AB21" s="123"/>
      <c r="AC21" s="152"/>
      <c r="AD21" s="153" t="str">
        <f t="shared" si="17"/>
        <v/>
      </c>
      <c r="AE21" s="152"/>
      <c r="AF21" s="152"/>
      <c r="AG21" s="152"/>
      <c r="AH21" s="154" t="str">
        <f t="shared" si="22"/>
        <v/>
      </c>
      <c r="AI21" s="155" t="str">
        <f t="shared" si="5"/>
        <v/>
      </c>
      <c r="AJ21" s="156" t="str">
        <f t="shared" si="18"/>
        <v/>
      </c>
      <c r="AK21" s="155" t="str">
        <f t="shared" si="12"/>
        <v/>
      </c>
      <c r="AL21" s="156" t="str">
        <f t="shared" si="23"/>
        <v/>
      </c>
      <c r="AM21" s="157" t="str">
        <f t="shared" ref="AM21:AM22" si="24">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58"/>
      <c r="AO21" s="176"/>
      <c r="AP21" s="179" t="str">
        <f t="shared" si="8"/>
        <v/>
      </c>
      <c r="AQ21" s="176"/>
      <c r="AR21" s="179" t="str">
        <f t="shared" si="9"/>
        <v/>
      </c>
      <c r="AS21" s="176" t="str">
        <f t="shared" si="10"/>
        <v/>
      </c>
      <c r="AT21" s="179" t="str">
        <f t="shared" si="11"/>
        <v/>
      </c>
      <c r="AU21" s="159"/>
      <c r="AV21" s="161"/>
      <c r="AW21" s="160"/>
      <c r="AX21" s="160"/>
      <c r="AY21" s="234"/>
      <c r="AZ21" s="161"/>
      <c r="BA21" s="164"/>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58"/>
      <c r="B22" s="136"/>
      <c r="C22" s="213"/>
      <c r="D22" s="213"/>
      <c r="E22" s="213"/>
      <c r="F22" s="139"/>
      <c r="G22" s="215"/>
      <c r="H22" s="142"/>
      <c r="I22" s="142"/>
      <c r="J22" s="213"/>
      <c r="K22" s="217"/>
      <c r="L22" s="219"/>
      <c r="M22" s="221"/>
      <c r="N22" s="223"/>
      <c r="O22" s="225">
        <f t="shared" si="20"/>
        <v>0</v>
      </c>
      <c r="P22" s="219"/>
      <c r="Q22" s="221"/>
      <c r="R22" s="227"/>
      <c r="S22" s="177"/>
      <c r="T22" s="177" t="str">
        <f t="shared" si="0"/>
        <v/>
      </c>
      <c r="U22" s="177"/>
      <c r="V22" s="177" t="str">
        <f t="shared" si="1"/>
        <v/>
      </c>
      <c r="W22" s="177" t="str">
        <f t="shared" si="2"/>
        <v/>
      </c>
      <c r="X22" s="177" t="str">
        <f t="shared" si="3"/>
        <v/>
      </c>
      <c r="Y22" s="120">
        <v>6</v>
      </c>
      <c r="Z22" s="121"/>
      <c r="AA22" s="122" t="str">
        <f t="shared" si="21"/>
        <v/>
      </c>
      <c r="AB22" s="123"/>
      <c r="AC22" s="152"/>
      <c r="AD22" s="153" t="str">
        <f t="shared" si="17"/>
        <v/>
      </c>
      <c r="AE22" s="152"/>
      <c r="AF22" s="152"/>
      <c r="AG22" s="152"/>
      <c r="AH22" s="154" t="str">
        <f t="shared" si="22"/>
        <v/>
      </c>
      <c r="AI22" s="155" t="str">
        <f t="shared" si="5"/>
        <v/>
      </c>
      <c r="AJ22" s="156" t="str">
        <f t="shared" si="18"/>
        <v/>
      </c>
      <c r="AK22" s="155" t="str">
        <f t="shared" si="12"/>
        <v/>
      </c>
      <c r="AL22" s="156" t="str">
        <f t="shared" si="23"/>
        <v/>
      </c>
      <c r="AM22" s="157" t="str">
        <f t="shared" si="24"/>
        <v/>
      </c>
      <c r="AN22" s="158"/>
      <c r="AO22" s="176"/>
      <c r="AP22" s="179" t="str">
        <f t="shared" si="8"/>
        <v/>
      </c>
      <c r="AQ22" s="176"/>
      <c r="AR22" s="179" t="str">
        <f t="shared" si="9"/>
        <v/>
      </c>
      <c r="AS22" s="176" t="str">
        <f t="shared" si="10"/>
        <v/>
      </c>
      <c r="AT22" s="179" t="str">
        <f t="shared" si="11"/>
        <v/>
      </c>
      <c r="AU22" s="159"/>
      <c r="AV22" s="161"/>
      <c r="AW22" s="160"/>
      <c r="AX22" s="160"/>
      <c r="AY22" s="234"/>
      <c r="AZ22" s="161"/>
      <c r="BA22" s="164"/>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56">
        <v>4</v>
      </c>
      <c r="B23" s="134"/>
      <c r="C23" s="259"/>
      <c r="D23" s="259"/>
      <c r="E23" s="259"/>
      <c r="F23" s="137"/>
      <c r="G23" s="285"/>
      <c r="H23" s="140"/>
      <c r="I23" s="140"/>
      <c r="J23" s="259"/>
      <c r="K23" s="267"/>
      <c r="L23" s="279" t="str">
        <f>IF(K23&lt;=0,"",IF(K23&lt;=2,"Muy Baja",IF(K23&lt;=24,"Baja",IF(K23&lt;=500,"Media",IF(K23&lt;=5000,"Alta","Muy Alta")))))</f>
        <v/>
      </c>
      <c r="M23" s="270" t="str">
        <f>IF(L23="","",IF(L23="Muy Baja",0.2,IF(L23="Baja",0.4,IF(L23="Media",0.6,IF(L23="Alta",0.8,IF(L23="Muy Alta",1,))))))</f>
        <v/>
      </c>
      <c r="N23" s="276"/>
      <c r="O23" s="270">
        <f>IF(NOT(ISERROR(MATCH(N23,'Tabla Impacto'!$B$221:$B$223,0))),'Tabla Impacto'!$F$223&amp;"Por favor no seleccionar los criterios de impacto(Afectación Económica o presupuestal y Pérdida Reputacional)",N23)</f>
        <v>0</v>
      </c>
      <c r="P23" s="279" t="str">
        <f>IF(OR(O23='Tabla Impacto'!$C$11,O23='Tabla Impacto'!$D$11),"Leve",IF(OR(O23='Tabla Impacto'!$C$12,O23='Tabla Impacto'!$D$12),"Menor",IF(OR(O23='Tabla Impacto'!$C$13,O23='Tabla Impacto'!$D$13),"Moderado",IF(OR(O23='Tabla Impacto'!$C$14,O23='Tabla Impacto'!$D$14),"Mayor",IF(OR(O23='Tabla Impacto'!$C$15,O23='Tabla Impacto'!$D$15),"Catastrófico","")))))</f>
        <v/>
      </c>
      <c r="Q23" s="270" t="str">
        <f>IF(P23="","",IF(P23="Leve",0.2,IF(P23="Menor",0.4,IF(P23="Moderado",0.6,IF(P23="Mayor",0.8,IF(P23="Catastrófico",1,))))))</f>
        <v/>
      </c>
      <c r="R23" s="273"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
      </c>
      <c r="S23" s="177"/>
      <c r="T23" s="177" t="str">
        <f t="shared" si="0"/>
        <v/>
      </c>
      <c r="U23" s="177"/>
      <c r="V23" s="177" t="str">
        <f t="shared" si="1"/>
        <v/>
      </c>
      <c r="W23" s="177" t="str">
        <f t="shared" si="2"/>
        <v/>
      </c>
      <c r="X23" s="177" t="str">
        <f t="shared" si="3"/>
        <v/>
      </c>
      <c r="Y23" s="120">
        <v>1</v>
      </c>
      <c r="Z23" s="121"/>
      <c r="AA23" s="122" t="str">
        <f>IF(OR(AB23="Preventivo",AB23="Detectivo"),"Probabilidad",IF(AB23="Correctivo","Impacto",""))</f>
        <v/>
      </c>
      <c r="AB23" s="123"/>
      <c r="AC23" s="152"/>
      <c r="AD23" s="153" t="str">
        <f>IF(AND(AB23="Preventivo",AC23="Automático"),"50%",IF(AND(AB23="Preventivo",AC23="Manual"),"40%",IF(AND(AB23="Detectivo",AC23="Automático"),"40%",IF(AND(AB23="Detectivo",AC23="Manual"),"30%",IF(AND(AB23="Correctivo",AC23="Automático"),"35%",IF(AND(AB23="Correctivo",AC23="Manual"),"25%",""))))))</f>
        <v/>
      </c>
      <c r="AE23" s="152"/>
      <c r="AF23" s="152"/>
      <c r="AG23" s="152"/>
      <c r="AH23" s="154" t="str">
        <f>IFERROR(IF(AA23="Probabilidad",(M23-(+M23*AD23)),IF(AA23="Impacto",M23,"")),"")</f>
        <v/>
      </c>
      <c r="AI23" s="155" t="str">
        <f>IFERROR(IF(AH23="","",IF(AH23&lt;=0.2,"Muy Baja",IF(AH23&lt;=0.4,"Baja",IF(AH23&lt;=0.6,"Media",IF(AH23&lt;=0.8,"Alta","Muy Alta"))))),"")</f>
        <v/>
      </c>
      <c r="AJ23" s="156" t="str">
        <f>+AH23</f>
        <v/>
      </c>
      <c r="AK23" s="155" t="str">
        <f>IFERROR(IF(AL23="","",IF(AL23&lt;=0.2,"Leve",IF(AL23&lt;=0.4,"Menor",IF(AL23&lt;=0.6,"Moderado",IF(AL23&lt;=0.8,"Mayor","Catastrófico"))))),"")</f>
        <v/>
      </c>
      <c r="AL23" s="156" t="str">
        <f>IFERROR(IF(AA23="Impacto",(Q23-(+Q23*AD23)),IF(AA23="Probabilidad",Q23,"")),"")</f>
        <v/>
      </c>
      <c r="AM23" s="157" t="str">
        <f>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58"/>
      <c r="AO23" s="176"/>
      <c r="AP23" s="179" t="str">
        <f t="shared" si="8"/>
        <v/>
      </c>
      <c r="AQ23" s="176"/>
      <c r="AR23" s="179" t="str">
        <f t="shared" si="9"/>
        <v/>
      </c>
      <c r="AS23" s="176" t="str">
        <f t="shared" si="10"/>
        <v/>
      </c>
      <c r="AT23" s="179" t="str">
        <f t="shared" si="11"/>
        <v/>
      </c>
      <c r="AU23" s="159"/>
      <c r="AV23" s="161"/>
      <c r="AW23" s="160"/>
      <c r="AX23" s="160"/>
      <c r="AY23" s="234"/>
      <c r="AZ23" s="161"/>
      <c r="BA23" s="164"/>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57"/>
      <c r="B24" s="135"/>
      <c r="C24" s="260"/>
      <c r="D24" s="260"/>
      <c r="E24" s="260"/>
      <c r="F24" s="138"/>
      <c r="G24" s="286"/>
      <c r="H24" s="141"/>
      <c r="I24" s="141"/>
      <c r="J24" s="260"/>
      <c r="K24" s="268"/>
      <c r="L24" s="280"/>
      <c r="M24" s="271"/>
      <c r="N24" s="277"/>
      <c r="O24" s="271">
        <f t="shared" ref="O24:O28" si="25">IF(NOT(ISERROR(MATCH(N24,_xlfn.ANCHORARRAY(G35),0))),M37&amp;"Por favor no seleccionar los criterios de impacto",N24)</f>
        <v>0</v>
      </c>
      <c r="P24" s="280"/>
      <c r="Q24" s="271"/>
      <c r="R24" s="274"/>
      <c r="S24" s="177"/>
      <c r="T24" s="177" t="str">
        <f t="shared" si="0"/>
        <v/>
      </c>
      <c r="U24" s="177"/>
      <c r="V24" s="177" t="str">
        <f t="shared" si="1"/>
        <v/>
      </c>
      <c r="W24" s="177" t="str">
        <f t="shared" si="2"/>
        <v/>
      </c>
      <c r="X24" s="177" t="str">
        <f t="shared" si="3"/>
        <v/>
      </c>
      <c r="Y24" s="120">
        <v>2</v>
      </c>
      <c r="Z24" s="121"/>
      <c r="AA24" s="122" t="str">
        <f>IF(OR(AB24="Preventivo",AB24="Detectivo"),"Probabilidad",IF(AB24="Correctivo","Impacto",""))</f>
        <v/>
      </c>
      <c r="AB24" s="123"/>
      <c r="AC24" s="152"/>
      <c r="AD24" s="153" t="str">
        <f t="shared" ref="AD24:AD28" si="26">IF(AND(AB24="Preventivo",AC24="Automático"),"50%",IF(AND(AB24="Preventivo",AC24="Manual"),"40%",IF(AND(AB24="Detectivo",AC24="Automático"),"40%",IF(AND(AB24="Detectivo",AC24="Manual"),"30%",IF(AND(AB24="Correctivo",AC24="Automático"),"35%",IF(AND(AB24="Correctivo",AC24="Manual"),"25%",""))))))</f>
        <v/>
      </c>
      <c r="AE24" s="152"/>
      <c r="AF24" s="152"/>
      <c r="AG24" s="152"/>
      <c r="AH24" s="154" t="str">
        <f>IFERROR(IF(AND(AA23="Probabilidad",AA24="Probabilidad"),(AJ23-(+AJ23*AD24)),IF(AA24="Probabilidad",(M23-(+M23*AD24)),IF(AA24="Impacto",AJ23,""))),"")</f>
        <v/>
      </c>
      <c r="AI24" s="155" t="str">
        <f t="shared" si="5"/>
        <v/>
      </c>
      <c r="AJ24" s="156" t="str">
        <f t="shared" ref="AJ24:AJ28" si="27">+AH24</f>
        <v/>
      </c>
      <c r="AK24" s="155" t="str">
        <f t="shared" si="12"/>
        <v/>
      </c>
      <c r="AL24" s="156" t="str">
        <f>IFERROR(IF(AND(AA23="Impacto",AA24="Impacto"),(AL23-(+AL23*AD24)),IF(AA24="Impacto",(Q23-(+Q23*AD24)),IF(AA24="Probabilidad",AL23,""))),"")</f>
        <v/>
      </c>
      <c r="AM24" s="157" t="str">
        <f t="shared" ref="AM24:AM25" si="28">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58"/>
      <c r="AO24" s="176"/>
      <c r="AP24" s="179" t="str">
        <f t="shared" si="8"/>
        <v/>
      </c>
      <c r="AQ24" s="176"/>
      <c r="AR24" s="179" t="str">
        <f t="shared" si="9"/>
        <v/>
      </c>
      <c r="AS24" s="176" t="str">
        <f t="shared" si="10"/>
        <v/>
      </c>
      <c r="AT24" s="179" t="str">
        <f t="shared" si="11"/>
        <v/>
      </c>
      <c r="AU24" s="159"/>
      <c r="AV24" s="161"/>
      <c r="AW24" s="160"/>
      <c r="AX24" s="160"/>
      <c r="AY24" s="234"/>
      <c r="AZ24" s="161"/>
      <c r="BA24" s="164"/>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57"/>
      <c r="B25" s="135"/>
      <c r="C25" s="260"/>
      <c r="D25" s="260"/>
      <c r="E25" s="260"/>
      <c r="F25" s="138"/>
      <c r="G25" s="286"/>
      <c r="H25" s="141"/>
      <c r="I25" s="141"/>
      <c r="J25" s="260"/>
      <c r="K25" s="268"/>
      <c r="L25" s="280"/>
      <c r="M25" s="271"/>
      <c r="N25" s="277"/>
      <c r="O25" s="271">
        <f t="shared" si="25"/>
        <v>0</v>
      </c>
      <c r="P25" s="280"/>
      <c r="Q25" s="271"/>
      <c r="R25" s="274"/>
      <c r="S25" s="177"/>
      <c r="T25" s="177" t="str">
        <f t="shared" si="0"/>
        <v/>
      </c>
      <c r="U25" s="177"/>
      <c r="V25" s="177" t="str">
        <f t="shared" si="1"/>
        <v/>
      </c>
      <c r="W25" s="177" t="str">
        <f t="shared" si="2"/>
        <v/>
      </c>
      <c r="X25" s="177" t="str">
        <f t="shared" si="3"/>
        <v/>
      </c>
      <c r="Y25" s="120">
        <v>3</v>
      </c>
      <c r="Z25" s="133"/>
      <c r="AA25" s="122" t="str">
        <f>IF(OR(AB25="Preventivo",AB25="Detectivo"),"Probabilidad",IF(AB25="Correctivo","Impacto",""))</f>
        <v/>
      </c>
      <c r="AB25" s="123"/>
      <c r="AC25" s="152"/>
      <c r="AD25" s="153" t="str">
        <f t="shared" si="26"/>
        <v/>
      </c>
      <c r="AE25" s="152"/>
      <c r="AF25" s="152"/>
      <c r="AG25" s="152"/>
      <c r="AH25" s="154" t="str">
        <f>IFERROR(IF(AND(AA24="Probabilidad",AA25="Probabilidad"),(AJ24-(+AJ24*AD25)),IF(AND(AA24="Impacto",AA25="Probabilidad"),(AJ23-(+AJ23*AD25)),IF(AA25="Impacto",AJ24,""))),"")</f>
        <v/>
      </c>
      <c r="AI25" s="155" t="str">
        <f t="shared" si="5"/>
        <v/>
      </c>
      <c r="AJ25" s="156" t="str">
        <f t="shared" si="27"/>
        <v/>
      </c>
      <c r="AK25" s="155" t="str">
        <f t="shared" si="12"/>
        <v/>
      </c>
      <c r="AL25" s="156" t="str">
        <f>IFERROR(IF(AND(AA24="Impacto",AA25="Impacto"),(AL24-(+AL24*AD25)),IF(AND(AA24="Probabilidad",AA25="Impacto"),(AL23-(+AL23*AD25)),IF(AA25="Probabilidad",AL24,""))),"")</f>
        <v/>
      </c>
      <c r="AM25" s="157" t="str">
        <f t="shared" si="28"/>
        <v/>
      </c>
      <c r="AN25" s="158"/>
      <c r="AO25" s="176"/>
      <c r="AP25" s="179" t="str">
        <f t="shared" si="8"/>
        <v/>
      </c>
      <c r="AQ25" s="176"/>
      <c r="AR25" s="179" t="str">
        <f t="shared" si="9"/>
        <v/>
      </c>
      <c r="AS25" s="176" t="str">
        <f t="shared" si="10"/>
        <v/>
      </c>
      <c r="AT25" s="179" t="str">
        <f t="shared" si="11"/>
        <v/>
      </c>
      <c r="AU25" s="159"/>
      <c r="AV25" s="161"/>
      <c r="AW25" s="160"/>
      <c r="AX25" s="160"/>
      <c r="AY25" s="234"/>
      <c r="AZ25" s="161"/>
      <c r="BA25" s="164"/>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57"/>
      <c r="B26" s="135"/>
      <c r="C26" s="260"/>
      <c r="D26" s="260"/>
      <c r="E26" s="260"/>
      <c r="F26" s="138"/>
      <c r="G26" s="286"/>
      <c r="H26" s="141"/>
      <c r="I26" s="141"/>
      <c r="J26" s="260"/>
      <c r="K26" s="268"/>
      <c r="L26" s="280"/>
      <c r="M26" s="271"/>
      <c r="N26" s="277"/>
      <c r="O26" s="271">
        <f t="shared" si="25"/>
        <v>0</v>
      </c>
      <c r="P26" s="280"/>
      <c r="Q26" s="271"/>
      <c r="R26" s="274"/>
      <c r="S26" s="177"/>
      <c r="T26" s="177" t="str">
        <f t="shared" si="0"/>
        <v/>
      </c>
      <c r="U26" s="177"/>
      <c r="V26" s="177" t="str">
        <f t="shared" si="1"/>
        <v/>
      </c>
      <c r="W26" s="177" t="str">
        <f t="shared" si="2"/>
        <v/>
      </c>
      <c r="X26" s="177" t="str">
        <f t="shared" si="3"/>
        <v/>
      </c>
      <c r="Y26" s="120">
        <v>4</v>
      </c>
      <c r="Z26" s="121"/>
      <c r="AA26" s="122" t="str">
        <f t="shared" ref="AA26:AA28" si="29">IF(OR(AB26="Preventivo",AB26="Detectivo"),"Probabilidad",IF(AB26="Correctivo","Impacto",""))</f>
        <v/>
      </c>
      <c r="AB26" s="123"/>
      <c r="AC26" s="152"/>
      <c r="AD26" s="153" t="str">
        <f t="shared" si="26"/>
        <v/>
      </c>
      <c r="AE26" s="152"/>
      <c r="AF26" s="152"/>
      <c r="AG26" s="152"/>
      <c r="AH26" s="154" t="str">
        <f t="shared" ref="AH26:AH28" si="30">IFERROR(IF(AND(AA25="Probabilidad",AA26="Probabilidad"),(AJ25-(+AJ25*AD26)),IF(AND(AA25="Impacto",AA26="Probabilidad"),(AJ24-(+AJ24*AD26)),IF(AA26="Impacto",AJ25,""))),"")</f>
        <v/>
      </c>
      <c r="AI26" s="155" t="str">
        <f t="shared" si="5"/>
        <v/>
      </c>
      <c r="AJ26" s="156" t="str">
        <f t="shared" si="27"/>
        <v/>
      </c>
      <c r="AK26" s="155" t="str">
        <f t="shared" si="12"/>
        <v/>
      </c>
      <c r="AL26" s="156" t="str">
        <f t="shared" ref="AL26:AL28" si="31">IFERROR(IF(AND(AA25="Impacto",AA26="Impacto"),(AL25-(+AL25*AD26)),IF(AND(AA25="Probabilidad",AA26="Impacto"),(AL24-(+AL24*AD26)),IF(AA26="Probabilidad",AL25,""))),"")</f>
        <v/>
      </c>
      <c r="AM26" s="157" t="str">
        <f>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58"/>
      <c r="AO26" s="176"/>
      <c r="AP26" s="179" t="str">
        <f t="shared" si="8"/>
        <v/>
      </c>
      <c r="AQ26" s="176"/>
      <c r="AR26" s="179" t="str">
        <f t="shared" si="9"/>
        <v/>
      </c>
      <c r="AS26" s="176" t="str">
        <f t="shared" si="10"/>
        <v/>
      </c>
      <c r="AT26" s="179" t="str">
        <f t="shared" si="11"/>
        <v/>
      </c>
      <c r="AU26" s="159"/>
      <c r="AV26" s="161"/>
      <c r="AW26" s="160"/>
      <c r="AX26" s="160"/>
      <c r="AY26" s="234"/>
      <c r="AZ26" s="161"/>
      <c r="BA26" s="164"/>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57"/>
      <c r="B27" s="135"/>
      <c r="C27" s="260"/>
      <c r="D27" s="260"/>
      <c r="E27" s="260"/>
      <c r="F27" s="138"/>
      <c r="G27" s="286"/>
      <c r="H27" s="141"/>
      <c r="I27" s="141"/>
      <c r="J27" s="260"/>
      <c r="K27" s="268"/>
      <c r="L27" s="280"/>
      <c r="M27" s="271"/>
      <c r="N27" s="277"/>
      <c r="O27" s="271">
        <f t="shared" si="25"/>
        <v>0</v>
      </c>
      <c r="P27" s="280"/>
      <c r="Q27" s="271"/>
      <c r="R27" s="274"/>
      <c r="S27" s="177"/>
      <c r="T27" s="177" t="str">
        <f t="shared" si="0"/>
        <v/>
      </c>
      <c r="U27" s="177"/>
      <c r="V27" s="177" t="str">
        <f t="shared" si="1"/>
        <v/>
      </c>
      <c r="W27" s="177" t="str">
        <f t="shared" si="2"/>
        <v/>
      </c>
      <c r="X27" s="177" t="str">
        <f t="shared" si="3"/>
        <v/>
      </c>
      <c r="Y27" s="120">
        <v>5</v>
      </c>
      <c r="Z27" s="121"/>
      <c r="AA27" s="122" t="str">
        <f t="shared" si="29"/>
        <v/>
      </c>
      <c r="AB27" s="123"/>
      <c r="AC27" s="152"/>
      <c r="AD27" s="153" t="str">
        <f t="shared" si="26"/>
        <v/>
      </c>
      <c r="AE27" s="152"/>
      <c r="AF27" s="152"/>
      <c r="AG27" s="152"/>
      <c r="AH27" s="163" t="str">
        <f t="shared" si="30"/>
        <v/>
      </c>
      <c r="AI27" s="155" t="str">
        <f>IFERROR(IF(AH27="","",IF(AH27&lt;=0.2,"Muy Baja",IF(AH27&lt;=0.4,"Baja",IF(AH27&lt;=0.6,"Media",IF(AH27&lt;=0.8,"Alta","Muy Alta"))))),"")</f>
        <v/>
      </c>
      <c r="AJ27" s="156" t="str">
        <f t="shared" si="27"/>
        <v/>
      </c>
      <c r="AK27" s="155" t="str">
        <f t="shared" si="12"/>
        <v/>
      </c>
      <c r="AL27" s="156" t="str">
        <f t="shared" si="31"/>
        <v/>
      </c>
      <c r="AM27" s="157" t="str">
        <f t="shared" ref="AM27:AM28" si="32">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58"/>
      <c r="AO27" s="176"/>
      <c r="AP27" s="179" t="str">
        <f t="shared" si="8"/>
        <v/>
      </c>
      <c r="AQ27" s="176"/>
      <c r="AR27" s="179" t="str">
        <f t="shared" si="9"/>
        <v/>
      </c>
      <c r="AS27" s="176" t="str">
        <f t="shared" si="10"/>
        <v/>
      </c>
      <c r="AT27" s="179" t="str">
        <f t="shared" si="11"/>
        <v/>
      </c>
      <c r="AU27" s="159"/>
      <c r="AV27" s="161"/>
      <c r="AW27" s="160"/>
      <c r="AX27" s="160"/>
      <c r="AY27" s="234"/>
      <c r="AZ27" s="161"/>
      <c r="BA27" s="164"/>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58"/>
      <c r="B28" s="136"/>
      <c r="C28" s="261"/>
      <c r="D28" s="261"/>
      <c r="E28" s="261"/>
      <c r="F28" s="139"/>
      <c r="G28" s="287"/>
      <c r="H28" s="142"/>
      <c r="I28" s="142"/>
      <c r="J28" s="261"/>
      <c r="K28" s="269"/>
      <c r="L28" s="281"/>
      <c r="M28" s="272"/>
      <c r="N28" s="278"/>
      <c r="O28" s="272">
        <f t="shared" si="25"/>
        <v>0</v>
      </c>
      <c r="P28" s="281"/>
      <c r="Q28" s="272"/>
      <c r="R28" s="275"/>
      <c r="S28" s="177"/>
      <c r="T28" s="177" t="str">
        <f t="shared" si="0"/>
        <v/>
      </c>
      <c r="U28" s="177"/>
      <c r="V28" s="177" t="str">
        <f t="shared" si="1"/>
        <v/>
      </c>
      <c r="W28" s="177" t="str">
        <f t="shared" si="2"/>
        <v/>
      </c>
      <c r="X28" s="177" t="str">
        <f t="shared" si="3"/>
        <v/>
      </c>
      <c r="Y28" s="120">
        <v>6</v>
      </c>
      <c r="Z28" s="121"/>
      <c r="AA28" s="122" t="str">
        <f t="shared" si="29"/>
        <v/>
      </c>
      <c r="AB28" s="123"/>
      <c r="AC28" s="152"/>
      <c r="AD28" s="153" t="str">
        <f t="shared" si="26"/>
        <v/>
      </c>
      <c r="AE28" s="152"/>
      <c r="AF28" s="152"/>
      <c r="AG28" s="152"/>
      <c r="AH28" s="154" t="str">
        <f t="shared" si="30"/>
        <v/>
      </c>
      <c r="AI28" s="155" t="str">
        <f t="shared" si="5"/>
        <v/>
      </c>
      <c r="AJ28" s="156" t="str">
        <f t="shared" si="27"/>
        <v/>
      </c>
      <c r="AK28" s="155" t="str">
        <f t="shared" si="12"/>
        <v/>
      </c>
      <c r="AL28" s="156" t="str">
        <f t="shared" si="31"/>
        <v/>
      </c>
      <c r="AM28" s="157" t="str">
        <f t="shared" si="32"/>
        <v/>
      </c>
      <c r="AN28" s="158"/>
      <c r="AO28" s="176"/>
      <c r="AP28" s="179" t="str">
        <f t="shared" si="8"/>
        <v/>
      </c>
      <c r="AQ28" s="176"/>
      <c r="AR28" s="179" t="str">
        <f t="shared" si="9"/>
        <v/>
      </c>
      <c r="AS28" s="176" t="str">
        <f t="shared" si="10"/>
        <v/>
      </c>
      <c r="AT28" s="179" t="str">
        <f t="shared" si="11"/>
        <v/>
      </c>
      <c r="AU28" s="159"/>
      <c r="AV28" s="161"/>
      <c r="AW28" s="160"/>
      <c r="AX28" s="160"/>
      <c r="AY28" s="234"/>
      <c r="AZ28" s="161"/>
      <c r="BA28" s="164"/>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56">
        <v>5</v>
      </c>
      <c r="B29" s="134"/>
      <c r="C29" s="259"/>
      <c r="D29" s="259"/>
      <c r="E29" s="259"/>
      <c r="F29" s="137"/>
      <c r="G29" s="285"/>
      <c r="H29" s="140"/>
      <c r="I29" s="140"/>
      <c r="J29" s="259"/>
      <c r="K29" s="267"/>
      <c r="L29" s="279" t="str">
        <f>IF(K29&lt;=0,"",IF(K29&lt;=2,"Muy Baja",IF(K29&lt;=24,"Baja",IF(K29&lt;=500,"Media",IF(K29&lt;=5000,"Alta","Muy Alta")))))</f>
        <v/>
      </c>
      <c r="M29" s="270" t="str">
        <f>IF(L29="","",IF(L29="Muy Baja",0.2,IF(L29="Baja",0.4,IF(L29="Media",0.6,IF(L29="Alta",0.8,IF(L29="Muy Alta",1,))))))</f>
        <v/>
      </c>
      <c r="N29" s="276"/>
      <c r="O29" s="270">
        <f>IF(NOT(ISERROR(MATCH(N29,'Tabla Impacto'!$B$221:$B$223,0))),'Tabla Impacto'!$F$223&amp;"Por favor no seleccionar los criterios de impacto(Afectación Económica o presupuestal y Pérdida Reputacional)",N29)</f>
        <v>0</v>
      </c>
      <c r="P29" s="279" t="str">
        <f>IF(OR(O29='Tabla Impacto'!$C$11,O29='Tabla Impacto'!$D$11),"Leve",IF(OR(O29='Tabla Impacto'!$C$12,O29='Tabla Impacto'!$D$12),"Menor",IF(OR(O29='Tabla Impacto'!$C$13,O29='Tabla Impacto'!$D$13),"Moderado",IF(OR(O29='Tabla Impacto'!$C$14,O29='Tabla Impacto'!$D$14),"Mayor",IF(OR(O29='Tabla Impacto'!$C$15,O29='Tabla Impacto'!$D$15),"Catastrófico","")))))</f>
        <v/>
      </c>
      <c r="Q29" s="270" t="str">
        <f>IF(P29="","",IF(P29="Leve",0.2,IF(P29="Menor",0.4,IF(P29="Moderado",0.6,IF(P29="Mayor",0.8,IF(P29="Catastrófico",1,))))))</f>
        <v/>
      </c>
      <c r="R29" s="273" t="str">
        <f>IF(OR(AND(L29="Muy Baja",P29="Leve"),AND(L29="Muy Baja",P29="Menor"),AND(L29="Baja",P29="Leve")),"Bajo",IF(OR(AND(L29="Muy baja",P29="Moderado"),AND(L29="Baja",P29="Menor"),AND(L29="Baja",P29="Moderado"),AND(L29="Media",P29="Leve"),AND(L29="Media",P29="Menor"),AND(L29="Media",P29="Moderado"),AND(L29="Alta",P29="Leve"),AND(L29="Alta",P29="Menor")),"Moderado",IF(OR(AND(L29="Muy Baja",P29="Mayor"),AND(L29="Baja",P29="Mayor"),AND(L29="Media",P29="Mayor"),AND(L29="Alta",P29="Moderado"),AND(L29="Alta",P29="Mayor"),AND(L29="Muy Alta",P29="Leve"),AND(L29="Muy Alta",P29="Menor"),AND(L29="Muy Alta",P29="Moderado"),AND(L29="Muy Alta",P29="Mayor")),"Alto",IF(OR(AND(L29="Muy Baja",P29="Catastrófico"),AND(L29="Baja",P29="Catastrófico"),AND(L29="Media",P29="Catastrófico"),AND(L29="Alta",P29="Catastrófico"),AND(L29="Muy Alta",P29="Catastrófico")),"Extremo",""))))</f>
        <v/>
      </c>
      <c r="S29" s="177"/>
      <c r="T29" s="177" t="str">
        <f t="shared" si="0"/>
        <v/>
      </c>
      <c r="U29" s="177"/>
      <c r="V29" s="177" t="str">
        <f t="shared" si="1"/>
        <v/>
      </c>
      <c r="W29" s="177" t="str">
        <f t="shared" si="2"/>
        <v/>
      </c>
      <c r="X29" s="177" t="str">
        <f t="shared" si="3"/>
        <v/>
      </c>
      <c r="Y29" s="120">
        <v>1</v>
      </c>
      <c r="Z29" s="121"/>
      <c r="AA29" s="122" t="str">
        <f>IF(OR(AB29="Preventivo",AB29="Detectivo"),"Probabilidad",IF(AB29="Correctivo","Impacto",""))</f>
        <v/>
      </c>
      <c r="AB29" s="123"/>
      <c r="AC29" s="152"/>
      <c r="AD29" s="153" t="str">
        <f>IF(AND(AB29="Preventivo",AC29="Automático"),"50%",IF(AND(AB29="Preventivo",AC29="Manual"),"40%",IF(AND(AB29="Detectivo",AC29="Automático"),"40%",IF(AND(AB29="Detectivo",AC29="Manual"),"30%",IF(AND(AB29="Correctivo",AC29="Automático"),"35%",IF(AND(AB29="Correctivo",AC29="Manual"),"25%",""))))))</f>
        <v/>
      </c>
      <c r="AE29" s="152"/>
      <c r="AF29" s="152"/>
      <c r="AG29" s="152"/>
      <c r="AH29" s="154" t="str">
        <f>IFERROR(IF(AA29="Probabilidad",(M29-(+M29*AD29)),IF(AA29="Impacto",M29,"")),"")</f>
        <v/>
      </c>
      <c r="AI29" s="155" t="str">
        <f>IFERROR(IF(AH29="","",IF(AH29&lt;=0.2,"Muy Baja",IF(AH29&lt;=0.4,"Baja",IF(AH29&lt;=0.6,"Media",IF(AH29&lt;=0.8,"Alta","Muy Alta"))))),"")</f>
        <v/>
      </c>
      <c r="AJ29" s="156" t="str">
        <f>+AH29</f>
        <v/>
      </c>
      <c r="AK29" s="155" t="str">
        <f>IFERROR(IF(AL29="","",IF(AL29&lt;=0.2,"Leve",IF(AL29&lt;=0.4,"Menor",IF(AL29&lt;=0.6,"Moderado",IF(AL29&lt;=0.8,"Mayor","Catastrófico"))))),"")</f>
        <v/>
      </c>
      <c r="AL29" s="156" t="str">
        <f>IFERROR(IF(AA29="Impacto",(Q29-(+Q29*AD29)),IF(AA29="Probabilidad",Q29,"")),"")</f>
        <v/>
      </c>
      <c r="AM29" s="157" t="str">
        <f>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58"/>
      <c r="AO29" s="176"/>
      <c r="AP29" s="179" t="str">
        <f t="shared" si="8"/>
        <v/>
      </c>
      <c r="AQ29" s="176"/>
      <c r="AR29" s="179" t="str">
        <f t="shared" si="9"/>
        <v/>
      </c>
      <c r="AS29" s="176" t="str">
        <f t="shared" si="10"/>
        <v/>
      </c>
      <c r="AT29" s="179" t="str">
        <f t="shared" si="11"/>
        <v/>
      </c>
      <c r="AU29" s="159"/>
      <c r="AV29" s="161"/>
      <c r="AW29" s="160"/>
      <c r="AX29" s="160"/>
      <c r="AY29" s="234"/>
      <c r="AZ29" s="161"/>
      <c r="BA29" s="164"/>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57"/>
      <c r="B30" s="135"/>
      <c r="C30" s="260"/>
      <c r="D30" s="260"/>
      <c r="E30" s="260"/>
      <c r="F30" s="138"/>
      <c r="G30" s="286"/>
      <c r="H30" s="141"/>
      <c r="I30" s="141"/>
      <c r="J30" s="260"/>
      <c r="K30" s="268"/>
      <c r="L30" s="280"/>
      <c r="M30" s="271"/>
      <c r="N30" s="277"/>
      <c r="O30" s="271">
        <f t="shared" ref="O30:O34" si="33">IF(NOT(ISERROR(MATCH(N30,_xlfn.ANCHORARRAY(G41),0))),M43&amp;"Por favor no seleccionar los criterios de impacto",N30)</f>
        <v>0</v>
      </c>
      <c r="P30" s="280"/>
      <c r="Q30" s="271"/>
      <c r="R30" s="274"/>
      <c r="S30" s="177"/>
      <c r="T30" s="177" t="str">
        <f t="shared" si="0"/>
        <v/>
      </c>
      <c r="U30" s="177"/>
      <c r="V30" s="177" t="str">
        <f t="shared" si="1"/>
        <v/>
      </c>
      <c r="W30" s="177" t="str">
        <f t="shared" si="2"/>
        <v/>
      </c>
      <c r="X30" s="177" t="str">
        <f t="shared" si="3"/>
        <v/>
      </c>
      <c r="Y30" s="120">
        <v>2</v>
      </c>
      <c r="Z30" s="121"/>
      <c r="AA30" s="122" t="str">
        <f>IF(OR(AB30="Preventivo",AB30="Detectivo"),"Probabilidad",IF(AB30="Correctivo","Impacto",""))</f>
        <v/>
      </c>
      <c r="AB30" s="123"/>
      <c r="AC30" s="152"/>
      <c r="AD30" s="153" t="str">
        <f t="shared" ref="AD30:AD34" si="34">IF(AND(AB30="Preventivo",AC30="Automático"),"50%",IF(AND(AB30="Preventivo",AC30="Manual"),"40%",IF(AND(AB30="Detectivo",AC30="Automático"),"40%",IF(AND(AB30="Detectivo",AC30="Manual"),"30%",IF(AND(AB30="Correctivo",AC30="Automático"),"35%",IF(AND(AB30="Correctivo",AC30="Manual"),"25%",""))))))</f>
        <v/>
      </c>
      <c r="AE30" s="152"/>
      <c r="AF30" s="152"/>
      <c r="AG30" s="152"/>
      <c r="AH30" s="154" t="str">
        <f>IFERROR(IF(AND(AA29="Probabilidad",AA30="Probabilidad"),(AJ29-(+AJ29*AD30)),IF(AA30="Probabilidad",(M29-(+M29*AD30)),IF(AA30="Impacto",AJ29,""))),"")</f>
        <v/>
      </c>
      <c r="AI30" s="155" t="str">
        <f t="shared" si="5"/>
        <v/>
      </c>
      <c r="AJ30" s="156" t="str">
        <f t="shared" ref="AJ30:AJ34" si="35">+AH30</f>
        <v/>
      </c>
      <c r="AK30" s="155" t="str">
        <f t="shared" si="12"/>
        <v/>
      </c>
      <c r="AL30" s="156" t="str">
        <f>IFERROR(IF(AND(AA29="Impacto",AA30="Impacto"),(AL29-(+AL29*AD30)),IF(AA30="Impacto",(Q29-(+Q29*AD30)),IF(AA30="Probabilidad",AL29,""))),"")</f>
        <v/>
      </c>
      <c r="AM30" s="157" t="str">
        <f t="shared" ref="AM30:AM31" si="36">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58"/>
      <c r="AO30" s="176"/>
      <c r="AP30" s="179" t="str">
        <f t="shared" si="8"/>
        <v/>
      </c>
      <c r="AQ30" s="176"/>
      <c r="AR30" s="179" t="str">
        <f t="shared" si="9"/>
        <v/>
      </c>
      <c r="AS30" s="176" t="str">
        <f t="shared" si="10"/>
        <v/>
      </c>
      <c r="AT30" s="179" t="str">
        <f t="shared" si="11"/>
        <v/>
      </c>
      <c r="AU30" s="159"/>
      <c r="AV30" s="161"/>
      <c r="AW30" s="160"/>
      <c r="AX30" s="160"/>
      <c r="AY30" s="234"/>
      <c r="AZ30" s="161"/>
      <c r="BA30" s="164"/>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57"/>
      <c r="B31" s="135"/>
      <c r="C31" s="260"/>
      <c r="D31" s="260"/>
      <c r="E31" s="260"/>
      <c r="F31" s="138"/>
      <c r="G31" s="286"/>
      <c r="H31" s="141"/>
      <c r="I31" s="141"/>
      <c r="J31" s="260"/>
      <c r="K31" s="268"/>
      <c r="L31" s="280"/>
      <c r="M31" s="271"/>
      <c r="N31" s="277"/>
      <c r="O31" s="271">
        <f t="shared" si="33"/>
        <v>0</v>
      </c>
      <c r="P31" s="280"/>
      <c r="Q31" s="271"/>
      <c r="R31" s="274"/>
      <c r="S31" s="177"/>
      <c r="T31" s="177" t="str">
        <f t="shared" si="0"/>
        <v/>
      </c>
      <c r="U31" s="177"/>
      <c r="V31" s="177" t="str">
        <f t="shared" si="1"/>
        <v/>
      </c>
      <c r="W31" s="177" t="str">
        <f t="shared" si="2"/>
        <v/>
      </c>
      <c r="X31" s="177" t="str">
        <f t="shared" si="3"/>
        <v/>
      </c>
      <c r="Y31" s="120">
        <v>3</v>
      </c>
      <c r="Z31" s="133"/>
      <c r="AA31" s="122" t="str">
        <f>IF(OR(AB31="Preventivo",AB31="Detectivo"),"Probabilidad",IF(AB31="Correctivo","Impacto",""))</f>
        <v/>
      </c>
      <c r="AB31" s="123"/>
      <c r="AC31" s="152"/>
      <c r="AD31" s="153" t="str">
        <f t="shared" si="34"/>
        <v/>
      </c>
      <c r="AE31" s="152"/>
      <c r="AF31" s="152"/>
      <c r="AG31" s="152"/>
      <c r="AH31" s="154" t="str">
        <f>IFERROR(IF(AND(AA30="Probabilidad",AA31="Probabilidad"),(AJ30-(+AJ30*AD31)),IF(AND(AA30="Impacto",AA31="Probabilidad"),(AJ29-(+AJ29*AD31)),IF(AA31="Impacto",AJ30,""))),"")</f>
        <v/>
      </c>
      <c r="AI31" s="155" t="str">
        <f t="shared" si="5"/>
        <v/>
      </c>
      <c r="AJ31" s="156" t="str">
        <f t="shared" si="35"/>
        <v/>
      </c>
      <c r="AK31" s="155" t="str">
        <f t="shared" si="12"/>
        <v/>
      </c>
      <c r="AL31" s="156" t="str">
        <f>IFERROR(IF(AND(AA30="Impacto",AA31="Impacto"),(AL30-(+AL30*AD31)),IF(AND(AA30="Probabilidad",AA31="Impacto"),(AL29-(+AL29*AD31)),IF(AA31="Probabilidad",AL30,""))),"")</f>
        <v/>
      </c>
      <c r="AM31" s="157" t="str">
        <f t="shared" si="36"/>
        <v/>
      </c>
      <c r="AN31" s="158"/>
      <c r="AO31" s="176"/>
      <c r="AP31" s="179" t="str">
        <f t="shared" si="8"/>
        <v/>
      </c>
      <c r="AQ31" s="176"/>
      <c r="AR31" s="179" t="str">
        <f t="shared" si="9"/>
        <v/>
      </c>
      <c r="AS31" s="176" t="str">
        <f t="shared" si="10"/>
        <v/>
      </c>
      <c r="AT31" s="179" t="str">
        <f t="shared" si="11"/>
        <v/>
      </c>
      <c r="AU31" s="159"/>
      <c r="AV31" s="161"/>
      <c r="AW31" s="160"/>
      <c r="AX31" s="160"/>
      <c r="AY31" s="234"/>
      <c r="AZ31" s="161"/>
      <c r="BA31" s="164"/>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57"/>
      <c r="B32" s="135"/>
      <c r="C32" s="260"/>
      <c r="D32" s="260"/>
      <c r="E32" s="260"/>
      <c r="F32" s="138"/>
      <c r="G32" s="286"/>
      <c r="H32" s="141"/>
      <c r="I32" s="141"/>
      <c r="J32" s="260"/>
      <c r="K32" s="268"/>
      <c r="L32" s="280"/>
      <c r="M32" s="271"/>
      <c r="N32" s="277"/>
      <c r="O32" s="271">
        <f t="shared" si="33"/>
        <v>0</v>
      </c>
      <c r="P32" s="280"/>
      <c r="Q32" s="271"/>
      <c r="R32" s="274"/>
      <c r="S32" s="177"/>
      <c r="T32" s="177" t="str">
        <f t="shared" si="0"/>
        <v/>
      </c>
      <c r="U32" s="177"/>
      <c r="V32" s="177" t="str">
        <f t="shared" si="1"/>
        <v/>
      </c>
      <c r="W32" s="177" t="str">
        <f t="shared" si="2"/>
        <v/>
      </c>
      <c r="X32" s="177" t="str">
        <f t="shared" si="3"/>
        <v/>
      </c>
      <c r="Y32" s="120">
        <v>4</v>
      </c>
      <c r="Z32" s="121"/>
      <c r="AA32" s="122" t="str">
        <f t="shared" ref="AA32:AA34" si="37">IF(OR(AB32="Preventivo",AB32="Detectivo"),"Probabilidad",IF(AB32="Correctivo","Impacto",""))</f>
        <v/>
      </c>
      <c r="AB32" s="123"/>
      <c r="AC32" s="152"/>
      <c r="AD32" s="153" t="str">
        <f t="shared" si="34"/>
        <v/>
      </c>
      <c r="AE32" s="152"/>
      <c r="AF32" s="152"/>
      <c r="AG32" s="152"/>
      <c r="AH32" s="154" t="str">
        <f t="shared" ref="AH32:AH34" si="38">IFERROR(IF(AND(AA31="Probabilidad",AA32="Probabilidad"),(AJ31-(+AJ31*AD32)),IF(AND(AA31="Impacto",AA32="Probabilidad"),(AJ30-(+AJ30*AD32)),IF(AA32="Impacto",AJ31,""))),"")</f>
        <v/>
      </c>
      <c r="AI32" s="155" t="str">
        <f t="shared" si="5"/>
        <v/>
      </c>
      <c r="AJ32" s="156" t="str">
        <f t="shared" si="35"/>
        <v/>
      </c>
      <c r="AK32" s="155" t="str">
        <f t="shared" si="12"/>
        <v/>
      </c>
      <c r="AL32" s="156" t="str">
        <f t="shared" ref="AL32:AL34" si="39">IFERROR(IF(AND(AA31="Impacto",AA32="Impacto"),(AL31-(+AL31*AD32)),IF(AND(AA31="Probabilidad",AA32="Impacto"),(AL30-(+AL30*AD32)),IF(AA32="Probabilidad",AL31,""))),"")</f>
        <v/>
      </c>
      <c r="AM32" s="157" t="str">
        <f>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58"/>
      <c r="AO32" s="129"/>
      <c r="AP32" s="129"/>
      <c r="AQ32" s="129"/>
      <c r="AR32" s="129"/>
      <c r="AS32" s="129"/>
      <c r="AT32" s="129"/>
      <c r="AU32" s="159"/>
      <c r="AV32" s="161"/>
      <c r="AW32" s="160"/>
      <c r="AX32" s="160"/>
      <c r="AY32" s="234"/>
      <c r="AZ32" s="161"/>
      <c r="BA32" s="164"/>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57"/>
      <c r="B33" s="135"/>
      <c r="C33" s="260"/>
      <c r="D33" s="260"/>
      <c r="E33" s="260"/>
      <c r="F33" s="138"/>
      <c r="G33" s="286"/>
      <c r="H33" s="141"/>
      <c r="I33" s="141"/>
      <c r="J33" s="260"/>
      <c r="K33" s="268"/>
      <c r="L33" s="280"/>
      <c r="M33" s="271"/>
      <c r="N33" s="277"/>
      <c r="O33" s="271">
        <f t="shared" si="33"/>
        <v>0</v>
      </c>
      <c r="P33" s="280"/>
      <c r="Q33" s="271"/>
      <c r="R33" s="274"/>
      <c r="S33" s="177"/>
      <c r="T33" s="177" t="str">
        <f t="shared" si="0"/>
        <v/>
      </c>
      <c r="U33" s="177"/>
      <c r="V33" s="177" t="str">
        <f t="shared" si="1"/>
        <v/>
      </c>
      <c r="W33" s="177" t="str">
        <f t="shared" si="2"/>
        <v/>
      </c>
      <c r="X33" s="177" t="str">
        <f t="shared" si="3"/>
        <v/>
      </c>
      <c r="Y33" s="120">
        <v>5</v>
      </c>
      <c r="Z33" s="121"/>
      <c r="AA33" s="122" t="str">
        <f t="shared" si="37"/>
        <v/>
      </c>
      <c r="AB33" s="123"/>
      <c r="AC33" s="152"/>
      <c r="AD33" s="153" t="str">
        <f t="shared" si="34"/>
        <v/>
      </c>
      <c r="AE33" s="152"/>
      <c r="AF33" s="152"/>
      <c r="AG33" s="152"/>
      <c r="AH33" s="154" t="str">
        <f t="shared" si="38"/>
        <v/>
      </c>
      <c r="AI33" s="155" t="str">
        <f t="shared" si="5"/>
        <v/>
      </c>
      <c r="AJ33" s="156" t="str">
        <f t="shared" si="35"/>
        <v/>
      </c>
      <c r="AK33" s="155" t="str">
        <f t="shared" si="12"/>
        <v/>
      </c>
      <c r="AL33" s="156" t="str">
        <f t="shared" si="39"/>
        <v/>
      </c>
      <c r="AM33" s="157" t="str">
        <f t="shared" ref="AM33:AM34" si="40">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58"/>
      <c r="AO33" s="129"/>
      <c r="AP33" s="129"/>
      <c r="AQ33" s="129"/>
      <c r="AR33" s="129"/>
      <c r="AS33" s="129"/>
      <c r="AT33" s="129"/>
      <c r="AU33" s="159"/>
      <c r="AV33" s="161"/>
      <c r="AW33" s="160"/>
      <c r="AX33" s="160"/>
      <c r="AY33" s="234"/>
      <c r="AZ33" s="161"/>
      <c r="BA33" s="164"/>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58"/>
      <c r="B34" s="136"/>
      <c r="C34" s="261"/>
      <c r="D34" s="261"/>
      <c r="E34" s="261"/>
      <c r="F34" s="139"/>
      <c r="G34" s="287"/>
      <c r="H34" s="142"/>
      <c r="I34" s="142"/>
      <c r="J34" s="261"/>
      <c r="K34" s="269"/>
      <c r="L34" s="281"/>
      <c r="M34" s="272"/>
      <c r="N34" s="278"/>
      <c r="O34" s="272">
        <f t="shared" si="33"/>
        <v>0</v>
      </c>
      <c r="P34" s="281"/>
      <c r="Q34" s="272"/>
      <c r="R34" s="275"/>
      <c r="S34" s="177"/>
      <c r="T34" s="177" t="str">
        <f t="shared" si="0"/>
        <v/>
      </c>
      <c r="U34" s="177"/>
      <c r="V34" s="177" t="str">
        <f t="shared" si="1"/>
        <v/>
      </c>
      <c r="W34" s="177" t="str">
        <f t="shared" si="2"/>
        <v/>
      </c>
      <c r="X34" s="177" t="str">
        <f t="shared" si="3"/>
        <v/>
      </c>
      <c r="Y34" s="120">
        <v>6</v>
      </c>
      <c r="Z34" s="121"/>
      <c r="AA34" s="122" t="str">
        <f t="shared" si="37"/>
        <v/>
      </c>
      <c r="AB34" s="123"/>
      <c r="AC34" s="123"/>
      <c r="AD34" s="124" t="str">
        <f t="shared" si="34"/>
        <v/>
      </c>
      <c r="AE34" s="123"/>
      <c r="AF34" s="123"/>
      <c r="AG34" s="123"/>
      <c r="AH34" s="125" t="str">
        <f t="shared" si="38"/>
        <v/>
      </c>
      <c r="AI34" s="126" t="str">
        <f t="shared" si="5"/>
        <v/>
      </c>
      <c r="AJ34" s="127" t="str">
        <f t="shared" si="35"/>
        <v/>
      </c>
      <c r="AK34" s="126" t="str">
        <f t="shared" si="12"/>
        <v/>
      </c>
      <c r="AL34" s="127" t="str">
        <f t="shared" si="39"/>
        <v/>
      </c>
      <c r="AM34" s="128" t="str">
        <f t="shared" si="40"/>
        <v/>
      </c>
      <c r="AN34" s="129"/>
      <c r="AO34" s="129"/>
      <c r="AP34" s="129"/>
      <c r="AQ34" s="129"/>
      <c r="AR34" s="129"/>
      <c r="AS34" s="129"/>
      <c r="AT34" s="129"/>
      <c r="AU34" s="130"/>
      <c r="AV34" s="131"/>
      <c r="AW34" s="132"/>
      <c r="AX34" s="132"/>
      <c r="AY34" s="234"/>
      <c r="AZ34" s="131"/>
      <c r="BA34" s="164"/>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56">
        <v>6</v>
      </c>
      <c r="B35" s="134"/>
      <c r="C35" s="259"/>
      <c r="D35" s="259"/>
      <c r="E35" s="259"/>
      <c r="F35" s="137"/>
      <c r="G35" s="285"/>
      <c r="H35" s="140"/>
      <c r="I35" s="140"/>
      <c r="J35" s="259"/>
      <c r="K35" s="267"/>
      <c r="L35" s="279" t="str">
        <f>IF(K35&lt;=0,"",IF(K35&lt;=2,"Muy Baja",IF(K35&lt;=24,"Baja",IF(K35&lt;=500,"Media",IF(K35&lt;=5000,"Alta","Muy Alta")))))</f>
        <v/>
      </c>
      <c r="M35" s="270" t="str">
        <f>IF(L35="","",IF(L35="Muy Baja",0.2,IF(L35="Baja",0.4,IF(L35="Media",0.6,IF(L35="Alta",0.8,IF(L35="Muy Alta",1,))))))</f>
        <v/>
      </c>
      <c r="N35" s="276"/>
      <c r="O35" s="270">
        <f>IF(NOT(ISERROR(MATCH(N35,'Tabla Impacto'!$B$221:$B$223,0))),'Tabla Impacto'!$F$223&amp;"Por favor no seleccionar los criterios de impacto(Afectación Económica o presupuestal y Pérdida Reputacional)",N35)</f>
        <v>0</v>
      </c>
      <c r="P35" s="279" t="str">
        <f>IF(OR(O35='Tabla Impacto'!$C$11,O35='Tabla Impacto'!$D$11),"Leve",IF(OR(O35='Tabla Impacto'!$C$12,O35='Tabla Impacto'!$D$12),"Menor",IF(OR(O35='Tabla Impacto'!$C$13,O35='Tabla Impacto'!$D$13),"Moderado",IF(OR(O35='Tabla Impacto'!$C$14,O35='Tabla Impacto'!$D$14),"Mayor",IF(OR(O35='Tabla Impacto'!$C$15,O35='Tabla Impacto'!$D$15),"Catastrófico","")))))</f>
        <v/>
      </c>
      <c r="Q35" s="270" t="str">
        <f>IF(P35="","",IF(P35="Leve",0.2,IF(P35="Menor",0.4,IF(P35="Moderado",0.6,IF(P35="Mayor",0.8,IF(P35="Catastrófico",1,))))))</f>
        <v/>
      </c>
      <c r="R35" s="273" t="str">
        <f>IF(OR(AND(L35="Muy Baja",P35="Leve"),AND(L35="Muy Baja",P35="Menor"),AND(L35="Baja",P35="Leve")),"Bajo",IF(OR(AND(L35="Muy baja",P35="Moderado"),AND(L35="Baja",P35="Menor"),AND(L35="Baja",P35="Moderado"),AND(L35="Media",P35="Leve"),AND(L35="Media",P35="Menor"),AND(L35="Media",P35="Moderado"),AND(L35="Alta",P35="Leve"),AND(L35="Alta",P35="Menor")),"Moderado",IF(OR(AND(L35="Muy Baja",P35="Mayor"),AND(L35="Baja",P35="Mayor"),AND(L35="Media",P35="Mayor"),AND(L35="Alta",P35="Moderado"),AND(L35="Alta",P35="Mayor"),AND(L35="Muy Alta",P35="Leve"),AND(L35="Muy Alta",P35="Menor"),AND(L35="Muy Alta",P35="Moderado"),AND(L35="Muy Alta",P35="Mayor")),"Alto",IF(OR(AND(L35="Muy Baja",P35="Catastrófico"),AND(L35="Baja",P35="Catastrófico"),AND(L35="Media",P35="Catastrófico"),AND(L35="Alta",P35="Catastrófico"),AND(L35="Muy Alta",P35="Catastrófico")),"Extremo",""))))</f>
        <v/>
      </c>
      <c r="S35" s="177"/>
      <c r="T35" s="177" t="str">
        <f t="shared" si="0"/>
        <v/>
      </c>
      <c r="U35" s="177"/>
      <c r="V35" s="177" t="str">
        <f t="shared" si="1"/>
        <v/>
      </c>
      <c r="W35" s="177" t="str">
        <f t="shared" si="2"/>
        <v/>
      </c>
      <c r="X35" s="177" t="str">
        <f t="shared" si="3"/>
        <v/>
      </c>
      <c r="Y35" s="120">
        <v>1</v>
      </c>
      <c r="Z35" s="121"/>
      <c r="AA35" s="122" t="str">
        <f>IF(OR(AB35="Preventivo",AB35="Detectivo"),"Probabilidad",IF(AB35="Correctivo","Impacto",""))</f>
        <v/>
      </c>
      <c r="AB35" s="123"/>
      <c r="AC35" s="123"/>
      <c r="AD35" s="124" t="str">
        <f>IF(AND(AB35="Preventivo",AC35="Automático"),"50%",IF(AND(AB35="Preventivo",AC35="Manual"),"40%",IF(AND(AB35="Detectivo",AC35="Automático"),"40%",IF(AND(AB35="Detectivo",AC35="Manual"),"30%",IF(AND(AB35="Correctivo",AC35="Automático"),"35%",IF(AND(AB35="Correctivo",AC35="Manual"),"25%",""))))))</f>
        <v/>
      </c>
      <c r="AE35" s="123"/>
      <c r="AF35" s="123"/>
      <c r="AG35" s="123"/>
      <c r="AH35" s="125" t="str">
        <f>IFERROR(IF(AA35="Probabilidad",(M35-(+M35*AD35)),IF(AA35="Impacto",M35,"")),"")</f>
        <v/>
      </c>
      <c r="AI35" s="126" t="str">
        <f>IFERROR(IF(AH35="","",IF(AH35&lt;=0.2,"Muy Baja",IF(AH35&lt;=0.4,"Baja",IF(AH35&lt;=0.6,"Media",IF(AH35&lt;=0.8,"Alta","Muy Alta"))))),"")</f>
        <v/>
      </c>
      <c r="AJ35" s="127" t="str">
        <f>+AH35</f>
        <v/>
      </c>
      <c r="AK35" s="126" t="str">
        <f>IFERROR(IF(AL35="","",IF(AL35&lt;=0.2,"Leve",IF(AL35&lt;=0.4,"Menor",IF(AL35&lt;=0.6,"Moderado",IF(AL35&lt;=0.8,"Mayor","Catastrófico"))))),"")</f>
        <v/>
      </c>
      <c r="AL35" s="127" t="str">
        <f>IFERROR(IF(AA35="Impacto",(Q35-(+Q35*AD35)),IF(AA35="Probabilidad",Q35,"")),"")</f>
        <v/>
      </c>
      <c r="AM35" s="128" t="str">
        <f>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29"/>
      <c r="AO35" s="129"/>
      <c r="AP35" s="129"/>
      <c r="AQ35" s="129"/>
      <c r="AR35" s="129"/>
      <c r="AS35" s="129"/>
      <c r="AT35" s="129"/>
      <c r="AU35" s="130"/>
      <c r="AV35" s="131"/>
      <c r="AW35" s="132"/>
      <c r="AX35" s="132"/>
      <c r="AY35" s="234"/>
      <c r="AZ35" s="131"/>
      <c r="BA35" s="164"/>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57"/>
      <c r="B36" s="135"/>
      <c r="C36" s="260"/>
      <c r="D36" s="260"/>
      <c r="E36" s="260"/>
      <c r="F36" s="138"/>
      <c r="G36" s="286"/>
      <c r="H36" s="141"/>
      <c r="I36" s="141"/>
      <c r="J36" s="260"/>
      <c r="K36" s="268"/>
      <c r="L36" s="280"/>
      <c r="M36" s="271"/>
      <c r="N36" s="277"/>
      <c r="O36" s="271">
        <f t="shared" ref="O36:O40" si="41">IF(NOT(ISERROR(MATCH(N36,_xlfn.ANCHORARRAY(G47),0))),M49&amp;"Por favor no seleccionar los criterios de impacto",N36)</f>
        <v>0</v>
      </c>
      <c r="P36" s="280"/>
      <c r="Q36" s="271"/>
      <c r="R36" s="274"/>
      <c r="S36" s="177"/>
      <c r="T36" s="177" t="str">
        <f t="shared" si="0"/>
        <v/>
      </c>
      <c r="U36" s="177"/>
      <c r="V36" s="177" t="str">
        <f t="shared" si="1"/>
        <v/>
      </c>
      <c r="W36" s="177" t="str">
        <f t="shared" si="2"/>
        <v/>
      </c>
      <c r="X36" s="177" t="str">
        <f t="shared" si="3"/>
        <v/>
      </c>
      <c r="Y36" s="120">
        <v>2</v>
      </c>
      <c r="Z36" s="121"/>
      <c r="AA36" s="122" t="str">
        <f>IF(OR(AB36="Preventivo",AB36="Detectivo"),"Probabilidad",IF(AB36="Correctivo","Impacto",""))</f>
        <v/>
      </c>
      <c r="AB36" s="123"/>
      <c r="AC36" s="123"/>
      <c r="AD36" s="124" t="str">
        <f t="shared" ref="AD36:AD40" si="42">IF(AND(AB36="Preventivo",AC36="Automático"),"50%",IF(AND(AB36="Preventivo",AC36="Manual"),"40%",IF(AND(AB36="Detectivo",AC36="Automático"),"40%",IF(AND(AB36="Detectivo",AC36="Manual"),"30%",IF(AND(AB36="Correctivo",AC36="Automático"),"35%",IF(AND(AB36="Correctivo",AC36="Manual"),"25%",""))))))</f>
        <v/>
      </c>
      <c r="AE36" s="123"/>
      <c r="AF36" s="123"/>
      <c r="AG36" s="123"/>
      <c r="AH36" s="125" t="str">
        <f>IFERROR(IF(AND(AA35="Probabilidad",AA36="Probabilidad"),(AJ35-(+AJ35*AD36)),IF(AA36="Probabilidad",(M35-(+M35*AD36)),IF(AA36="Impacto",AJ35,""))),"")</f>
        <v/>
      </c>
      <c r="AI36" s="126" t="str">
        <f t="shared" si="5"/>
        <v/>
      </c>
      <c r="AJ36" s="127" t="str">
        <f t="shared" ref="AJ36:AJ40" si="43">+AH36</f>
        <v/>
      </c>
      <c r="AK36" s="126" t="str">
        <f t="shared" si="12"/>
        <v/>
      </c>
      <c r="AL36" s="127" t="str">
        <f>IFERROR(IF(AND(AA35="Impacto",AA36="Impacto"),(AL35-(+AL35*AD36)),IF(AA36="Impacto",(Q35-(+Q35*AD36)),IF(AA36="Probabilidad",AL35,""))),"")</f>
        <v/>
      </c>
      <c r="AM36" s="128" t="str">
        <f t="shared" ref="AM36:AM37" si="44">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29"/>
      <c r="AO36" s="129"/>
      <c r="AP36" s="129"/>
      <c r="AQ36" s="129"/>
      <c r="AR36" s="129"/>
      <c r="AS36" s="129"/>
      <c r="AT36" s="129"/>
      <c r="AU36" s="130"/>
      <c r="AV36" s="131"/>
      <c r="AW36" s="132"/>
      <c r="AX36" s="132"/>
      <c r="AY36" s="234"/>
      <c r="AZ36" s="131"/>
      <c r="BA36" s="164"/>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57"/>
      <c r="B37" s="135"/>
      <c r="C37" s="260"/>
      <c r="D37" s="260"/>
      <c r="E37" s="260"/>
      <c r="F37" s="138"/>
      <c r="G37" s="286"/>
      <c r="H37" s="141"/>
      <c r="I37" s="141"/>
      <c r="J37" s="260"/>
      <c r="K37" s="268"/>
      <c r="L37" s="280"/>
      <c r="M37" s="271"/>
      <c r="N37" s="277"/>
      <c r="O37" s="271">
        <f t="shared" si="41"/>
        <v>0</v>
      </c>
      <c r="P37" s="280"/>
      <c r="Q37" s="271"/>
      <c r="R37" s="274"/>
      <c r="S37" s="177"/>
      <c r="T37" s="177" t="str">
        <f t="shared" si="0"/>
        <v/>
      </c>
      <c r="U37" s="177"/>
      <c r="V37" s="177" t="str">
        <f t="shared" si="1"/>
        <v/>
      </c>
      <c r="W37" s="177" t="str">
        <f t="shared" si="2"/>
        <v/>
      </c>
      <c r="X37" s="177" t="str">
        <f t="shared" si="3"/>
        <v/>
      </c>
      <c r="Y37" s="120">
        <v>3</v>
      </c>
      <c r="Z37" s="133"/>
      <c r="AA37" s="122" t="str">
        <f>IF(OR(AB37="Preventivo",AB37="Detectivo"),"Probabilidad",IF(AB37="Correctivo","Impacto",""))</f>
        <v/>
      </c>
      <c r="AB37" s="123"/>
      <c r="AC37" s="123"/>
      <c r="AD37" s="124" t="str">
        <f t="shared" si="42"/>
        <v/>
      </c>
      <c r="AE37" s="123"/>
      <c r="AF37" s="123"/>
      <c r="AG37" s="123"/>
      <c r="AH37" s="125" t="str">
        <f>IFERROR(IF(AND(AA36="Probabilidad",AA37="Probabilidad"),(AJ36-(+AJ36*AD37)),IF(AND(AA36="Impacto",AA37="Probabilidad"),(AJ35-(+AJ35*AD37)),IF(AA37="Impacto",AJ36,""))),"")</f>
        <v/>
      </c>
      <c r="AI37" s="126" t="str">
        <f t="shared" si="5"/>
        <v/>
      </c>
      <c r="AJ37" s="127" t="str">
        <f t="shared" si="43"/>
        <v/>
      </c>
      <c r="AK37" s="126" t="str">
        <f t="shared" si="12"/>
        <v/>
      </c>
      <c r="AL37" s="127" t="str">
        <f>IFERROR(IF(AND(AA36="Impacto",AA37="Impacto"),(AL36-(+AL36*AD37)),IF(AND(AA36="Probabilidad",AA37="Impacto"),(AL35-(+AL35*AD37)),IF(AA37="Probabilidad",AL36,""))),"")</f>
        <v/>
      </c>
      <c r="AM37" s="128" t="str">
        <f t="shared" si="44"/>
        <v/>
      </c>
      <c r="AN37" s="129"/>
      <c r="AO37" s="129"/>
      <c r="AP37" s="129"/>
      <c r="AQ37" s="129"/>
      <c r="AR37" s="129"/>
      <c r="AS37" s="129"/>
      <c r="AT37" s="129"/>
      <c r="AU37" s="130"/>
      <c r="AV37" s="131"/>
      <c r="AW37" s="132"/>
      <c r="AX37" s="132"/>
      <c r="AY37" s="234"/>
      <c r="AZ37" s="131"/>
      <c r="BA37" s="164"/>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57"/>
      <c r="B38" s="135"/>
      <c r="C38" s="260"/>
      <c r="D38" s="260"/>
      <c r="E38" s="260"/>
      <c r="F38" s="138"/>
      <c r="G38" s="286"/>
      <c r="H38" s="141"/>
      <c r="I38" s="141"/>
      <c r="J38" s="260"/>
      <c r="K38" s="268"/>
      <c r="L38" s="280"/>
      <c r="M38" s="271"/>
      <c r="N38" s="277"/>
      <c r="O38" s="271">
        <f t="shared" si="41"/>
        <v>0</v>
      </c>
      <c r="P38" s="280"/>
      <c r="Q38" s="271"/>
      <c r="R38" s="274"/>
      <c r="S38" s="177"/>
      <c r="T38" s="177" t="str">
        <f t="shared" si="0"/>
        <v/>
      </c>
      <c r="U38" s="177"/>
      <c r="V38" s="177" t="str">
        <f t="shared" si="1"/>
        <v/>
      </c>
      <c r="W38" s="177" t="str">
        <f t="shared" si="2"/>
        <v/>
      </c>
      <c r="X38" s="177" t="str">
        <f t="shared" si="3"/>
        <v/>
      </c>
      <c r="Y38" s="120">
        <v>4</v>
      </c>
      <c r="Z38" s="121"/>
      <c r="AA38" s="122" t="str">
        <f t="shared" ref="AA38:AA40" si="45">IF(OR(AB38="Preventivo",AB38="Detectivo"),"Probabilidad",IF(AB38="Correctivo","Impacto",""))</f>
        <v/>
      </c>
      <c r="AB38" s="123"/>
      <c r="AC38" s="123"/>
      <c r="AD38" s="124" t="str">
        <f t="shared" si="42"/>
        <v/>
      </c>
      <c r="AE38" s="123"/>
      <c r="AF38" s="123"/>
      <c r="AG38" s="123"/>
      <c r="AH38" s="125" t="str">
        <f t="shared" ref="AH38:AH40" si="46">IFERROR(IF(AND(AA37="Probabilidad",AA38="Probabilidad"),(AJ37-(+AJ37*AD38)),IF(AND(AA37="Impacto",AA38="Probabilidad"),(AJ36-(+AJ36*AD38)),IF(AA38="Impacto",AJ37,""))),"")</f>
        <v/>
      </c>
      <c r="AI38" s="126" t="str">
        <f t="shared" si="5"/>
        <v/>
      </c>
      <c r="AJ38" s="127" t="str">
        <f t="shared" si="43"/>
        <v/>
      </c>
      <c r="AK38" s="126" t="str">
        <f t="shared" si="12"/>
        <v/>
      </c>
      <c r="AL38" s="127" t="str">
        <f t="shared" ref="AL38:AL40" si="47">IFERROR(IF(AND(AA37="Impacto",AA38="Impacto"),(AL37-(+AL37*AD38)),IF(AND(AA37="Probabilidad",AA38="Impacto"),(AL36-(+AL36*AD38)),IF(AA38="Probabilidad",AL37,""))),"")</f>
        <v/>
      </c>
      <c r="AM38" s="128"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29"/>
      <c r="AO38" s="129"/>
      <c r="AP38" s="129"/>
      <c r="AQ38" s="129"/>
      <c r="AR38" s="129"/>
      <c r="AS38" s="129"/>
      <c r="AT38" s="129"/>
      <c r="AU38" s="130"/>
      <c r="AV38" s="131"/>
      <c r="AW38" s="132"/>
      <c r="AX38" s="132"/>
      <c r="AY38" s="234"/>
      <c r="AZ38" s="131"/>
      <c r="BA38" s="164"/>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57"/>
      <c r="B39" s="135"/>
      <c r="C39" s="260"/>
      <c r="D39" s="260"/>
      <c r="E39" s="260"/>
      <c r="F39" s="138"/>
      <c r="G39" s="286"/>
      <c r="H39" s="141"/>
      <c r="I39" s="141"/>
      <c r="J39" s="260"/>
      <c r="K39" s="268"/>
      <c r="L39" s="280"/>
      <c r="M39" s="271"/>
      <c r="N39" s="277"/>
      <c r="O39" s="271">
        <f t="shared" si="41"/>
        <v>0</v>
      </c>
      <c r="P39" s="280"/>
      <c r="Q39" s="271"/>
      <c r="R39" s="274"/>
      <c r="S39" s="177"/>
      <c r="T39" s="177" t="str">
        <f t="shared" si="0"/>
        <v/>
      </c>
      <c r="U39" s="177"/>
      <c r="V39" s="177" t="str">
        <f t="shared" si="1"/>
        <v/>
      </c>
      <c r="W39" s="177" t="str">
        <f t="shared" si="2"/>
        <v/>
      </c>
      <c r="X39" s="177" t="str">
        <f t="shared" si="3"/>
        <v/>
      </c>
      <c r="Y39" s="120">
        <v>5</v>
      </c>
      <c r="Z39" s="121"/>
      <c r="AA39" s="122" t="str">
        <f t="shared" si="45"/>
        <v/>
      </c>
      <c r="AB39" s="123"/>
      <c r="AC39" s="123"/>
      <c r="AD39" s="124" t="str">
        <f t="shared" si="42"/>
        <v/>
      </c>
      <c r="AE39" s="123"/>
      <c r="AF39" s="123"/>
      <c r="AG39" s="123"/>
      <c r="AH39" s="125" t="str">
        <f t="shared" si="46"/>
        <v/>
      </c>
      <c r="AI39" s="126" t="str">
        <f t="shared" si="5"/>
        <v/>
      </c>
      <c r="AJ39" s="127" t="str">
        <f t="shared" si="43"/>
        <v/>
      </c>
      <c r="AK39" s="126" t="str">
        <f t="shared" si="12"/>
        <v/>
      </c>
      <c r="AL39" s="127" t="str">
        <f t="shared" si="47"/>
        <v/>
      </c>
      <c r="AM39" s="128" t="str">
        <f t="shared" ref="AM39" si="48">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29"/>
      <c r="AO39" s="129"/>
      <c r="AP39" s="129"/>
      <c r="AQ39" s="129"/>
      <c r="AR39" s="129"/>
      <c r="AS39" s="129"/>
      <c r="AT39" s="129"/>
      <c r="AU39" s="130"/>
      <c r="AV39" s="131"/>
      <c r="AW39" s="132"/>
      <c r="AX39" s="132"/>
      <c r="AY39" s="234"/>
      <c r="AZ39" s="131"/>
      <c r="BA39" s="164"/>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58"/>
      <c r="B40" s="136"/>
      <c r="C40" s="261"/>
      <c r="D40" s="261"/>
      <c r="E40" s="261"/>
      <c r="F40" s="139"/>
      <c r="G40" s="287"/>
      <c r="H40" s="142"/>
      <c r="I40" s="142"/>
      <c r="J40" s="261"/>
      <c r="K40" s="269"/>
      <c r="L40" s="281"/>
      <c r="M40" s="272"/>
      <c r="N40" s="278"/>
      <c r="O40" s="272">
        <f t="shared" si="41"/>
        <v>0</v>
      </c>
      <c r="P40" s="281"/>
      <c r="Q40" s="272"/>
      <c r="R40" s="275"/>
      <c r="S40" s="177"/>
      <c r="T40" s="177" t="str">
        <f t="shared" si="0"/>
        <v/>
      </c>
      <c r="U40" s="177"/>
      <c r="V40" s="177" t="str">
        <f t="shared" si="1"/>
        <v/>
      </c>
      <c r="W40" s="177" t="str">
        <f t="shared" si="2"/>
        <v/>
      </c>
      <c r="X40" s="177" t="str">
        <f t="shared" si="3"/>
        <v/>
      </c>
      <c r="Y40" s="120">
        <v>6</v>
      </c>
      <c r="Z40" s="121"/>
      <c r="AA40" s="122" t="str">
        <f t="shared" si="45"/>
        <v/>
      </c>
      <c r="AB40" s="123"/>
      <c r="AC40" s="123"/>
      <c r="AD40" s="124" t="str">
        <f t="shared" si="42"/>
        <v/>
      </c>
      <c r="AE40" s="123"/>
      <c r="AF40" s="123"/>
      <c r="AG40" s="123"/>
      <c r="AH40" s="125" t="str">
        <f t="shared" si="46"/>
        <v/>
      </c>
      <c r="AI40" s="126" t="str">
        <f t="shared" si="5"/>
        <v/>
      </c>
      <c r="AJ40" s="127" t="str">
        <f t="shared" si="43"/>
        <v/>
      </c>
      <c r="AK40" s="126" t="str">
        <f>IFERROR(IF(AL40="","",IF(AL40&lt;=0.2,"Leve",IF(AL40&lt;=0.4,"Menor",IF(AL40&lt;=0.6,"Moderado",IF(AL40&lt;=0.8,"Mayor","Catastrófico"))))),"")</f>
        <v/>
      </c>
      <c r="AL40" s="127" t="str">
        <f t="shared" si="47"/>
        <v/>
      </c>
      <c r="AM40" s="128" t="str">
        <f>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29"/>
      <c r="AO40" s="129"/>
      <c r="AP40" s="129"/>
      <c r="AQ40" s="129"/>
      <c r="AR40" s="129"/>
      <c r="AS40" s="129"/>
      <c r="AT40" s="129"/>
      <c r="AU40" s="130"/>
      <c r="AV40" s="131"/>
      <c r="AW40" s="132"/>
      <c r="AX40" s="132"/>
      <c r="AY40" s="234"/>
      <c r="AZ40" s="131"/>
      <c r="BA40" s="164"/>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56">
        <v>7</v>
      </c>
      <c r="B41" s="134"/>
      <c r="C41" s="259"/>
      <c r="D41" s="259"/>
      <c r="E41" s="259"/>
      <c r="F41" s="137"/>
      <c r="G41" s="285"/>
      <c r="H41" s="140"/>
      <c r="I41" s="140"/>
      <c r="J41" s="259"/>
      <c r="K41" s="267"/>
      <c r="L41" s="279" t="str">
        <f>IF(K41&lt;=0,"",IF(K41&lt;=2,"Muy Baja",IF(K41&lt;=24,"Baja",IF(K41&lt;=500,"Media",IF(K41&lt;=5000,"Alta","Muy Alta")))))</f>
        <v/>
      </c>
      <c r="M41" s="270" t="str">
        <f>IF(L41="","",IF(L41="Muy Baja",0.2,IF(L41="Baja",0.4,IF(L41="Media",0.6,IF(L41="Alta",0.8,IF(L41="Muy Alta",1,))))))</f>
        <v/>
      </c>
      <c r="N41" s="276"/>
      <c r="O41" s="270">
        <f>IF(NOT(ISERROR(MATCH(N41,'Tabla Impacto'!$B$221:$B$223,0))),'Tabla Impacto'!$F$223&amp;"Por favor no seleccionar los criterios de impacto(Afectación Económica o presupuestal y Pérdida Reputacional)",N41)</f>
        <v>0</v>
      </c>
      <c r="P41" s="279" t="str">
        <f>IF(OR(O41='Tabla Impacto'!$C$11,O41='Tabla Impacto'!$D$11),"Leve",IF(OR(O41='Tabla Impacto'!$C$12,O41='Tabla Impacto'!$D$12),"Menor",IF(OR(O41='Tabla Impacto'!$C$13,O41='Tabla Impacto'!$D$13),"Moderado",IF(OR(O41='Tabla Impacto'!$C$14,O41='Tabla Impacto'!$D$14),"Mayor",IF(OR(O41='Tabla Impacto'!$C$15,O41='Tabla Impacto'!$D$15),"Catastrófico","")))))</f>
        <v/>
      </c>
      <c r="Q41" s="270" t="str">
        <f>IF(P41="","",IF(P41="Leve",0.2,IF(P41="Menor",0.4,IF(P41="Moderado",0.6,IF(P41="Mayor",0.8,IF(P41="Catastrófico",1,))))))</f>
        <v/>
      </c>
      <c r="R41" s="273" t="str">
        <f>IF(OR(AND(L41="Muy Baja",P41="Leve"),AND(L41="Muy Baja",P41="Menor"),AND(L41="Baja",P41="Leve")),"Bajo",IF(OR(AND(L41="Muy baja",P41="Moderado"),AND(L41="Baja",P41="Menor"),AND(L41="Baja",P41="Moderado"),AND(L41="Media",P41="Leve"),AND(L41="Media",P41="Menor"),AND(L41="Media",P41="Moderado"),AND(L41="Alta",P41="Leve"),AND(L41="Alta",P41="Menor")),"Moderado",IF(OR(AND(L41="Muy Baja",P41="Mayor"),AND(L41="Baja",P41="Mayor"),AND(L41="Media",P41="Mayor"),AND(L41="Alta",P41="Moderado"),AND(L41="Alta",P41="Mayor"),AND(L41="Muy Alta",P41="Leve"),AND(L41="Muy Alta",P41="Menor"),AND(L41="Muy Alta",P41="Moderado"),AND(L41="Muy Alta",P41="Mayor")),"Alto",IF(OR(AND(L41="Muy Baja",P41="Catastrófico"),AND(L41="Baja",P41="Catastrófico"),AND(L41="Media",P41="Catastrófico"),AND(L41="Alta",P41="Catastrófico"),AND(L41="Muy Alta",P41="Catastrófico")),"Extremo",""))))</f>
        <v/>
      </c>
      <c r="S41" s="177"/>
      <c r="T41" s="177" t="str">
        <f t="shared" si="0"/>
        <v/>
      </c>
      <c r="U41" s="177"/>
      <c r="V41" s="177" t="str">
        <f t="shared" si="1"/>
        <v/>
      </c>
      <c r="W41" s="177" t="str">
        <f t="shared" si="2"/>
        <v/>
      </c>
      <c r="X41" s="177" t="str">
        <f t="shared" si="3"/>
        <v/>
      </c>
      <c r="Y41" s="120">
        <v>1</v>
      </c>
      <c r="Z41" s="121"/>
      <c r="AA41" s="122" t="str">
        <f>IF(OR(AB41="Preventivo",AB41="Detectivo"),"Probabilidad",IF(AB41="Correctivo","Impacto",""))</f>
        <v/>
      </c>
      <c r="AB41" s="123"/>
      <c r="AC41" s="123"/>
      <c r="AD41" s="124" t="str">
        <f>IF(AND(AB41="Preventivo",AC41="Automático"),"50%",IF(AND(AB41="Preventivo",AC41="Manual"),"40%",IF(AND(AB41="Detectivo",AC41="Automático"),"40%",IF(AND(AB41="Detectivo",AC41="Manual"),"30%",IF(AND(AB41="Correctivo",AC41="Automático"),"35%",IF(AND(AB41="Correctivo",AC41="Manual"),"25%",""))))))</f>
        <v/>
      </c>
      <c r="AE41" s="123"/>
      <c r="AF41" s="123"/>
      <c r="AG41" s="123"/>
      <c r="AH41" s="125" t="str">
        <f>IFERROR(IF(AA41="Probabilidad",(M41-(+M41*AD41)),IF(AA41="Impacto",M41,"")),"")</f>
        <v/>
      </c>
      <c r="AI41" s="126" t="str">
        <f>IFERROR(IF(AH41="","",IF(AH41&lt;=0.2,"Muy Baja",IF(AH41&lt;=0.4,"Baja",IF(AH41&lt;=0.6,"Media",IF(AH41&lt;=0.8,"Alta","Muy Alta"))))),"")</f>
        <v/>
      </c>
      <c r="AJ41" s="127" t="str">
        <f>+AH41</f>
        <v/>
      </c>
      <c r="AK41" s="126" t="str">
        <f>IFERROR(IF(AL41="","",IF(AL41&lt;=0.2,"Leve",IF(AL41&lt;=0.4,"Menor",IF(AL41&lt;=0.6,"Moderado",IF(AL41&lt;=0.8,"Mayor","Catastrófico"))))),"")</f>
        <v/>
      </c>
      <c r="AL41" s="127" t="str">
        <f>IFERROR(IF(AA41="Impacto",(Q41-(+Q41*AD41)),IF(AA41="Probabilidad",Q41,"")),"")</f>
        <v/>
      </c>
      <c r="AM41" s="128" t="str">
        <f>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29"/>
      <c r="AO41" s="129"/>
      <c r="AP41" s="129"/>
      <c r="AQ41" s="129"/>
      <c r="AR41" s="129"/>
      <c r="AS41" s="129"/>
      <c r="AT41" s="129"/>
      <c r="AU41" s="130"/>
      <c r="AV41" s="131"/>
      <c r="AW41" s="132"/>
      <c r="AX41" s="132"/>
      <c r="AY41" s="234"/>
      <c r="AZ41" s="131"/>
      <c r="BA41" s="164"/>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57"/>
      <c r="B42" s="135"/>
      <c r="C42" s="260"/>
      <c r="D42" s="260"/>
      <c r="E42" s="260"/>
      <c r="F42" s="138"/>
      <c r="G42" s="286"/>
      <c r="H42" s="141"/>
      <c r="I42" s="141"/>
      <c r="J42" s="260"/>
      <c r="K42" s="268"/>
      <c r="L42" s="280"/>
      <c r="M42" s="271"/>
      <c r="N42" s="277"/>
      <c r="O42" s="271">
        <f t="shared" ref="O42:O46" si="49">IF(NOT(ISERROR(MATCH(N42,_xlfn.ANCHORARRAY(G53),0))),M55&amp;"Por favor no seleccionar los criterios de impacto",N42)</f>
        <v>0</v>
      </c>
      <c r="P42" s="280"/>
      <c r="Q42" s="271"/>
      <c r="R42" s="274"/>
      <c r="S42" s="177"/>
      <c r="T42" s="177" t="str">
        <f t="shared" si="0"/>
        <v/>
      </c>
      <c r="U42" s="177"/>
      <c r="V42" s="177" t="str">
        <f t="shared" si="1"/>
        <v/>
      </c>
      <c r="W42" s="177" t="str">
        <f t="shared" si="2"/>
        <v/>
      </c>
      <c r="X42" s="177" t="str">
        <f t="shared" si="3"/>
        <v/>
      </c>
      <c r="Y42" s="120">
        <v>2</v>
      </c>
      <c r="Z42" s="121"/>
      <c r="AA42" s="122" t="str">
        <f>IF(OR(AB42="Preventivo",AB42="Detectivo"),"Probabilidad",IF(AB42="Correctivo","Impacto",""))</f>
        <v/>
      </c>
      <c r="AB42" s="123"/>
      <c r="AC42" s="123"/>
      <c r="AD42" s="124" t="str">
        <f t="shared" ref="AD42:AD46" si="50">IF(AND(AB42="Preventivo",AC42="Automático"),"50%",IF(AND(AB42="Preventivo",AC42="Manual"),"40%",IF(AND(AB42="Detectivo",AC42="Automático"),"40%",IF(AND(AB42="Detectivo",AC42="Manual"),"30%",IF(AND(AB42="Correctivo",AC42="Automático"),"35%",IF(AND(AB42="Correctivo",AC42="Manual"),"25%",""))))))</f>
        <v/>
      </c>
      <c r="AE42" s="123"/>
      <c r="AF42" s="123"/>
      <c r="AG42" s="123"/>
      <c r="AH42" s="125" t="str">
        <f>IFERROR(IF(AND(AA41="Probabilidad",AA42="Probabilidad"),(AJ41-(+AJ41*AD42)),IF(AA42="Probabilidad",(M41-(+M41*AD42)),IF(AA42="Impacto",AJ41,""))),"")</f>
        <v/>
      </c>
      <c r="AI42" s="126" t="str">
        <f t="shared" si="5"/>
        <v/>
      </c>
      <c r="AJ42" s="127" t="str">
        <f t="shared" ref="AJ42:AJ46" si="51">+AH42</f>
        <v/>
      </c>
      <c r="AK42" s="126" t="str">
        <f t="shared" si="12"/>
        <v/>
      </c>
      <c r="AL42" s="127" t="str">
        <f>IFERROR(IF(AND(AA41="Impacto",AA42="Impacto"),(AL41-(+AL41*AD42)),IF(AA42="Impacto",(Q41-(+Q41*AD42)),IF(AA42="Probabilidad",AL41,""))),"")</f>
        <v/>
      </c>
      <c r="AM42" s="128" t="str">
        <f t="shared" ref="AM42:AM43" si="52">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29"/>
      <c r="AO42" s="129"/>
      <c r="AP42" s="129"/>
      <c r="AQ42" s="129"/>
      <c r="AR42" s="129"/>
      <c r="AS42" s="129"/>
      <c r="AT42" s="129"/>
      <c r="AU42" s="130"/>
      <c r="AV42" s="131"/>
      <c r="AW42" s="132"/>
      <c r="AX42" s="132"/>
      <c r="AY42" s="234"/>
      <c r="AZ42" s="131"/>
      <c r="BA42" s="164"/>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57"/>
      <c r="B43" s="135"/>
      <c r="C43" s="260"/>
      <c r="D43" s="260"/>
      <c r="E43" s="260"/>
      <c r="F43" s="138"/>
      <c r="G43" s="286"/>
      <c r="H43" s="141"/>
      <c r="I43" s="141"/>
      <c r="J43" s="260"/>
      <c r="K43" s="268"/>
      <c r="L43" s="280"/>
      <c r="M43" s="271"/>
      <c r="N43" s="277"/>
      <c r="O43" s="271">
        <f t="shared" si="49"/>
        <v>0</v>
      </c>
      <c r="P43" s="280"/>
      <c r="Q43" s="271"/>
      <c r="R43" s="274"/>
      <c r="S43" s="177"/>
      <c r="T43" s="177" t="str">
        <f t="shared" si="0"/>
        <v/>
      </c>
      <c r="U43" s="177"/>
      <c r="V43" s="177" t="str">
        <f t="shared" si="1"/>
        <v/>
      </c>
      <c r="W43" s="177" t="str">
        <f t="shared" si="2"/>
        <v/>
      </c>
      <c r="X43" s="177" t="str">
        <f t="shared" si="3"/>
        <v/>
      </c>
      <c r="Y43" s="120">
        <v>3</v>
      </c>
      <c r="Z43" s="133"/>
      <c r="AA43" s="122" t="str">
        <f>IF(OR(AB43="Preventivo",AB43="Detectivo"),"Probabilidad",IF(AB43="Correctivo","Impacto",""))</f>
        <v/>
      </c>
      <c r="AB43" s="123"/>
      <c r="AC43" s="123"/>
      <c r="AD43" s="124" t="str">
        <f t="shared" si="50"/>
        <v/>
      </c>
      <c r="AE43" s="123"/>
      <c r="AF43" s="123"/>
      <c r="AG43" s="123"/>
      <c r="AH43" s="125" t="str">
        <f>IFERROR(IF(AND(AA42="Probabilidad",AA43="Probabilidad"),(AJ42-(+AJ42*AD43)),IF(AND(AA42="Impacto",AA43="Probabilidad"),(AJ41-(+AJ41*AD43)),IF(AA43="Impacto",AJ42,""))),"")</f>
        <v/>
      </c>
      <c r="AI43" s="126" t="str">
        <f t="shared" si="5"/>
        <v/>
      </c>
      <c r="AJ43" s="127" t="str">
        <f t="shared" si="51"/>
        <v/>
      </c>
      <c r="AK43" s="126" t="str">
        <f t="shared" si="12"/>
        <v/>
      </c>
      <c r="AL43" s="127" t="str">
        <f>IFERROR(IF(AND(AA42="Impacto",AA43="Impacto"),(AL42-(+AL42*AD43)),IF(AND(AA42="Probabilidad",AA43="Impacto"),(AL41-(+AL41*AD43)),IF(AA43="Probabilidad",AL42,""))),"")</f>
        <v/>
      </c>
      <c r="AM43" s="128" t="str">
        <f t="shared" si="52"/>
        <v/>
      </c>
      <c r="AN43" s="129"/>
      <c r="AO43" s="129"/>
      <c r="AP43" s="129"/>
      <c r="AQ43" s="129"/>
      <c r="AR43" s="129"/>
      <c r="AS43" s="129"/>
      <c r="AT43" s="129"/>
      <c r="AU43" s="130"/>
      <c r="AV43" s="131"/>
      <c r="AW43" s="132"/>
      <c r="AX43" s="132"/>
      <c r="AY43" s="234"/>
      <c r="AZ43" s="131"/>
      <c r="BA43" s="164"/>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57"/>
      <c r="B44" s="135"/>
      <c r="C44" s="260"/>
      <c r="D44" s="260"/>
      <c r="E44" s="260"/>
      <c r="F44" s="138"/>
      <c r="G44" s="286"/>
      <c r="H44" s="141"/>
      <c r="I44" s="141"/>
      <c r="J44" s="260"/>
      <c r="K44" s="268"/>
      <c r="L44" s="280"/>
      <c r="M44" s="271"/>
      <c r="N44" s="277"/>
      <c r="O44" s="271">
        <f t="shared" si="49"/>
        <v>0</v>
      </c>
      <c r="P44" s="280"/>
      <c r="Q44" s="271"/>
      <c r="R44" s="274"/>
      <c r="S44" s="177"/>
      <c r="T44" s="177" t="str">
        <f t="shared" si="0"/>
        <v/>
      </c>
      <c r="U44" s="177"/>
      <c r="V44" s="177" t="str">
        <f t="shared" si="1"/>
        <v/>
      </c>
      <c r="W44" s="177" t="str">
        <f t="shared" si="2"/>
        <v/>
      </c>
      <c r="X44" s="177" t="str">
        <f t="shared" si="3"/>
        <v/>
      </c>
      <c r="Y44" s="120">
        <v>4</v>
      </c>
      <c r="Z44" s="121"/>
      <c r="AA44" s="122" t="str">
        <f t="shared" ref="AA44:AA46" si="53">IF(OR(AB44="Preventivo",AB44="Detectivo"),"Probabilidad",IF(AB44="Correctivo","Impacto",""))</f>
        <v/>
      </c>
      <c r="AB44" s="123"/>
      <c r="AC44" s="123"/>
      <c r="AD44" s="124" t="str">
        <f t="shared" si="50"/>
        <v/>
      </c>
      <c r="AE44" s="123"/>
      <c r="AF44" s="123"/>
      <c r="AG44" s="123"/>
      <c r="AH44" s="125" t="str">
        <f t="shared" ref="AH44:AH46" si="54">IFERROR(IF(AND(AA43="Probabilidad",AA44="Probabilidad"),(AJ43-(+AJ43*AD44)),IF(AND(AA43="Impacto",AA44="Probabilidad"),(AJ42-(+AJ42*AD44)),IF(AA44="Impacto",AJ43,""))),"")</f>
        <v/>
      </c>
      <c r="AI44" s="126" t="str">
        <f t="shared" si="5"/>
        <v/>
      </c>
      <c r="AJ44" s="127" t="str">
        <f t="shared" si="51"/>
        <v/>
      </c>
      <c r="AK44" s="126" t="str">
        <f t="shared" si="12"/>
        <v/>
      </c>
      <c r="AL44" s="127" t="str">
        <f t="shared" ref="AL44:AL46" si="55">IFERROR(IF(AND(AA43="Impacto",AA44="Impacto"),(AL43-(+AL43*AD44)),IF(AND(AA43="Probabilidad",AA44="Impacto"),(AL42-(+AL42*AD44)),IF(AA44="Probabilidad",AL43,""))),"")</f>
        <v/>
      </c>
      <c r="AM44" s="128"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29"/>
      <c r="AO44" s="129"/>
      <c r="AP44" s="129"/>
      <c r="AQ44" s="129"/>
      <c r="AR44" s="129"/>
      <c r="AS44" s="129"/>
      <c r="AT44" s="129"/>
      <c r="AU44" s="130"/>
      <c r="AV44" s="131"/>
      <c r="AW44" s="132"/>
      <c r="AX44" s="132"/>
      <c r="AY44" s="234"/>
      <c r="AZ44" s="131"/>
      <c r="BA44" s="164"/>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57"/>
      <c r="B45" s="135"/>
      <c r="C45" s="260"/>
      <c r="D45" s="260"/>
      <c r="E45" s="260"/>
      <c r="F45" s="138"/>
      <c r="G45" s="286"/>
      <c r="H45" s="141"/>
      <c r="I45" s="141"/>
      <c r="J45" s="260"/>
      <c r="K45" s="268"/>
      <c r="L45" s="280"/>
      <c r="M45" s="271"/>
      <c r="N45" s="277"/>
      <c r="O45" s="271">
        <f t="shared" si="49"/>
        <v>0</v>
      </c>
      <c r="P45" s="280"/>
      <c r="Q45" s="271"/>
      <c r="R45" s="274"/>
      <c r="S45" s="177"/>
      <c r="T45" s="177" t="str">
        <f t="shared" si="0"/>
        <v/>
      </c>
      <c r="U45" s="177"/>
      <c r="V45" s="177" t="str">
        <f t="shared" si="1"/>
        <v/>
      </c>
      <c r="W45" s="177" t="str">
        <f t="shared" si="2"/>
        <v/>
      </c>
      <c r="X45" s="177" t="str">
        <f t="shared" si="3"/>
        <v/>
      </c>
      <c r="Y45" s="120">
        <v>5</v>
      </c>
      <c r="Z45" s="121"/>
      <c r="AA45" s="122" t="str">
        <f t="shared" si="53"/>
        <v/>
      </c>
      <c r="AB45" s="123"/>
      <c r="AC45" s="123"/>
      <c r="AD45" s="124" t="str">
        <f t="shared" si="50"/>
        <v/>
      </c>
      <c r="AE45" s="123"/>
      <c r="AF45" s="123"/>
      <c r="AG45" s="123"/>
      <c r="AH45" s="125" t="str">
        <f t="shared" si="54"/>
        <v/>
      </c>
      <c r="AI45" s="126" t="str">
        <f t="shared" si="5"/>
        <v/>
      </c>
      <c r="AJ45" s="127" t="str">
        <f t="shared" si="51"/>
        <v/>
      </c>
      <c r="AK45" s="126" t="str">
        <f t="shared" si="12"/>
        <v/>
      </c>
      <c r="AL45" s="127" t="str">
        <f t="shared" si="55"/>
        <v/>
      </c>
      <c r="AM45" s="128" t="str">
        <f t="shared" ref="AM45:AM46" si="56">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29"/>
      <c r="AO45" s="129"/>
      <c r="AP45" s="129"/>
      <c r="AQ45" s="129"/>
      <c r="AR45" s="129"/>
      <c r="AS45" s="129"/>
      <c r="AT45" s="129"/>
      <c r="AU45" s="130"/>
      <c r="AV45" s="131"/>
      <c r="AW45" s="132"/>
      <c r="AX45" s="132"/>
      <c r="AY45" s="234"/>
      <c r="AZ45" s="131"/>
      <c r="BA45" s="164"/>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58"/>
      <c r="B46" s="136"/>
      <c r="C46" s="261"/>
      <c r="D46" s="261"/>
      <c r="E46" s="261"/>
      <c r="F46" s="139"/>
      <c r="G46" s="287"/>
      <c r="H46" s="142"/>
      <c r="I46" s="142"/>
      <c r="J46" s="261"/>
      <c r="K46" s="269"/>
      <c r="L46" s="281"/>
      <c r="M46" s="272"/>
      <c r="N46" s="278"/>
      <c r="O46" s="272">
        <f t="shared" si="49"/>
        <v>0</v>
      </c>
      <c r="P46" s="281"/>
      <c r="Q46" s="272"/>
      <c r="R46" s="275"/>
      <c r="S46" s="177"/>
      <c r="T46" s="177" t="str">
        <f t="shared" si="0"/>
        <v/>
      </c>
      <c r="U46" s="177"/>
      <c r="V46" s="177" t="str">
        <f t="shared" si="1"/>
        <v/>
      </c>
      <c r="W46" s="177" t="str">
        <f t="shared" si="2"/>
        <v/>
      </c>
      <c r="X46" s="177" t="str">
        <f t="shared" si="3"/>
        <v/>
      </c>
      <c r="Y46" s="120">
        <v>6</v>
      </c>
      <c r="Z46" s="121"/>
      <c r="AA46" s="122" t="str">
        <f t="shared" si="53"/>
        <v/>
      </c>
      <c r="AB46" s="123"/>
      <c r="AC46" s="123"/>
      <c r="AD46" s="124" t="str">
        <f t="shared" si="50"/>
        <v/>
      </c>
      <c r="AE46" s="123"/>
      <c r="AF46" s="123"/>
      <c r="AG46" s="123"/>
      <c r="AH46" s="125" t="str">
        <f t="shared" si="54"/>
        <v/>
      </c>
      <c r="AI46" s="126" t="str">
        <f t="shared" si="5"/>
        <v/>
      </c>
      <c r="AJ46" s="127" t="str">
        <f t="shared" si="51"/>
        <v/>
      </c>
      <c r="AK46" s="126" t="str">
        <f t="shared" si="12"/>
        <v/>
      </c>
      <c r="AL46" s="127" t="str">
        <f t="shared" si="55"/>
        <v/>
      </c>
      <c r="AM46" s="128" t="str">
        <f t="shared" si="56"/>
        <v/>
      </c>
      <c r="AN46" s="129"/>
      <c r="AO46" s="129"/>
      <c r="AP46" s="129"/>
      <c r="AQ46" s="129"/>
      <c r="AR46" s="129"/>
      <c r="AS46" s="129"/>
      <c r="AT46" s="129"/>
      <c r="AU46" s="130"/>
      <c r="AV46" s="131"/>
      <c r="AW46" s="132"/>
      <c r="AX46" s="132"/>
      <c r="AY46" s="234"/>
      <c r="AZ46" s="131"/>
      <c r="BA46" s="164"/>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56">
        <v>8</v>
      </c>
      <c r="B47" s="134"/>
      <c r="C47" s="259"/>
      <c r="D47" s="259"/>
      <c r="E47" s="259"/>
      <c r="F47" s="137"/>
      <c r="G47" s="285"/>
      <c r="H47" s="140"/>
      <c r="I47" s="140"/>
      <c r="J47" s="259"/>
      <c r="K47" s="267"/>
      <c r="L47" s="279" t="str">
        <f>IF(K47&lt;=0,"",IF(K47&lt;=2,"Muy Baja",IF(K47&lt;=24,"Baja",IF(K47&lt;=500,"Media",IF(K47&lt;=5000,"Alta","Muy Alta")))))</f>
        <v/>
      </c>
      <c r="M47" s="270" t="str">
        <f>IF(L47="","",IF(L47="Muy Baja",0.2,IF(L47="Baja",0.4,IF(L47="Media",0.6,IF(L47="Alta",0.8,IF(L47="Muy Alta",1,))))))</f>
        <v/>
      </c>
      <c r="N47" s="276"/>
      <c r="O47" s="270">
        <f>IF(NOT(ISERROR(MATCH(N47,'Tabla Impacto'!$B$221:$B$223,0))),'Tabla Impacto'!$F$223&amp;"Por favor no seleccionar los criterios de impacto(Afectación Económica o presupuestal y Pérdida Reputacional)",N47)</f>
        <v>0</v>
      </c>
      <c r="P47" s="279" t="str">
        <f>IF(OR(O47='Tabla Impacto'!$C$11,O47='Tabla Impacto'!$D$11),"Leve",IF(OR(O47='Tabla Impacto'!$C$12,O47='Tabla Impacto'!$D$12),"Menor",IF(OR(O47='Tabla Impacto'!$C$13,O47='Tabla Impacto'!$D$13),"Moderado",IF(OR(O47='Tabla Impacto'!$C$14,O47='Tabla Impacto'!$D$14),"Mayor",IF(OR(O47='Tabla Impacto'!$C$15,O47='Tabla Impacto'!$D$15),"Catastrófico","")))))</f>
        <v/>
      </c>
      <c r="Q47" s="270" t="str">
        <f>IF(P47="","",IF(P47="Leve",0.2,IF(P47="Menor",0.4,IF(P47="Moderado",0.6,IF(P47="Mayor",0.8,IF(P47="Catastrófico",1,))))))</f>
        <v/>
      </c>
      <c r="R47" s="273" t="str">
        <f>IF(OR(AND(L47="Muy Baja",P47="Leve"),AND(L47="Muy Baja",P47="Menor"),AND(L47="Baja",P47="Leve")),"Bajo",IF(OR(AND(L47="Muy baja",P47="Moderado"),AND(L47="Baja",P47="Menor"),AND(L47="Baja",P47="Moderado"),AND(L47="Media",P47="Leve"),AND(L47="Media",P47="Menor"),AND(L47="Media",P47="Moderado"),AND(L47="Alta",P47="Leve"),AND(L47="Alta",P47="Menor")),"Moderado",IF(OR(AND(L47="Muy Baja",P47="Mayor"),AND(L47="Baja",P47="Mayor"),AND(L47="Media",P47="Mayor"),AND(L47="Alta",P47="Moderado"),AND(L47="Alta",P47="Mayor"),AND(L47="Muy Alta",P47="Leve"),AND(L47="Muy Alta",P47="Menor"),AND(L47="Muy Alta",P47="Moderado"),AND(L47="Muy Alta",P47="Mayor")),"Alto",IF(OR(AND(L47="Muy Baja",P47="Catastrófico"),AND(L47="Baja",P47="Catastrófico"),AND(L47="Media",P47="Catastrófico"),AND(L47="Alta",P47="Catastrófico"),AND(L47="Muy Alta",P47="Catastrófico")),"Extremo",""))))</f>
        <v/>
      </c>
      <c r="S47" s="177"/>
      <c r="T47" s="177" t="str">
        <f t="shared" si="0"/>
        <v/>
      </c>
      <c r="U47" s="177"/>
      <c r="V47" s="177" t="str">
        <f t="shared" si="1"/>
        <v/>
      </c>
      <c r="W47" s="177" t="str">
        <f t="shared" si="2"/>
        <v/>
      </c>
      <c r="X47" s="177" t="str">
        <f t="shared" si="3"/>
        <v/>
      </c>
      <c r="Y47" s="120">
        <v>1</v>
      </c>
      <c r="Z47" s="121"/>
      <c r="AA47" s="122" t="str">
        <f>IF(OR(AB47="Preventivo",AB47="Detectivo"),"Probabilidad",IF(AB47="Correctivo","Impacto",""))</f>
        <v/>
      </c>
      <c r="AB47" s="123"/>
      <c r="AC47" s="123"/>
      <c r="AD47" s="124" t="str">
        <f>IF(AND(AB47="Preventivo",AC47="Automático"),"50%",IF(AND(AB47="Preventivo",AC47="Manual"),"40%",IF(AND(AB47="Detectivo",AC47="Automático"),"40%",IF(AND(AB47="Detectivo",AC47="Manual"),"30%",IF(AND(AB47="Correctivo",AC47="Automático"),"35%",IF(AND(AB47="Correctivo",AC47="Manual"),"25%",""))))))</f>
        <v/>
      </c>
      <c r="AE47" s="123"/>
      <c r="AF47" s="123"/>
      <c r="AG47" s="123"/>
      <c r="AH47" s="125" t="str">
        <f>IFERROR(IF(AA47="Probabilidad",(M47-(+M47*AD47)),IF(AA47="Impacto",M47,"")),"")</f>
        <v/>
      </c>
      <c r="AI47" s="126" t="str">
        <f>IFERROR(IF(AH47="","",IF(AH47&lt;=0.2,"Muy Baja",IF(AH47&lt;=0.4,"Baja",IF(AH47&lt;=0.6,"Media",IF(AH47&lt;=0.8,"Alta","Muy Alta"))))),"")</f>
        <v/>
      </c>
      <c r="AJ47" s="127" t="str">
        <f>+AH47</f>
        <v/>
      </c>
      <c r="AK47" s="126" t="str">
        <f>IFERROR(IF(AL47="","",IF(AL47&lt;=0.2,"Leve",IF(AL47&lt;=0.4,"Menor",IF(AL47&lt;=0.6,"Moderado",IF(AL47&lt;=0.8,"Mayor","Catastrófico"))))),"")</f>
        <v/>
      </c>
      <c r="AL47" s="127" t="str">
        <f>IFERROR(IF(AA47="Impacto",(Q47-(+Q47*AD47)),IF(AA47="Probabilidad",Q47,"")),"")</f>
        <v/>
      </c>
      <c r="AM47" s="128"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29"/>
      <c r="AO47" s="129"/>
      <c r="AP47" s="129"/>
      <c r="AQ47" s="129"/>
      <c r="AR47" s="129"/>
      <c r="AS47" s="129"/>
      <c r="AT47" s="129"/>
      <c r="AU47" s="130"/>
      <c r="AV47" s="131"/>
      <c r="AW47" s="132"/>
      <c r="AX47" s="132"/>
      <c r="AY47" s="234"/>
      <c r="AZ47" s="131"/>
      <c r="BA47" s="164"/>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57"/>
      <c r="B48" s="135"/>
      <c r="C48" s="260"/>
      <c r="D48" s="260"/>
      <c r="E48" s="260"/>
      <c r="F48" s="138"/>
      <c r="G48" s="286"/>
      <c r="H48" s="141"/>
      <c r="I48" s="141"/>
      <c r="J48" s="260"/>
      <c r="K48" s="268"/>
      <c r="L48" s="280"/>
      <c r="M48" s="271"/>
      <c r="N48" s="277"/>
      <c r="O48" s="271">
        <f>IF(NOT(ISERROR(MATCH(N48,_xlfn.ANCHORARRAY(G59),0))),M61&amp;"Por favor no seleccionar los criterios de impacto",N48)</f>
        <v>0</v>
      </c>
      <c r="P48" s="280"/>
      <c r="Q48" s="271"/>
      <c r="R48" s="274"/>
      <c r="S48" s="177"/>
      <c r="T48" s="177" t="str">
        <f t="shared" si="0"/>
        <v/>
      </c>
      <c r="U48" s="177"/>
      <c r="V48" s="177" t="str">
        <f t="shared" si="1"/>
        <v/>
      </c>
      <c r="W48" s="177" t="str">
        <f t="shared" si="2"/>
        <v/>
      </c>
      <c r="X48" s="177" t="str">
        <f t="shared" si="3"/>
        <v/>
      </c>
      <c r="Y48" s="120">
        <v>2</v>
      </c>
      <c r="Z48" s="121"/>
      <c r="AA48" s="122" t="str">
        <f>IF(OR(AB48="Preventivo",AB48="Detectivo"),"Probabilidad",IF(AB48="Correctivo","Impacto",""))</f>
        <v/>
      </c>
      <c r="AB48" s="123"/>
      <c r="AC48" s="123"/>
      <c r="AD48" s="124" t="str">
        <f t="shared" ref="AD48:AD52" si="57">IF(AND(AB48="Preventivo",AC48="Automático"),"50%",IF(AND(AB48="Preventivo",AC48="Manual"),"40%",IF(AND(AB48="Detectivo",AC48="Automático"),"40%",IF(AND(AB48="Detectivo",AC48="Manual"),"30%",IF(AND(AB48="Correctivo",AC48="Automático"),"35%",IF(AND(AB48="Correctivo",AC48="Manual"),"25%",""))))))</f>
        <v/>
      </c>
      <c r="AE48" s="123"/>
      <c r="AF48" s="123"/>
      <c r="AG48" s="123"/>
      <c r="AH48" s="125" t="str">
        <f>IFERROR(IF(AND(AA47="Probabilidad",AA48="Probabilidad"),(AJ47-(+AJ47*AD48)),IF(AA48="Probabilidad",(M47-(+M47*AD48)),IF(AA48="Impacto",AJ47,""))),"")</f>
        <v/>
      </c>
      <c r="AI48" s="126" t="str">
        <f t="shared" si="5"/>
        <v/>
      </c>
      <c r="AJ48" s="127" t="str">
        <f t="shared" ref="AJ48:AJ52" si="58">+AH48</f>
        <v/>
      </c>
      <c r="AK48" s="126" t="str">
        <f t="shared" si="12"/>
        <v/>
      </c>
      <c r="AL48" s="127" t="str">
        <f>IFERROR(IF(AND(AA47="Impacto",AA48="Impacto"),(AL47-(+AL47*AD48)),IF(AA48="Impacto",(Q47-(+Q47*AD48)),IF(AA48="Probabilidad",AL47,""))),"")</f>
        <v/>
      </c>
      <c r="AM48" s="128" t="str">
        <f t="shared" ref="AM48:AM49" si="59">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29"/>
      <c r="AO48" s="129"/>
      <c r="AP48" s="129"/>
      <c r="AQ48" s="129"/>
      <c r="AR48" s="129"/>
      <c r="AS48" s="129"/>
      <c r="AT48" s="129"/>
      <c r="AU48" s="130"/>
      <c r="AV48" s="131"/>
      <c r="AW48" s="132"/>
      <c r="AX48" s="132"/>
      <c r="AY48" s="234"/>
      <c r="AZ48" s="131"/>
      <c r="BA48" s="164"/>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57"/>
      <c r="B49" s="135"/>
      <c r="C49" s="260"/>
      <c r="D49" s="260"/>
      <c r="E49" s="260"/>
      <c r="F49" s="138"/>
      <c r="G49" s="286"/>
      <c r="H49" s="141"/>
      <c r="I49" s="141"/>
      <c r="J49" s="260"/>
      <c r="K49" s="268"/>
      <c r="L49" s="280"/>
      <c r="M49" s="271"/>
      <c r="N49" s="277"/>
      <c r="O49" s="271">
        <f>IF(NOT(ISERROR(MATCH(N49,_xlfn.ANCHORARRAY(G60),0))),M62&amp;"Por favor no seleccionar los criterios de impacto",N49)</f>
        <v>0</v>
      </c>
      <c r="P49" s="280"/>
      <c r="Q49" s="271"/>
      <c r="R49" s="274"/>
      <c r="S49" s="177"/>
      <c r="T49" s="177" t="str">
        <f t="shared" si="0"/>
        <v/>
      </c>
      <c r="U49" s="177"/>
      <c r="V49" s="177" t="str">
        <f t="shared" si="1"/>
        <v/>
      </c>
      <c r="W49" s="177" t="str">
        <f t="shared" si="2"/>
        <v/>
      </c>
      <c r="X49" s="177" t="str">
        <f t="shared" si="3"/>
        <v/>
      </c>
      <c r="Y49" s="120">
        <v>3</v>
      </c>
      <c r="Z49" s="133"/>
      <c r="AA49" s="122" t="str">
        <f>IF(OR(AB49="Preventivo",AB49="Detectivo"),"Probabilidad",IF(AB49="Correctivo","Impacto",""))</f>
        <v/>
      </c>
      <c r="AB49" s="123"/>
      <c r="AC49" s="123"/>
      <c r="AD49" s="124" t="str">
        <f t="shared" si="57"/>
        <v/>
      </c>
      <c r="AE49" s="123"/>
      <c r="AF49" s="123"/>
      <c r="AG49" s="123"/>
      <c r="AH49" s="125" t="str">
        <f>IFERROR(IF(AND(AA48="Probabilidad",AA49="Probabilidad"),(AJ48-(+AJ48*AD49)),IF(AND(AA48="Impacto",AA49="Probabilidad"),(AJ47-(+AJ47*AD49)),IF(AA49="Impacto",AJ48,""))),"")</f>
        <v/>
      </c>
      <c r="AI49" s="126" t="str">
        <f t="shared" si="5"/>
        <v/>
      </c>
      <c r="AJ49" s="127" t="str">
        <f t="shared" si="58"/>
        <v/>
      </c>
      <c r="AK49" s="126" t="str">
        <f t="shared" si="12"/>
        <v/>
      </c>
      <c r="AL49" s="127" t="str">
        <f>IFERROR(IF(AND(AA48="Impacto",AA49="Impacto"),(AL48-(+AL48*AD49)),IF(AND(AA48="Probabilidad",AA49="Impacto"),(AL47-(+AL47*AD49)),IF(AA49="Probabilidad",AL48,""))),"")</f>
        <v/>
      </c>
      <c r="AM49" s="128" t="str">
        <f t="shared" si="59"/>
        <v/>
      </c>
      <c r="AN49" s="129"/>
      <c r="AO49" s="129"/>
      <c r="AP49" s="129"/>
      <c r="AQ49" s="129"/>
      <c r="AR49" s="129"/>
      <c r="AS49" s="129"/>
      <c r="AT49" s="129"/>
      <c r="AU49" s="130"/>
      <c r="AV49" s="131"/>
      <c r="AW49" s="132"/>
      <c r="AX49" s="132"/>
      <c r="AY49" s="234"/>
      <c r="AZ49" s="131"/>
      <c r="BA49" s="164"/>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57"/>
      <c r="B50" s="135"/>
      <c r="C50" s="260"/>
      <c r="D50" s="260"/>
      <c r="E50" s="260"/>
      <c r="F50" s="138"/>
      <c r="G50" s="286"/>
      <c r="H50" s="141"/>
      <c r="I50" s="141"/>
      <c r="J50" s="260"/>
      <c r="K50" s="268"/>
      <c r="L50" s="280"/>
      <c r="M50" s="271"/>
      <c r="N50" s="277"/>
      <c r="O50" s="271">
        <f>IF(NOT(ISERROR(MATCH(N50,_xlfn.ANCHORARRAY(G61),0))),M63&amp;"Por favor no seleccionar los criterios de impacto",N50)</f>
        <v>0</v>
      </c>
      <c r="P50" s="280"/>
      <c r="Q50" s="271"/>
      <c r="R50" s="274"/>
      <c r="S50" s="177"/>
      <c r="T50" s="177" t="str">
        <f t="shared" si="0"/>
        <v/>
      </c>
      <c r="U50" s="177"/>
      <c r="V50" s="177" t="str">
        <f t="shared" si="1"/>
        <v/>
      </c>
      <c r="W50" s="177" t="str">
        <f t="shared" si="2"/>
        <v/>
      </c>
      <c r="X50" s="177" t="str">
        <f t="shared" si="3"/>
        <v/>
      </c>
      <c r="Y50" s="120">
        <v>4</v>
      </c>
      <c r="Z50" s="121"/>
      <c r="AA50" s="122" t="str">
        <f t="shared" ref="AA50:AA52" si="60">IF(OR(AB50="Preventivo",AB50="Detectivo"),"Probabilidad",IF(AB50="Correctivo","Impacto",""))</f>
        <v/>
      </c>
      <c r="AB50" s="123"/>
      <c r="AC50" s="123"/>
      <c r="AD50" s="124" t="str">
        <f t="shared" si="57"/>
        <v/>
      </c>
      <c r="AE50" s="123"/>
      <c r="AF50" s="123"/>
      <c r="AG50" s="123"/>
      <c r="AH50" s="125" t="str">
        <f t="shared" ref="AH50:AH52" si="61">IFERROR(IF(AND(AA49="Probabilidad",AA50="Probabilidad"),(AJ49-(+AJ49*AD50)),IF(AND(AA49="Impacto",AA50="Probabilidad"),(AJ48-(+AJ48*AD50)),IF(AA50="Impacto",AJ49,""))),"")</f>
        <v/>
      </c>
      <c r="AI50" s="126" t="str">
        <f t="shared" si="5"/>
        <v/>
      </c>
      <c r="AJ50" s="127" t="str">
        <f t="shared" si="58"/>
        <v/>
      </c>
      <c r="AK50" s="126" t="str">
        <f t="shared" si="12"/>
        <v/>
      </c>
      <c r="AL50" s="127" t="str">
        <f t="shared" ref="AL50:AL52" si="62">IFERROR(IF(AND(AA49="Impacto",AA50="Impacto"),(AL49-(+AL49*AD50)),IF(AND(AA49="Probabilidad",AA50="Impacto"),(AL48-(+AL48*AD50)),IF(AA50="Probabilidad",AL49,""))),"")</f>
        <v/>
      </c>
      <c r="AM50" s="128" t="str">
        <f>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29"/>
      <c r="AO50" s="129"/>
      <c r="AP50" s="129"/>
      <c r="AQ50" s="129"/>
      <c r="AR50" s="129"/>
      <c r="AS50" s="129"/>
      <c r="AT50" s="129"/>
      <c r="AU50" s="130"/>
      <c r="AV50" s="131"/>
      <c r="AW50" s="132"/>
      <c r="AX50" s="132"/>
      <c r="AY50" s="234"/>
      <c r="AZ50" s="131"/>
      <c r="BA50" s="164"/>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57"/>
      <c r="B51" s="135"/>
      <c r="C51" s="260"/>
      <c r="D51" s="260"/>
      <c r="E51" s="260"/>
      <c r="F51" s="138"/>
      <c r="G51" s="286"/>
      <c r="H51" s="141"/>
      <c r="I51" s="141"/>
      <c r="J51" s="260"/>
      <c r="K51" s="268"/>
      <c r="L51" s="280"/>
      <c r="M51" s="271"/>
      <c r="N51" s="277"/>
      <c r="O51" s="271">
        <f>IF(NOT(ISERROR(MATCH(N51,_xlfn.ANCHORARRAY(G62),0))),M64&amp;"Por favor no seleccionar los criterios de impacto",N51)</f>
        <v>0</v>
      </c>
      <c r="P51" s="280"/>
      <c r="Q51" s="271"/>
      <c r="R51" s="274"/>
      <c r="S51" s="177"/>
      <c r="T51" s="177" t="str">
        <f t="shared" si="0"/>
        <v/>
      </c>
      <c r="U51" s="177"/>
      <c r="V51" s="177" t="str">
        <f t="shared" si="1"/>
        <v/>
      </c>
      <c r="W51" s="177" t="str">
        <f t="shared" si="2"/>
        <v/>
      </c>
      <c r="X51" s="177" t="str">
        <f t="shared" si="3"/>
        <v/>
      </c>
      <c r="Y51" s="120">
        <v>5</v>
      </c>
      <c r="Z51" s="121"/>
      <c r="AA51" s="122" t="str">
        <f t="shared" si="60"/>
        <v/>
      </c>
      <c r="AB51" s="123"/>
      <c r="AC51" s="123"/>
      <c r="AD51" s="124" t="str">
        <f t="shared" si="57"/>
        <v/>
      </c>
      <c r="AE51" s="123"/>
      <c r="AF51" s="123"/>
      <c r="AG51" s="123"/>
      <c r="AH51" s="125" t="str">
        <f t="shared" si="61"/>
        <v/>
      </c>
      <c r="AI51" s="126" t="str">
        <f t="shared" si="5"/>
        <v/>
      </c>
      <c r="AJ51" s="127" t="str">
        <f t="shared" si="58"/>
        <v/>
      </c>
      <c r="AK51" s="126" t="str">
        <f t="shared" si="12"/>
        <v/>
      </c>
      <c r="AL51" s="127" t="str">
        <f t="shared" si="62"/>
        <v/>
      </c>
      <c r="AM51" s="128" t="str">
        <f t="shared" ref="AM51:AM52" si="63">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29"/>
      <c r="AO51" s="129"/>
      <c r="AP51" s="129"/>
      <c r="AQ51" s="129"/>
      <c r="AR51" s="129"/>
      <c r="AS51" s="129"/>
      <c r="AT51" s="129"/>
      <c r="AU51" s="130"/>
      <c r="AV51" s="131"/>
      <c r="AW51" s="132"/>
      <c r="AX51" s="132"/>
      <c r="AY51" s="234"/>
      <c r="AZ51" s="131"/>
      <c r="BA51" s="164"/>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58"/>
      <c r="B52" s="136"/>
      <c r="C52" s="261"/>
      <c r="D52" s="261"/>
      <c r="E52" s="261"/>
      <c r="F52" s="139"/>
      <c r="G52" s="287"/>
      <c r="H52" s="142"/>
      <c r="I52" s="142"/>
      <c r="J52" s="261"/>
      <c r="K52" s="269"/>
      <c r="L52" s="281"/>
      <c r="M52" s="272"/>
      <c r="N52" s="278"/>
      <c r="O52" s="272">
        <f>IF(NOT(ISERROR(MATCH(N52,_xlfn.ANCHORARRAY(G63),0))),M65&amp;"Por favor no seleccionar los criterios de impacto",N52)</f>
        <v>0</v>
      </c>
      <c r="P52" s="281"/>
      <c r="Q52" s="272"/>
      <c r="R52" s="275"/>
      <c r="S52" s="177"/>
      <c r="T52" s="177" t="str">
        <f t="shared" si="0"/>
        <v/>
      </c>
      <c r="U52" s="177"/>
      <c r="V52" s="177" t="str">
        <f t="shared" si="1"/>
        <v/>
      </c>
      <c r="W52" s="177" t="str">
        <f t="shared" si="2"/>
        <v/>
      </c>
      <c r="X52" s="177" t="str">
        <f t="shared" si="3"/>
        <v/>
      </c>
      <c r="Y52" s="120">
        <v>6</v>
      </c>
      <c r="Z52" s="121"/>
      <c r="AA52" s="122" t="str">
        <f t="shared" si="60"/>
        <v/>
      </c>
      <c r="AB52" s="123"/>
      <c r="AC52" s="123"/>
      <c r="AD52" s="124" t="str">
        <f t="shared" si="57"/>
        <v/>
      </c>
      <c r="AE52" s="123"/>
      <c r="AF52" s="123"/>
      <c r="AG52" s="123"/>
      <c r="AH52" s="125" t="str">
        <f t="shared" si="61"/>
        <v/>
      </c>
      <c r="AI52" s="126" t="str">
        <f t="shared" si="5"/>
        <v/>
      </c>
      <c r="AJ52" s="127" t="str">
        <f t="shared" si="58"/>
        <v/>
      </c>
      <c r="AK52" s="126" t="str">
        <f t="shared" si="12"/>
        <v/>
      </c>
      <c r="AL52" s="127" t="str">
        <f t="shared" si="62"/>
        <v/>
      </c>
      <c r="AM52" s="128" t="str">
        <f t="shared" si="63"/>
        <v/>
      </c>
      <c r="AN52" s="129"/>
      <c r="AO52" s="129"/>
      <c r="AP52" s="129"/>
      <c r="AQ52" s="129"/>
      <c r="AR52" s="129"/>
      <c r="AS52" s="129"/>
      <c r="AT52" s="129"/>
      <c r="AU52" s="130"/>
      <c r="AV52" s="131"/>
      <c r="AW52" s="132"/>
      <c r="AX52" s="132"/>
      <c r="AY52" s="234"/>
      <c r="AZ52" s="131"/>
      <c r="BA52" s="164"/>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56">
        <v>9</v>
      </c>
      <c r="B53" s="134"/>
      <c r="C53" s="259"/>
      <c r="D53" s="259"/>
      <c r="E53" s="259"/>
      <c r="F53" s="137"/>
      <c r="G53" s="285"/>
      <c r="H53" s="140"/>
      <c r="I53" s="140"/>
      <c r="J53" s="259"/>
      <c r="K53" s="267"/>
      <c r="L53" s="279" t="str">
        <f>IF(K53&lt;=0,"",IF(K53&lt;=2,"Muy Baja",IF(K53&lt;=24,"Baja",IF(K53&lt;=500,"Media",IF(K53&lt;=5000,"Alta","Muy Alta")))))</f>
        <v/>
      </c>
      <c r="M53" s="270" t="str">
        <f>IF(L53="","",IF(L53="Muy Baja",0.2,IF(L53="Baja",0.4,IF(L53="Media",0.6,IF(L53="Alta",0.8,IF(L53="Muy Alta",1,))))))</f>
        <v/>
      </c>
      <c r="N53" s="276"/>
      <c r="O53" s="270">
        <f>IF(NOT(ISERROR(MATCH(N53,'Tabla Impacto'!$B$221:$B$223,0))),'Tabla Impacto'!$F$223&amp;"Por favor no seleccionar los criterios de impacto(Afectación Económica o presupuestal y Pérdida Reputacional)",N53)</f>
        <v>0</v>
      </c>
      <c r="P53" s="279" t="str">
        <f>IF(OR(O53='Tabla Impacto'!$C$11,O53='Tabla Impacto'!$D$11),"Leve",IF(OR(O53='Tabla Impacto'!$C$12,O53='Tabla Impacto'!$D$12),"Menor",IF(OR(O53='Tabla Impacto'!$C$13,O53='Tabla Impacto'!$D$13),"Moderado",IF(OR(O53='Tabla Impacto'!$C$14,O53='Tabla Impacto'!$D$14),"Mayor",IF(OR(O53='Tabla Impacto'!$C$15,O53='Tabla Impacto'!$D$15),"Catastrófico","")))))</f>
        <v/>
      </c>
      <c r="Q53" s="270" t="str">
        <f>IF(P53="","",IF(P53="Leve",0.2,IF(P53="Menor",0.4,IF(P53="Moderado",0.6,IF(P53="Mayor",0.8,IF(P53="Catastrófico",1,))))))</f>
        <v/>
      </c>
      <c r="R53" s="273" t="str">
        <f>IF(OR(AND(L53="Muy Baja",P53="Leve"),AND(L53="Muy Baja",P53="Menor"),AND(L53="Baja",P53="Leve")),"Bajo",IF(OR(AND(L53="Muy baja",P53="Moderado"),AND(L53="Baja",P53="Menor"),AND(L53="Baja",P53="Moderado"),AND(L53="Media",P53="Leve"),AND(L53="Media",P53="Menor"),AND(L53="Media",P53="Moderado"),AND(L53="Alta",P53="Leve"),AND(L53="Alta",P53="Menor")),"Moderado",IF(OR(AND(L53="Muy Baja",P53="Mayor"),AND(L53="Baja",P53="Mayor"),AND(L53="Media",P53="Mayor"),AND(L53="Alta",P53="Moderado"),AND(L53="Alta",P53="Mayor"),AND(L53="Muy Alta",P53="Leve"),AND(L53="Muy Alta",P53="Menor"),AND(L53="Muy Alta",P53="Moderado"),AND(L53="Muy Alta",P53="Mayor")),"Alto",IF(OR(AND(L53="Muy Baja",P53="Catastrófico"),AND(L53="Baja",P53="Catastrófico"),AND(L53="Media",P53="Catastrófico"),AND(L53="Alta",P53="Catastrófico"),AND(L53="Muy Alta",P53="Catastrófico")),"Extremo",""))))</f>
        <v/>
      </c>
      <c r="S53" s="177"/>
      <c r="T53" s="177" t="str">
        <f t="shared" si="0"/>
        <v/>
      </c>
      <c r="U53" s="177"/>
      <c r="V53" s="177" t="str">
        <f t="shared" si="1"/>
        <v/>
      </c>
      <c r="W53" s="177" t="str">
        <f t="shared" si="2"/>
        <v/>
      </c>
      <c r="X53" s="177" t="str">
        <f t="shared" si="3"/>
        <v/>
      </c>
      <c r="Y53" s="120">
        <v>1</v>
      </c>
      <c r="Z53" s="121"/>
      <c r="AA53" s="122" t="str">
        <f>IF(OR(AB53="Preventivo",AB53="Detectivo"),"Probabilidad",IF(AB53="Correctivo","Impacto",""))</f>
        <v/>
      </c>
      <c r="AB53" s="123"/>
      <c r="AC53" s="123"/>
      <c r="AD53" s="124" t="str">
        <f>IF(AND(AB53="Preventivo",AC53="Automático"),"50%",IF(AND(AB53="Preventivo",AC53="Manual"),"40%",IF(AND(AB53="Detectivo",AC53="Automático"),"40%",IF(AND(AB53="Detectivo",AC53="Manual"),"30%",IF(AND(AB53="Correctivo",AC53="Automático"),"35%",IF(AND(AB53="Correctivo",AC53="Manual"),"25%",""))))))</f>
        <v/>
      </c>
      <c r="AE53" s="123"/>
      <c r="AF53" s="123"/>
      <c r="AG53" s="123"/>
      <c r="AH53" s="125" t="str">
        <f>IFERROR(IF(AA53="Probabilidad",(M53-(+M53*AD53)),IF(AA53="Impacto",M53,"")),"")</f>
        <v/>
      </c>
      <c r="AI53" s="126" t="str">
        <f>IFERROR(IF(AH53="","",IF(AH53&lt;=0.2,"Muy Baja",IF(AH53&lt;=0.4,"Baja",IF(AH53&lt;=0.6,"Media",IF(AH53&lt;=0.8,"Alta","Muy Alta"))))),"")</f>
        <v/>
      </c>
      <c r="AJ53" s="127" t="str">
        <f>+AH53</f>
        <v/>
      </c>
      <c r="AK53" s="126" t="str">
        <f>IFERROR(IF(AL53="","",IF(AL53&lt;=0.2,"Leve",IF(AL53&lt;=0.4,"Menor",IF(AL53&lt;=0.6,"Moderado",IF(AL53&lt;=0.8,"Mayor","Catastrófico"))))),"")</f>
        <v/>
      </c>
      <c r="AL53" s="127" t="str">
        <f>IFERROR(IF(AA53="Impacto",(Q53-(+Q53*AD53)),IF(AA53="Probabilidad",Q53,"")),"")</f>
        <v/>
      </c>
      <c r="AM53" s="128" t="str">
        <f>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29"/>
      <c r="AO53" s="129"/>
      <c r="AP53" s="129"/>
      <c r="AQ53" s="129"/>
      <c r="AR53" s="129"/>
      <c r="AS53" s="129"/>
      <c r="AT53" s="129"/>
      <c r="AU53" s="130"/>
      <c r="AV53" s="131"/>
      <c r="AW53" s="132"/>
      <c r="AX53" s="132"/>
      <c r="AY53" s="234"/>
      <c r="AZ53" s="131"/>
      <c r="BA53" s="164"/>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57"/>
      <c r="B54" s="135"/>
      <c r="C54" s="260"/>
      <c r="D54" s="260"/>
      <c r="E54" s="260"/>
      <c r="F54" s="138"/>
      <c r="G54" s="286"/>
      <c r="H54" s="141"/>
      <c r="I54" s="141"/>
      <c r="J54" s="260"/>
      <c r="K54" s="268"/>
      <c r="L54" s="280"/>
      <c r="M54" s="271"/>
      <c r="N54" s="277"/>
      <c r="O54" s="271">
        <f>IF(NOT(ISERROR(MATCH(N54,_xlfn.ANCHORARRAY(G65),0))),M67&amp;"Por favor no seleccionar los criterios de impacto",N54)</f>
        <v>0</v>
      </c>
      <c r="P54" s="280"/>
      <c r="Q54" s="271"/>
      <c r="R54" s="274"/>
      <c r="S54" s="177"/>
      <c r="T54" s="177" t="str">
        <f t="shared" si="0"/>
        <v/>
      </c>
      <c r="U54" s="177"/>
      <c r="V54" s="177" t="str">
        <f t="shared" si="1"/>
        <v/>
      </c>
      <c r="W54" s="177" t="str">
        <f t="shared" si="2"/>
        <v/>
      </c>
      <c r="X54" s="177" t="str">
        <f t="shared" si="3"/>
        <v/>
      </c>
      <c r="Y54" s="120">
        <v>2</v>
      </c>
      <c r="Z54" s="121"/>
      <c r="AA54" s="122" t="str">
        <f>IF(OR(AB54="Preventivo",AB54="Detectivo"),"Probabilidad",IF(AB54="Correctivo","Impacto",""))</f>
        <v/>
      </c>
      <c r="AB54" s="123"/>
      <c r="AC54" s="123"/>
      <c r="AD54" s="124" t="str">
        <f t="shared" ref="AD54:AD58" si="64">IF(AND(AB54="Preventivo",AC54="Automático"),"50%",IF(AND(AB54="Preventivo",AC54="Manual"),"40%",IF(AND(AB54="Detectivo",AC54="Automático"),"40%",IF(AND(AB54="Detectivo",AC54="Manual"),"30%",IF(AND(AB54="Correctivo",AC54="Automático"),"35%",IF(AND(AB54="Correctivo",AC54="Manual"),"25%",""))))))</f>
        <v/>
      </c>
      <c r="AE54" s="123"/>
      <c r="AF54" s="123"/>
      <c r="AG54" s="123"/>
      <c r="AH54" s="125" t="str">
        <f>IFERROR(IF(AND(AA53="Probabilidad",AA54="Probabilidad"),(AJ53-(+AJ53*AD54)),IF(AA54="Probabilidad",(M53-(+M53*AD54)),IF(AA54="Impacto",AJ53,""))),"")</f>
        <v/>
      </c>
      <c r="AI54" s="126" t="str">
        <f t="shared" si="5"/>
        <v/>
      </c>
      <c r="AJ54" s="127" t="str">
        <f t="shared" ref="AJ54:AJ58" si="65">+AH54</f>
        <v/>
      </c>
      <c r="AK54" s="126" t="str">
        <f t="shared" si="12"/>
        <v/>
      </c>
      <c r="AL54" s="127" t="str">
        <f>IFERROR(IF(AND(AA53="Impacto",AA54="Impacto"),(AL53-(+AL53*AD54)),IF(AA54="Impacto",(Q53-(+Q53*AD54)),IF(AA54="Probabilidad",AL53,""))),"")</f>
        <v/>
      </c>
      <c r="AM54" s="128" t="str">
        <f t="shared" ref="AM54:AM55" si="66">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29"/>
      <c r="AO54" s="129"/>
      <c r="AP54" s="129"/>
      <c r="AQ54" s="129"/>
      <c r="AR54" s="129"/>
      <c r="AS54" s="129"/>
      <c r="AT54" s="129"/>
      <c r="AU54" s="130"/>
      <c r="AV54" s="131"/>
      <c r="AW54" s="132"/>
      <c r="AX54" s="132"/>
      <c r="AY54" s="234"/>
      <c r="AZ54" s="131"/>
      <c r="BA54" s="164"/>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row>
    <row r="55" spans="1:84" ht="151.5" customHeight="1" x14ac:dyDescent="0.3">
      <c r="A55" s="257"/>
      <c r="B55" s="135"/>
      <c r="C55" s="260"/>
      <c r="D55" s="260"/>
      <c r="E55" s="260"/>
      <c r="F55" s="138"/>
      <c r="G55" s="286"/>
      <c r="H55" s="141"/>
      <c r="I55" s="141"/>
      <c r="J55" s="260"/>
      <c r="K55" s="268"/>
      <c r="L55" s="280"/>
      <c r="M55" s="271"/>
      <c r="N55" s="277"/>
      <c r="O55" s="271">
        <f>IF(NOT(ISERROR(MATCH(N55,_xlfn.ANCHORARRAY(G66),0))),M68&amp;"Por favor no seleccionar los criterios de impacto",N55)</f>
        <v>0</v>
      </c>
      <c r="P55" s="280"/>
      <c r="Q55" s="271"/>
      <c r="R55" s="274"/>
      <c r="S55" s="177"/>
      <c r="T55" s="177" t="str">
        <f t="shared" si="0"/>
        <v/>
      </c>
      <c r="U55" s="177"/>
      <c r="V55" s="177" t="str">
        <f t="shared" si="1"/>
        <v/>
      </c>
      <c r="W55" s="177" t="str">
        <f t="shared" si="2"/>
        <v/>
      </c>
      <c r="X55" s="177" t="str">
        <f t="shared" si="3"/>
        <v/>
      </c>
      <c r="Y55" s="120">
        <v>3</v>
      </c>
      <c r="Z55" s="133"/>
      <c r="AA55" s="122" t="str">
        <f>IF(OR(AB55="Preventivo",AB55="Detectivo"),"Probabilidad",IF(AB55="Correctivo","Impacto",""))</f>
        <v/>
      </c>
      <c r="AB55" s="123"/>
      <c r="AC55" s="123"/>
      <c r="AD55" s="124" t="str">
        <f t="shared" si="64"/>
        <v/>
      </c>
      <c r="AE55" s="123"/>
      <c r="AF55" s="123"/>
      <c r="AG55" s="123"/>
      <c r="AH55" s="125" t="str">
        <f>IFERROR(IF(AND(AA54="Probabilidad",AA55="Probabilidad"),(AJ54-(+AJ54*AD55)),IF(AND(AA54="Impacto",AA55="Probabilidad"),(AJ53-(+AJ53*AD55)),IF(AA55="Impacto",AJ54,""))),"")</f>
        <v/>
      </c>
      <c r="AI55" s="126" t="str">
        <f t="shared" si="5"/>
        <v/>
      </c>
      <c r="AJ55" s="127" t="str">
        <f t="shared" si="65"/>
        <v/>
      </c>
      <c r="AK55" s="126" t="str">
        <f t="shared" si="12"/>
        <v/>
      </c>
      <c r="AL55" s="127" t="str">
        <f>IFERROR(IF(AND(AA54="Impacto",AA55="Impacto"),(AL54-(+AL54*AD55)),IF(AND(AA54="Probabilidad",AA55="Impacto"),(AL53-(+AL53*AD55)),IF(AA55="Probabilidad",AL54,""))),"")</f>
        <v/>
      </c>
      <c r="AM55" s="128" t="str">
        <f t="shared" si="66"/>
        <v/>
      </c>
      <c r="AN55" s="129"/>
      <c r="AO55" s="129"/>
      <c r="AP55" s="129"/>
      <c r="AQ55" s="129"/>
      <c r="AR55" s="129"/>
      <c r="AS55" s="129"/>
      <c r="AT55" s="129"/>
      <c r="AU55" s="130"/>
      <c r="AV55" s="131"/>
      <c r="AW55" s="132"/>
      <c r="AX55" s="132"/>
      <c r="AY55" s="234"/>
      <c r="AZ55" s="131"/>
      <c r="BA55" s="164"/>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row>
    <row r="56" spans="1:84" ht="151.5" customHeight="1" x14ac:dyDescent="0.3">
      <c r="A56" s="257"/>
      <c r="B56" s="135"/>
      <c r="C56" s="260"/>
      <c r="D56" s="260"/>
      <c r="E56" s="260"/>
      <c r="F56" s="138"/>
      <c r="G56" s="286"/>
      <c r="H56" s="141"/>
      <c r="I56" s="141"/>
      <c r="J56" s="260"/>
      <c r="K56" s="268"/>
      <c r="L56" s="280"/>
      <c r="M56" s="271"/>
      <c r="N56" s="277"/>
      <c r="O56" s="271">
        <f>IF(NOT(ISERROR(MATCH(N56,_xlfn.ANCHORARRAY(G67),0))),M69&amp;"Por favor no seleccionar los criterios de impacto",N56)</f>
        <v>0</v>
      </c>
      <c r="P56" s="280"/>
      <c r="Q56" s="271"/>
      <c r="R56" s="274"/>
      <c r="S56" s="177"/>
      <c r="T56" s="177" t="str">
        <f t="shared" si="0"/>
        <v/>
      </c>
      <c r="U56" s="177"/>
      <c r="V56" s="177" t="str">
        <f t="shared" si="1"/>
        <v/>
      </c>
      <c r="W56" s="177" t="str">
        <f t="shared" si="2"/>
        <v/>
      </c>
      <c r="X56" s="177" t="str">
        <f t="shared" si="3"/>
        <v/>
      </c>
      <c r="Y56" s="120">
        <v>4</v>
      </c>
      <c r="Z56" s="121"/>
      <c r="AA56" s="122" t="str">
        <f t="shared" ref="AA56:AA58" si="67">IF(OR(AB56="Preventivo",AB56="Detectivo"),"Probabilidad",IF(AB56="Correctivo","Impacto",""))</f>
        <v/>
      </c>
      <c r="AB56" s="123"/>
      <c r="AC56" s="123"/>
      <c r="AD56" s="124" t="str">
        <f t="shared" si="64"/>
        <v/>
      </c>
      <c r="AE56" s="123"/>
      <c r="AF56" s="123"/>
      <c r="AG56" s="123"/>
      <c r="AH56" s="125" t="str">
        <f t="shared" ref="AH56:AH58" si="68">IFERROR(IF(AND(AA55="Probabilidad",AA56="Probabilidad"),(AJ55-(+AJ55*AD56)),IF(AND(AA55="Impacto",AA56="Probabilidad"),(AJ54-(+AJ54*AD56)),IF(AA56="Impacto",AJ55,""))),"")</f>
        <v/>
      </c>
      <c r="AI56" s="126" t="str">
        <f t="shared" si="5"/>
        <v/>
      </c>
      <c r="AJ56" s="127" t="str">
        <f t="shared" si="65"/>
        <v/>
      </c>
      <c r="AK56" s="126" t="str">
        <f t="shared" si="12"/>
        <v/>
      </c>
      <c r="AL56" s="127" t="str">
        <f t="shared" ref="AL56:AL58" si="69">IFERROR(IF(AND(AA55="Impacto",AA56="Impacto"),(AL55-(+AL55*AD56)),IF(AND(AA55="Probabilidad",AA56="Impacto"),(AL54-(+AL54*AD56)),IF(AA56="Probabilidad",AL55,""))),"")</f>
        <v/>
      </c>
      <c r="AM56" s="128" t="str">
        <f>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29"/>
      <c r="AO56" s="129"/>
      <c r="AP56" s="129"/>
      <c r="AQ56" s="129"/>
      <c r="AR56" s="129"/>
      <c r="AS56" s="129"/>
      <c r="AT56" s="129"/>
      <c r="AU56" s="130"/>
      <c r="AV56" s="131"/>
      <c r="AW56" s="132"/>
      <c r="AX56" s="132"/>
      <c r="AY56" s="234"/>
      <c r="AZ56" s="131"/>
      <c r="BA56" s="164"/>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row>
    <row r="57" spans="1:84" ht="151.5" customHeight="1" x14ac:dyDescent="0.3">
      <c r="A57" s="257"/>
      <c r="B57" s="135"/>
      <c r="C57" s="260"/>
      <c r="D57" s="260"/>
      <c r="E57" s="260"/>
      <c r="F57" s="138"/>
      <c r="G57" s="286"/>
      <c r="H57" s="141"/>
      <c r="I57" s="141"/>
      <c r="J57" s="260"/>
      <c r="K57" s="268"/>
      <c r="L57" s="280"/>
      <c r="M57" s="271"/>
      <c r="N57" s="277"/>
      <c r="O57" s="271">
        <f>IF(NOT(ISERROR(MATCH(N57,_xlfn.ANCHORARRAY(G68),0))),M70&amp;"Por favor no seleccionar los criterios de impacto",N57)</f>
        <v>0</v>
      </c>
      <c r="P57" s="280"/>
      <c r="Q57" s="271"/>
      <c r="R57" s="274"/>
      <c r="S57" s="177"/>
      <c r="T57" s="177" t="str">
        <f t="shared" si="0"/>
        <v/>
      </c>
      <c r="U57" s="177"/>
      <c r="V57" s="177" t="str">
        <f t="shared" si="1"/>
        <v/>
      </c>
      <c r="W57" s="177" t="str">
        <f t="shared" si="2"/>
        <v/>
      </c>
      <c r="X57" s="177" t="str">
        <f t="shared" si="3"/>
        <v/>
      </c>
      <c r="Y57" s="120">
        <v>5</v>
      </c>
      <c r="Z57" s="121"/>
      <c r="AA57" s="122" t="str">
        <f t="shared" si="67"/>
        <v/>
      </c>
      <c r="AB57" s="123"/>
      <c r="AC57" s="123"/>
      <c r="AD57" s="124" t="str">
        <f t="shared" si="64"/>
        <v/>
      </c>
      <c r="AE57" s="123"/>
      <c r="AF57" s="123"/>
      <c r="AG57" s="123"/>
      <c r="AH57" s="125" t="str">
        <f t="shared" si="68"/>
        <v/>
      </c>
      <c r="AI57" s="126" t="str">
        <f t="shared" si="5"/>
        <v/>
      </c>
      <c r="AJ57" s="127" t="str">
        <f t="shared" si="65"/>
        <v/>
      </c>
      <c r="AK57" s="126" t="str">
        <f t="shared" si="12"/>
        <v/>
      </c>
      <c r="AL57" s="127" t="str">
        <f t="shared" si="69"/>
        <v/>
      </c>
      <c r="AM57" s="128" t="str">
        <f t="shared" ref="AM57:AM58" si="70">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29"/>
      <c r="AO57" s="129"/>
      <c r="AP57" s="129"/>
      <c r="AQ57" s="129"/>
      <c r="AR57" s="129"/>
      <c r="AS57" s="129"/>
      <c r="AT57" s="129"/>
      <c r="AU57" s="130"/>
      <c r="AV57" s="131"/>
      <c r="AW57" s="132"/>
      <c r="AX57" s="132"/>
      <c r="AY57" s="234"/>
      <c r="AZ57" s="131"/>
      <c r="BA57" s="164"/>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row>
    <row r="58" spans="1:84" ht="151.5" customHeight="1" x14ac:dyDescent="0.3">
      <c r="A58" s="258"/>
      <c r="B58" s="136"/>
      <c r="C58" s="261"/>
      <c r="D58" s="261"/>
      <c r="E58" s="261"/>
      <c r="F58" s="139"/>
      <c r="G58" s="287"/>
      <c r="H58" s="142"/>
      <c r="I58" s="142"/>
      <c r="J58" s="261"/>
      <c r="K58" s="269"/>
      <c r="L58" s="281"/>
      <c r="M58" s="272"/>
      <c r="N58" s="278"/>
      <c r="O58" s="272">
        <f>IF(NOT(ISERROR(MATCH(N58,_xlfn.ANCHORARRAY(G69),0))),M71&amp;"Por favor no seleccionar los criterios de impacto",N58)</f>
        <v>0</v>
      </c>
      <c r="P58" s="281"/>
      <c r="Q58" s="272"/>
      <c r="R58" s="275"/>
      <c r="S58" s="177"/>
      <c r="T58" s="177" t="str">
        <f t="shared" si="0"/>
        <v/>
      </c>
      <c r="U58" s="177"/>
      <c r="V58" s="177" t="str">
        <f t="shared" si="1"/>
        <v/>
      </c>
      <c r="W58" s="177" t="str">
        <f t="shared" si="2"/>
        <v/>
      </c>
      <c r="X58" s="177" t="str">
        <f t="shared" si="3"/>
        <v/>
      </c>
      <c r="Y58" s="120">
        <v>6</v>
      </c>
      <c r="Z58" s="121"/>
      <c r="AA58" s="122" t="str">
        <f t="shared" si="67"/>
        <v/>
      </c>
      <c r="AB58" s="123"/>
      <c r="AC58" s="123"/>
      <c r="AD58" s="124" t="str">
        <f t="shared" si="64"/>
        <v/>
      </c>
      <c r="AE58" s="123"/>
      <c r="AF58" s="123"/>
      <c r="AG58" s="123"/>
      <c r="AH58" s="125" t="str">
        <f t="shared" si="68"/>
        <v/>
      </c>
      <c r="AI58" s="126" t="str">
        <f t="shared" si="5"/>
        <v/>
      </c>
      <c r="AJ58" s="127" t="str">
        <f t="shared" si="65"/>
        <v/>
      </c>
      <c r="AK58" s="126" t="str">
        <f t="shared" si="12"/>
        <v/>
      </c>
      <c r="AL58" s="127" t="str">
        <f t="shared" si="69"/>
        <v/>
      </c>
      <c r="AM58" s="128" t="str">
        <f t="shared" si="70"/>
        <v/>
      </c>
      <c r="AN58" s="129"/>
      <c r="AO58" s="129"/>
      <c r="AP58" s="129"/>
      <c r="AQ58" s="129"/>
      <c r="AR58" s="129"/>
      <c r="AS58" s="129"/>
      <c r="AT58" s="129"/>
      <c r="AU58" s="130"/>
      <c r="AV58" s="131"/>
      <c r="AW58" s="132"/>
      <c r="AX58" s="132"/>
      <c r="AY58" s="234"/>
      <c r="AZ58" s="131"/>
      <c r="BA58" s="164"/>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row>
    <row r="59" spans="1:84" ht="151.5" customHeight="1" x14ac:dyDescent="0.3">
      <c r="A59" s="256">
        <v>10</v>
      </c>
      <c r="B59" s="134"/>
      <c r="C59" s="259"/>
      <c r="D59" s="259"/>
      <c r="E59" s="259"/>
      <c r="F59" s="137"/>
      <c r="G59" s="285"/>
      <c r="H59" s="140"/>
      <c r="I59" s="140"/>
      <c r="J59" s="259"/>
      <c r="K59" s="267"/>
      <c r="L59" s="279" t="str">
        <f>IF(K59&lt;=0,"",IF(K59&lt;=2,"Muy Baja",IF(K59&lt;=24,"Baja",IF(K59&lt;=500,"Media",IF(K59&lt;=5000,"Alta","Muy Alta")))))</f>
        <v/>
      </c>
      <c r="M59" s="270" t="str">
        <f>IF(L59="","",IF(L59="Muy Baja",0.2,IF(L59="Baja",0.4,IF(L59="Media",0.6,IF(L59="Alta",0.8,IF(L59="Muy Alta",1,))))))</f>
        <v/>
      </c>
      <c r="N59" s="276"/>
      <c r="O59" s="270">
        <f>IF(NOT(ISERROR(MATCH(N59,'Tabla Impacto'!$B$221:$B$223,0))),'Tabla Impacto'!$F$223&amp;"Por favor no seleccionar los criterios de impacto(Afectación Económica o presupuestal y Pérdida Reputacional)",N59)</f>
        <v>0</v>
      </c>
      <c r="P59" s="279" t="str">
        <f>IF(OR(O59='Tabla Impacto'!$C$11,O59='Tabla Impacto'!$D$11),"Leve",IF(OR(O59='Tabla Impacto'!$C$12,O59='Tabla Impacto'!$D$12),"Menor",IF(OR(O59='Tabla Impacto'!$C$13,O59='Tabla Impacto'!$D$13),"Moderado",IF(OR(O59='Tabla Impacto'!$C$14,O59='Tabla Impacto'!$D$14),"Mayor",IF(OR(O59='Tabla Impacto'!$C$15,O59='Tabla Impacto'!$D$15),"Catastrófico","")))))</f>
        <v/>
      </c>
      <c r="Q59" s="270" t="str">
        <f>IF(P59="","",IF(P59="Leve",0.2,IF(P59="Menor",0.4,IF(P59="Moderado",0.6,IF(P59="Mayor",0.8,IF(P59="Catastrófico",1,))))))</f>
        <v/>
      </c>
      <c r="R59" s="273" t="str">
        <f>IF(OR(AND(L59="Muy Baja",P59="Leve"),AND(L59="Muy Baja",P59="Menor"),AND(L59="Baja",P59="Leve")),"Bajo",IF(OR(AND(L59="Muy baja",P59="Moderado"),AND(L59="Baja",P59="Menor"),AND(L59="Baja",P59="Moderado"),AND(L59="Media",P59="Leve"),AND(L59="Media",P59="Menor"),AND(L59="Media",P59="Moderado"),AND(L59="Alta",P59="Leve"),AND(L59="Alta",P59="Menor")),"Moderado",IF(OR(AND(L59="Muy Baja",P59="Mayor"),AND(L59="Baja",P59="Mayor"),AND(L59="Media",P59="Mayor"),AND(L59="Alta",P59="Moderado"),AND(L59="Alta",P59="Mayor"),AND(L59="Muy Alta",P59="Leve"),AND(L59="Muy Alta",P59="Menor"),AND(L59="Muy Alta",P59="Moderado"),AND(L59="Muy Alta",P59="Mayor")),"Alto",IF(OR(AND(L59="Muy Baja",P59="Catastrófico"),AND(L59="Baja",P59="Catastrófico"),AND(L59="Media",P59="Catastrófico"),AND(L59="Alta",P59="Catastrófico"),AND(L59="Muy Alta",P59="Catastrófico")),"Extremo",""))))</f>
        <v/>
      </c>
      <c r="S59" s="177"/>
      <c r="T59" s="177" t="str">
        <f t="shared" si="0"/>
        <v/>
      </c>
      <c r="U59" s="177"/>
      <c r="V59" s="177" t="str">
        <f t="shared" si="1"/>
        <v/>
      </c>
      <c r="W59" s="177" t="str">
        <f t="shared" si="2"/>
        <v/>
      </c>
      <c r="X59" s="177" t="str">
        <f t="shared" si="3"/>
        <v/>
      </c>
      <c r="Y59" s="120">
        <v>1</v>
      </c>
      <c r="Z59" s="121"/>
      <c r="AA59" s="122" t="str">
        <f>IF(OR(AB59="Preventivo",AB59="Detectivo"),"Probabilidad",IF(AB59="Correctivo","Impacto",""))</f>
        <v/>
      </c>
      <c r="AB59" s="123"/>
      <c r="AC59" s="123"/>
      <c r="AD59" s="124" t="str">
        <f>IF(AND(AB59="Preventivo",AC59="Automático"),"50%",IF(AND(AB59="Preventivo",AC59="Manual"),"40%",IF(AND(AB59="Detectivo",AC59="Automático"),"40%",IF(AND(AB59="Detectivo",AC59="Manual"),"30%",IF(AND(AB59="Correctivo",AC59="Automático"),"35%",IF(AND(AB59="Correctivo",AC59="Manual"),"25%",""))))))</f>
        <v/>
      </c>
      <c r="AE59" s="123"/>
      <c r="AF59" s="123"/>
      <c r="AG59" s="123"/>
      <c r="AH59" s="125" t="str">
        <f>IFERROR(IF(AA59="Probabilidad",(M59-(+M59*AD59)),IF(AA59="Impacto",M59,"")),"")</f>
        <v/>
      </c>
      <c r="AI59" s="126" t="str">
        <f>IFERROR(IF(AH59="","",IF(AH59&lt;=0.2,"Muy Baja",IF(AH59&lt;=0.4,"Baja",IF(AH59&lt;=0.6,"Media",IF(AH59&lt;=0.8,"Alta","Muy Alta"))))),"")</f>
        <v/>
      </c>
      <c r="AJ59" s="127" t="str">
        <f>+AH59</f>
        <v/>
      </c>
      <c r="AK59" s="126" t="str">
        <f>IFERROR(IF(AL59="","",IF(AL59&lt;=0.2,"Leve",IF(AL59&lt;=0.4,"Menor",IF(AL59&lt;=0.6,"Moderado",IF(AL59&lt;=0.8,"Mayor","Catastrófico"))))),"")</f>
        <v/>
      </c>
      <c r="AL59" s="127" t="str">
        <f>IFERROR(IF(AA59="Impacto",(Q59-(+Q59*AD59)),IF(AA59="Probabilidad",Q59,"")),"")</f>
        <v/>
      </c>
      <c r="AM59" s="128" t="str">
        <f>IFERROR(IF(OR(AND(AI59="Muy Baja",AK59="Leve"),AND(AI59="Muy Baja",AK59="Menor"),AND(AI59="Baja",AK59="Leve")),"Bajo",IF(OR(AND(AI59="Muy baja",AK59="Moderado"),AND(AI59="Baja",AK59="Menor"),AND(AI59="Baja",AK59="Moderado"),AND(AI59="Media",AK59="Leve"),AND(AI59="Media",AK59="Menor"),AND(AI59="Media",AK59="Moderado"),AND(AI59="Alta",AK59="Leve"),AND(AI59="Alta",AK59="Menor")),"Moderado",IF(OR(AND(AI59="Muy Baja",AK59="Mayor"),AND(AI59="Baja",AK59="Mayor"),AND(AI59="Media",AK59="Mayor"),AND(AI59="Alta",AK59="Moderado"),AND(AI59="Alta",AK59="Mayor"),AND(AI59="Muy Alta",AK59="Leve"),AND(AI59="Muy Alta",AK59="Menor"),AND(AI59="Muy Alta",AK59="Moderado"),AND(AI59="Muy Alta",AK59="Mayor")),"Alto",IF(OR(AND(AI59="Muy Baja",AK59="Catastrófico"),AND(AI59="Baja",AK59="Catastrófico"),AND(AI59="Media",AK59="Catastrófico"),AND(AI59="Alta",AK59="Catastrófico"),AND(AI59="Muy Alta",AK59="Catastrófico")),"Extremo","")))),"")</f>
        <v/>
      </c>
      <c r="AN59" s="129"/>
      <c r="AO59" s="129"/>
      <c r="AP59" s="129"/>
      <c r="AQ59" s="129"/>
      <c r="AR59" s="129"/>
      <c r="AS59" s="129"/>
      <c r="AT59" s="129"/>
      <c r="AU59" s="130"/>
      <c r="AV59" s="131"/>
      <c r="AW59" s="132"/>
      <c r="AX59" s="132"/>
      <c r="AY59" s="234"/>
      <c r="AZ59" s="131"/>
      <c r="BA59" s="164"/>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row>
    <row r="60" spans="1:84" ht="151.5" customHeight="1" x14ac:dyDescent="0.3">
      <c r="A60" s="257"/>
      <c r="B60" s="135"/>
      <c r="C60" s="260"/>
      <c r="D60" s="260"/>
      <c r="E60" s="260"/>
      <c r="F60" s="138"/>
      <c r="G60" s="286"/>
      <c r="H60" s="141"/>
      <c r="I60" s="141"/>
      <c r="J60" s="260"/>
      <c r="K60" s="268"/>
      <c r="L60" s="280"/>
      <c r="M60" s="271"/>
      <c r="N60" s="277"/>
      <c r="O60" s="271">
        <f>IF(NOT(ISERROR(MATCH(N60,_xlfn.ANCHORARRAY(G71),0))),M73&amp;"Por favor no seleccionar los criterios de impacto",N60)</f>
        <v>0</v>
      </c>
      <c r="P60" s="280"/>
      <c r="Q60" s="271"/>
      <c r="R60" s="274"/>
      <c r="S60" s="171"/>
      <c r="T60" s="171"/>
      <c r="U60" s="171"/>
      <c r="V60" s="171"/>
      <c r="W60" s="171"/>
      <c r="X60" s="171"/>
      <c r="Y60" s="120">
        <v>2</v>
      </c>
      <c r="Z60" s="121"/>
      <c r="AA60" s="122" t="str">
        <f>IF(OR(AB60="Preventivo",AB60="Detectivo"),"Probabilidad",IF(AB60="Correctivo","Impacto",""))</f>
        <v/>
      </c>
      <c r="AB60" s="123"/>
      <c r="AC60" s="123"/>
      <c r="AD60" s="124" t="str">
        <f t="shared" ref="AD60:AD64" si="71">IF(AND(AB60="Preventivo",AC60="Automático"),"50%",IF(AND(AB60="Preventivo",AC60="Manual"),"40%",IF(AND(AB60="Detectivo",AC60="Automático"),"40%",IF(AND(AB60="Detectivo",AC60="Manual"),"30%",IF(AND(AB60="Correctivo",AC60="Automático"),"35%",IF(AND(AB60="Correctivo",AC60="Manual"),"25%",""))))))</f>
        <v/>
      </c>
      <c r="AE60" s="123"/>
      <c r="AF60" s="123"/>
      <c r="AG60" s="123"/>
      <c r="AH60" s="125" t="str">
        <f>IFERROR(IF(AND(AA59="Probabilidad",AA60="Probabilidad"),(AJ59-(+AJ59*AD60)),IF(AA60="Probabilidad",(M59-(+M59*AD60)),IF(AA60="Impacto",AJ59,""))),"")</f>
        <v/>
      </c>
      <c r="AI60" s="126" t="str">
        <f t="shared" si="5"/>
        <v/>
      </c>
      <c r="AJ60" s="127" t="str">
        <f t="shared" ref="AJ60:AJ64" si="72">+AH60</f>
        <v/>
      </c>
      <c r="AK60" s="126" t="str">
        <f t="shared" si="12"/>
        <v/>
      </c>
      <c r="AL60" s="127" t="str">
        <f>IFERROR(IF(AND(AA59="Impacto",AA60="Impacto"),(AL59-(+AL59*AD60)),IF(AA60="Impacto",(Q59-(+Q59*AD60)),IF(AA60="Probabilidad",AL59,""))),"")</f>
        <v/>
      </c>
      <c r="AM60" s="128" t="str">
        <f t="shared" ref="AM60:AM61" si="73">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29"/>
      <c r="AO60" s="129"/>
      <c r="AP60" s="129"/>
      <c r="AQ60" s="129"/>
      <c r="AR60" s="129"/>
      <c r="AS60" s="129"/>
      <c r="AT60" s="129"/>
      <c r="AU60" s="130"/>
      <c r="AV60" s="131"/>
      <c r="AW60" s="132"/>
      <c r="AX60" s="132"/>
      <c r="AY60" s="234"/>
      <c r="AZ60" s="131"/>
    </row>
    <row r="61" spans="1:84" ht="151.5" customHeight="1" x14ac:dyDescent="0.3">
      <c r="A61" s="257"/>
      <c r="B61" s="135"/>
      <c r="C61" s="260"/>
      <c r="D61" s="260"/>
      <c r="E61" s="260"/>
      <c r="F61" s="138"/>
      <c r="G61" s="286"/>
      <c r="H61" s="141"/>
      <c r="I61" s="141"/>
      <c r="J61" s="260"/>
      <c r="K61" s="268"/>
      <c r="L61" s="280"/>
      <c r="M61" s="271"/>
      <c r="N61" s="277"/>
      <c r="O61" s="271">
        <f>IF(NOT(ISERROR(MATCH(N61,_xlfn.ANCHORARRAY(G72),0))),M74&amp;"Por favor no seleccionar los criterios de impacto",N61)</f>
        <v>0</v>
      </c>
      <c r="P61" s="280"/>
      <c r="Q61" s="271"/>
      <c r="R61" s="274"/>
      <c r="Y61" s="120">
        <v>3</v>
      </c>
      <c r="Z61" s="133"/>
      <c r="AA61" s="122" t="str">
        <f>IF(OR(AB61="Preventivo",AB61="Detectivo"),"Probabilidad",IF(AB61="Correctivo","Impacto",""))</f>
        <v/>
      </c>
      <c r="AB61" s="123"/>
      <c r="AC61" s="123"/>
      <c r="AD61" s="124" t="str">
        <f t="shared" si="71"/>
        <v/>
      </c>
      <c r="AE61" s="123"/>
      <c r="AF61" s="123"/>
      <c r="AG61" s="123"/>
      <c r="AH61" s="125" t="str">
        <f>IFERROR(IF(AND(AA60="Probabilidad",AA61="Probabilidad"),(AJ60-(+AJ60*AD61)),IF(AND(AA60="Impacto",AA61="Probabilidad"),(AJ59-(+AJ59*AD61)),IF(AA61="Impacto",AJ60,""))),"")</f>
        <v/>
      </c>
      <c r="AI61" s="126" t="str">
        <f t="shared" si="5"/>
        <v/>
      </c>
      <c r="AJ61" s="127" t="str">
        <f t="shared" si="72"/>
        <v/>
      </c>
      <c r="AK61" s="126" t="str">
        <f t="shared" si="12"/>
        <v/>
      </c>
      <c r="AL61" s="127" t="str">
        <f>IFERROR(IF(AND(AA60="Impacto",AA61="Impacto"),(AL60-(+AL60*AD61)),IF(AND(AA60="Probabilidad",AA61="Impacto"),(AL59-(+AL59*AD61)),IF(AA61="Probabilidad",AL60,""))),"")</f>
        <v/>
      </c>
      <c r="AM61" s="128" t="str">
        <f t="shared" si="73"/>
        <v/>
      </c>
      <c r="AN61" s="129"/>
      <c r="AU61" s="130"/>
      <c r="AV61" s="131"/>
      <c r="AW61" s="132"/>
      <c r="AX61" s="132"/>
      <c r="AY61" s="234"/>
      <c r="AZ61" s="131"/>
    </row>
    <row r="62" spans="1:84" ht="151.5" customHeight="1" x14ac:dyDescent="0.3">
      <c r="A62" s="257"/>
      <c r="B62" s="135"/>
      <c r="C62" s="260"/>
      <c r="D62" s="260"/>
      <c r="E62" s="260"/>
      <c r="F62" s="138"/>
      <c r="G62" s="286"/>
      <c r="H62" s="141"/>
      <c r="I62" s="141"/>
      <c r="J62" s="260"/>
      <c r="K62" s="268"/>
      <c r="L62" s="280"/>
      <c r="M62" s="271"/>
      <c r="N62" s="277"/>
      <c r="O62" s="271">
        <f>IF(NOT(ISERROR(MATCH(N62,_xlfn.ANCHORARRAY(G73),0))),M75&amp;"Por favor no seleccionar los criterios de impacto",N62)</f>
        <v>0</v>
      </c>
      <c r="P62" s="280"/>
      <c r="Q62" s="271"/>
      <c r="R62" s="274"/>
      <c r="Y62" s="120">
        <v>4</v>
      </c>
      <c r="Z62" s="121"/>
      <c r="AA62" s="122" t="str">
        <f t="shared" ref="AA62:AA64" si="74">IF(OR(AB62="Preventivo",AB62="Detectivo"),"Probabilidad",IF(AB62="Correctivo","Impacto",""))</f>
        <v/>
      </c>
      <c r="AB62" s="123"/>
      <c r="AC62" s="123"/>
      <c r="AD62" s="124" t="str">
        <f t="shared" si="71"/>
        <v/>
      </c>
      <c r="AE62" s="123"/>
      <c r="AF62" s="123"/>
      <c r="AG62" s="123"/>
      <c r="AH62" s="125" t="str">
        <f t="shared" ref="AH62:AH64" si="75">IFERROR(IF(AND(AA61="Probabilidad",AA62="Probabilidad"),(AJ61-(+AJ61*AD62)),IF(AND(AA61="Impacto",AA62="Probabilidad"),(AJ60-(+AJ60*AD62)),IF(AA62="Impacto",AJ61,""))),"")</f>
        <v/>
      </c>
      <c r="AI62" s="126" t="str">
        <f t="shared" si="5"/>
        <v/>
      </c>
      <c r="AJ62" s="127" t="str">
        <f t="shared" si="72"/>
        <v/>
      </c>
      <c r="AK62" s="126" t="str">
        <f t="shared" si="12"/>
        <v/>
      </c>
      <c r="AL62" s="127" t="str">
        <f t="shared" ref="AL62:AL64" si="76">IFERROR(IF(AND(AA61="Impacto",AA62="Impacto"),(AL61-(+AL61*AD62)),IF(AND(AA61="Probabilidad",AA62="Impacto"),(AL60-(+AL60*AD62)),IF(AA62="Probabilidad",AL61,""))),"")</f>
        <v/>
      </c>
      <c r="AM62" s="128" t="str">
        <f>IFERROR(IF(OR(AND(AI62="Muy Baja",AK62="Leve"),AND(AI62="Muy Baja",AK62="Menor"),AND(AI62="Baja",AK62="Leve")),"Bajo",IF(OR(AND(AI62="Muy baja",AK62="Moderado"),AND(AI62="Baja",AK62="Menor"),AND(AI62="Baja",AK62="Moderado"),AND(AI62="Media",AK62="Leve"),AND(AI62="Media",AK62="Menor"),AND(AI62="Media",AK62="Moderado"),AND(AI62="Alta",AK62="Leve"),AND(AI62="Alta",AK62="Menor")),"Moderado",IF(OR(AND(AI62="Muy Baja",AK62="Mayor"),AND(AI62="Baja",AK62="Mayor"),AND(AI62="Media",AK62="Mayor"),AND(AI62="Alta",AK62="Moderado"),AND(AI62="Alta",AK62="Mayor"),AND(AI62="Muy Alta",AK62="Leve"),AND(AI62="Muy Alta",AK62="Menor"),AND(AI62="Muy Alta",AK62="Moderado"),AND(AI62="Muy Alta",AK62="Mayor")),"Alto",IF(OR(AND(AI62="Muy Baja",AK62="Catastrófico"),AND(AI62="Baja",AK62="Catastrófico"),AND(AI62="Media",AK62="Catastrófico"),AND(AI62="Alta",AK62="Catastrófico"),AND(AI62="Muy Alta",AK62="Catastrófico")),"Extremo","")))),"")</f>
        <v/>
      </c>
      <c r="AN62" s="129"/>
      <c r="AU62" s="130"/>
      <c r="AV62" s="131"/>
      <c r="AW62" s="132"/>
      <c r="AX62" s="132"/>
      <c r="AY62" s="234"/>
      <c r="AZ62" s="131"/>
    </row>
    <row r="63" spans="1:84" ht="151.5" customHeight="1" x14ac:dyDescent="0.3">
      <c r="A63" s="257"/>
      <c r="B63" s="135"/>
      <c r="C63" s="260"/>
      <c r="D63" s="260"/>
      <c r="E63" s="260"/>
      <c r="F63" s="138"/>
      <c r="G63" s="286"/>
      <c r="H63" s="141"/>
      <c r="I63" s="141"/>
      <c r="J63" s="260"/>
      <c r="K63" s="268"/>
      <c r="L63" s="280"/>
      <c r="M63" s="271"/>
      <c r="N63" s="277"/>
      <c r="O63" s="271">
        <f>IF(NOT(ISERROR(MATCH(N63,_xlfn.ANCHORARRAY(G74),0))),M76&amp;"Por favor no seleccionar los criterios de impacto",N63)</f>
        <v>0</v>
      </c>
      <c r="P63" s="280"/>
      <c r="Q63" s="271"/>
      <c r="R63" s="274"/>
      <c r="Y63" s="120">
        <v>5</v>
      </c>
      <c r="Z63" s="121"/>
      <c r="AA63" s="122" t="str">
        <f t="shared" si="74"/>
        <v/>
      </c>
      <c r="AB63" s="123"/>
      <c r="AC63" s="123"/>
      <c r="AD63" s="124" t="str">
        <f t="shared" si="71"/>
        <v/>
      </c>
      <c r="AE63" s="123"/>
      <c r="AF63" s="123"/>
      <c r="AG63" s="123"/>
      <c r="AH63" s="125" t="str">
        <f t="shared" si="75"/>
        <v/>
      </c>
      <c r="AI63" s="126" t="str">
        <f t="shared" si="5"/>
        <v/>
      </c>
      <c r="AJ63" s="127" t="str">
        <f t="shared" si="72"/>
        <v/>
      </c>
      <c r="AK63" s="126" t="str">
        <f t="shared" si="12"/>
        <v/>
      </c>
      <c r="AL63" s="127" t="str">
        <f t="shared" si="76"/>
        <v/>
      </c>
      <c r="AM63" s="128" t="str">
        <f t="shared" ref="AM63:AM64" si="77">IFERROR(IF(OR(AND(AI63="Muy Baja",AK63="Leve"),AND(AI63="Muy Baja",AK63="Menor"),AND(AI63="Baja",AK63="Leve")),"Bajo",IF(OR(AND(AI63="Muy baja",AK63="Moderado"),AND(AI63="Baja",AK63="Menor"),AND(AI63="Baja",AK63="Moderado"),AND(AI63="Media",AK63="Leve"),AND(AI63="Media",AK63="Menor"),AND(AI63="Media",AK63="Moderado"),AND(AI63="Alta",AK63="Leve"),AND(AI63="Alta",AK63="Menor")),"Moderado",IF(OR(AND(AI63="Muy Baja",AK63="Mayor"),AND(AI63="Baja",AK63="Mayor"),AND(AI63="Media",AK63="Mayor"),AND(AI63="Alta",AK63="Moderado"),AND(AI63="Alta",AK63="Mayor"),AND(AI63="Muy Alta",AK63="Leve"),AND(AI63="Muy Alta",AK63="Menor"),AND(AI63="Muy Alta",AK63="Moderado"),AND(AI63="Muy Alta",AK63="Mayor")),"Alto",IF(OR(AND(AI63="Muy Baja",AK63="Catastrófico"),AND(AI63="Baja",AK63="Catastrófico"),AND(AI63="Media",AK63="Catastrófico"),AND(AI63="Alta",AK63="Catastrófico"),AND(AI63="Muy Alta",AK63="Catastrófico")),"Extremo","")))),"")</f>
        <v/>
      </c>
      <c r="AN63" s="129"/>
      <c r="AU63" s="130"/>
      <c r="AV63" s="131"/>
      <c r="AW63" s="132"/>
      <c r="AX63" s="132"/>
      <c r="AY63" s="234"/>
      <c r="AZ63" s="131"/>
    </row>
    <row r="64" spans="1:84" ht="151.5" customHeight="1" x14ac:dyDescent="0.3">
      <c r="A64" s="258"/>
      <c r="B64" s="136"/>
      <c r="C64" s="261"/>
      <c r="D64" s="261"/>
      <c r="E64" s="261"/>
      <c r="F64" s="139"/>
      <c r="G64" s="287"/>
      <c r="H64" s="142"/>
      <c r="I64" s="142"/>
      <c r="J64" s="261"/>
      <c r="K64" s="269"/>
      <c r="L64" s="281"/>
      <c r="M64" s="272"/>
      <c r="N64" s="278"/>
      <c r="O64" s="272">
        <f>IF(NOT(ISERROR(MATCH(N64,_xlfn.ANCHORARRAY(G75),0))),M77&amp;"Por favor no seleccionar los criterios de impacto",N64)</f>
        <v>0</v>
      </c>
      <c r="P64" s="281"/>
      <c r="Q64" s="272"/>
      <c r="R64" s="275"/>
      <c r="Y64" s="120">
        <v>6</v>
      </c>
      <c r="Z64" s="121"/>
      <c r="AA64" s="122" t="str">
        <f t="shared" si="74"/>
        <v/>
      </c>
      <c r="AB64" s="123"/>
      <c r="AC64" s="123"/>
      <c r="AD64" s="124" t="str">
        <f t="shared" si="71"/>
        <v/>
      </c>
      <c r="AE64" s="123"/>
      <c r="AF64" s="123"/>
      <c r="AG64" s="123"/>
      <c r="AH64" s="125" t="str">
        <f t="shared" si="75"/>
        <v/>
      </c>
      <c r="AI64" s="126" t="str">
        <f t="shared" si="5"/>
        <v/>
      </c>
      <c r="AJ64" s="127" t="str">
        <f t="shared" si="72"/>
        <v/>
      </c>
      <c r="AK64" s="126" t="str">
        <f t="shared" si="12"/>
        <v/>
      </c>
      <c r="AL64" s="127" t="str">
        <f t="shared" si="76"/>
        <v/>
      </c>
      <c r="AM64" s="128" t="str">
        <f t="shared" si="77"/>
        <v/>
      </c>
      <c r="AN64" s="129"/>
      <c r="AU64" s="130"/>
      <c r="AV64" s="131"/>
      <c r="AW64" s="132"/>
      <c r="AX64" s="132"/>
      <c r="AY64" s="234"/>
      <c r="AZ64" s="131"/>
    </row>
    <row r="65" spans="1:52" ht="49.5" customHeight="1" x14ac:dyDescent="0.3">
      <c r="A65" s="6"/>
      <c r="B65" s="145"/>
      <c r="C65" s="282" t="s">
        <v>129</v>
      </c>
      <c r="D65" s="283"/>
      <c r="E65" s="283"/>
      <c r="F65" s="283"/>
      <c r="G65" s="283"/>
      <c r="H65" s="283"/>
      <c r="I65" s="283"/>
      <c r="J65" s="283"/>
      <c r="K65" s="283"/>
      <c r="L65" s="283"/>
      <c r="M65" s="283"/>
      <c r="N65" s="283"/>
      <c r="O65" s="283"/>
      <c r="P65" s="283"/>
      <c r="Q65" s="283"/>
      <c r="R65" s="283"/>
      <c r="S65" s="283"/>
      <c r="T65" s="283"/>
      <c r="U65" s="283"/>
      <c r="V65" s="283"/>
      <c r="W65" s="283"/>
      <c r="X65" s="283"/>
      <c r="Y65" s="283"/>
      <c r="Z65" s="283"/>
      <c r="AA65" s="283"/>
      <c r="AB65" s="283"/>
      <c r="AC65" s="283"/>
      <c r="AD65" s="283"/>
      <c r="AE65" s="283"/>
      <c r="AF65" s="283"/>
      <c r="AG65" s="283"/>
      <c r="AH65" s="283"/>
      <c r="AI65" s="283"/>
      <c r="AJ65" s="283"/>
      <c r="AK65" s="283"/>
      <c r="AL65" s="283"/>
      <c r="AM65" s="283"/>
      <c r="AN65" s="283"/>
      <c r="AO65" s="283"/>
      <c r="AP65" s="283"/>
      <c r="AQ65" s="283"/>
      <c r="AR65" s="283"/>
      <c r="AS65" s="283"/>
      <c r="AT65" s="283"/>
      <c r="AU65" s="283"/>
      <c r="AV65" s="283"/>
      <c r="AW65" s="283"/>
      <c r="AX65" s="283"/>
      <c r="AY65" s="283"/>
      <c r="AZ65" s="284"/>
    </row>
    <row r="67" spans="1:52" x14ac:dyDescent="0.3">
      <c r="A67" s="1"/>
      <c r="B67" s="1"/>
      <c r="C67" s="24" t="s">
        <v>130</v>
      </c>
      <c r="D67" s="1"/>
      <c r="E67" s="1"/>
      <c r="F67" s="1"/>
      <c r="J67" s="1"/>
    </row>
  </sheetData>
  <dataConsolidate/>
  <mergeCells count="242">
    <mergeCell ref="AI16:AI17"/>
    <mergeCell ref="AJ16:AJ17"/>
    <mergeCell ref="AK16:AK17"/>
    <mergeCell ref="AL16:AL17"/>
    <mergeCell ref="AM16:AM17"/>
    <mergeCell ref="AN16:AN17"/>
    <mergeCell ref="X13:X14"/>
    <mergeCell ref="AA16:AA17"/>
    <mergeCell ref="AB16:AB17"/>
    <mergeCell ref="AC16:AC17"/>
    <mergeCell ref="AD16:AD17"/>
    <mergeCell ref="AE16:AE17"/>
    <mergeCell ref="AF16:AF17"/>
    <mergeCell ref="AG16:AG17"/>
    <mergeCell ref="AH16:AH17"/>
    <mergeCell ref="AM11:AM12"/>
    <mergeCell ref="AN11:AN12"/>
    <mergeCell ref="AO11:AO12"/>
    <mergeCell ref="AP11:AP12"/>
    <mergeCell ref="AQ11:AQ12"/>
    <mergeCell ref="AR11:AR12"/>
    <mergeCell ref="AS11:AS12"/>
    <mergeCell ref="AT11:AT12"/>
    <mergeCell ref="H11:H12"/>
    <mergeCell ref="I11:I14"/>
    <mergeCell ref="J11:J14"/>
    <mergeCell ref="K11:K14"/>
    <mergeCell ref="L11:L14"/>
    <mergeCell ref="M11:M14"/>
    <mergeCell ref="N11:N14"/>
    <mergeCell ref="O11:O14"/>
    <mergeCell ref="P11:P14"/>
    <mergeCell ref="Q11:Q14"/>
    <mergeCell ref="R11:R14"/>
    <mergeCell ref="S13:S14"/>
    <mergeCell ref="T13:T14"/>
    <mergeCell ref="U13:U14"/>
    <mergeCell ref="V13:V14"/>
    <mergeCell ref="W13:W14"/>
    <mergeCell ref="AD11:AD12"/>
    <mergeCell ref="AE11:AE12"/>
    <mergeCell ref="AF11:AF12"/>
    <mergeCell ref="AG11:AG12"/>
    <mergeCell ref="AH11:AH12"/>
    <mergeCell ref="AI11:AI12"/>
    <mergeCell ref="AJ11:AJ12"/>
    <mergeCell ref="AK11:AK12"/>
    <mergeCell ref="AL11:AL12"/>
    <mergeCell ref="Q15:Q17"/>
    <mergeCell ref="R15:R17"/>
    <mergeCell ref="F15:F17"/>
    <mergeCell ref="G15:G17"/>
    <mergeCell ref="I15:I17"/>
    <mergeCell ref="J15:J17"/>
    <mergeCell ref="K15:K17"/>
    <mergeCell ref="L15:L17"/>
    <mergeCell ref="M15:M17"/>
    <mergeCell ref="N15:N17"/>
    <mergeCell ref="O15:O17"/>
    <mergeCell ref="A1:E4"/>
    <mergeCell ref="F1:M4"/>
    <mergeCell ref="K9:K10"/>
    <mergeCell ref="L9:L10"/>
    <mergeCell ref="C9:C10"/>
    <mergeCell ref="F9:F10"/>
    <mergeCell ref="D5:R5"/>
    <mergeCell ref="N4:R4"/>
    <mergeCell ref="N3:R3"/>
    <mergeCell ref="N2:R2"/>
    <mergeCell ref="N1:R1"/>
    <mergeCell ref="D6:R6"/>
    <mergeCell ref="D7:R7"/>
    <mergeCell ref="S11:S12"/>
    <mergeCell ref="T11:T12"/>
    <mergeCell ref="U11:U12"/>
    <mergeCell ref="V11:V12"/>
    <mergeCell ref="W11:W12"/>
    <mergeCell ref="X11:X12"/>
    <mergeCell ref="Y11:Y12"/>
    <mergeCell ref="AA11:AA12"/>
    <mergeCell ref="AB11:AB12"/>
    <mergeCell ref="Y5:AA5"/>
    <mergeCell ref="A8:K8"/>
    <mergeCell ref="AK9:AK10"/>
    <mergeCell ref="AI9:AI10"/>
    <mergeCell ref="AJ9:AJ10"/>
    <mergeCell ref="AC11:AC12"/>
    <mergeCell ref="A5:C5"/>
    <mergeCell ref="A6:C6"/>
    <mergeCell ref="A7:C7"/>
    <mergeCell ref="A9:A10"/>
    <mergeCell ref="J9:J10"/>
    <mergeCell ref="G9:G10"/>
    <mergeCell ref="E9:E10"/>
    <mergeCell ref="D9:D10"/>
    <mergeCell ref="G11:G14"/>
    <mergeCell ref="F11:F14"/>
    <mergeCell ref="E11:E14"/>
    <mergeCell ref="M9:M10"/>
    <mergeCell ref="P9:P10"/>
    <mergeCell ref="Q9:Q10"/>
    <mergeCell ref="R9:R10"/>
    <mergeCell ref="N9:N10"/>
    <mergeCell ref="O9:O10"/>
    <mergeCell ref="AA9:AA10"/>
    <mergeCell ref="L29:L34"/>
    <mergeCell ref="A23:A28"/>
    <mergeCell ref="C23:C28"/>
    <mergeCell ref="D23:D28"/>
    <mergeCell ref="E23:E28"/>
    <mergeCell ref="G23:G28"/>
    <mergeCell ref="J23:J28"/>
    <mergeCell ref="K23:K28"/>
    <mergeCell ref="L23:L28"/>
    <mergeCell ref="H13:H14"/>
    <mergeCell ref="D11:D14"/>
    <mergeCell ref="C11:C14"/>
    <mergeCell ref="B11:B17"/>
    <mergeCell ref="A11:A14"/>
    <mergeCell ref="M23:M28"/>
    <mergeCell ref="N23:N28"/>
    <mergeCell ref="O23:O28"/>
    <mergeCell ref="P23:P28"/>
    <mergeCell ref="A17:A22"/>
    <mergeCell ref="A15:A16"/>
    <mergeCell ref="C15:C17"/>
    <mergeCell ref="D15:D17"/>
    <mergeCell ref="E15:E17"/>
    <mergeCell ref="P15:P17"/>
    <mergeCell ref="Q23:Q28"/>
    <mergeCell ref="R23:R28"/>
    <mergeCell ref="A29:A34"/>
    <mergeCell ref="C29:C34"/>
    <mergeCell ref="D29:D34"/>
    <mergeCell ref="A35:A40"/>
    <mergeCell ref="C35:C40"/>
    <mergeCell ref="D35:D40"/>
    <mergeCell ref="E35:E40"/>
    <mergeCell ref="G35:G40"/>
    <mergeCell ref="J35:J40"/>
    <mergeCell ref="E29:E34"/>
    <mergeCell ref="G29:G34"/>
    <mergeCell ref="J29:J34"/>
    <mergeCell ref="M29:M34"/>
    <mergeCell ref="N29:N34"/>
    <mergeCell ref="K35:K40"/>
    <mergeCell ref="L35:L40"/>
    <mergeCell ref="M35:M40"/>
    <mergeCell ref="O29:O34"/>
    <mergeCell ref="P29:P34"/>
    <mergeCell ref="Q29:Q34"/>
    <mergeCell ref="R29:R34"/>
    <mergeCell ref="Q35:Q40"/>
    <mergeCell ref="A47:A52"/>
    <mergeCell ref="C47:C52"/>
    <mergeCell ref="D47:D52"/>
    <mergeCell ref="E47:E52"/>
    <mergeCell ref="G47:G52"/>
    <mergeCell ref="A41:A46"/>
    <mergeCell ref="C41:C46"/>
    <mergeCell ref="D41:D46"/>
    <mergeCell ref="E41:E46"/>
    <mergeCell ref="G41:G46"/>
    <mergeCell ref="O47:O52"/>
    <mergeCell ref="P47:P52"/>
    <mergeCell ref="N41:N46"/>
    <mergeCell ref="O41:O46"/>
    <mergeCell ref="P41:P46"/>
    <mergeCell ref="Q41:Q46"/>
    <mergeCell ref="R41:R46"/>
    <mergeCell ref="J47:J52"/>
    <mergeCell ref="K47:K52"/>
    <mergeCell ref="L47:L52"/>
    <mergeCell ref="M47:M52"/>
    <mergeCell ref="N47:N52"/>
    <mergeCell ref="C65:AZ65"/>
    <mergeCell ref="Q53:Q58"/>
    <mergeCell ref="R53:R58"/>
    <mergeCell ref="A59:A64"/>
    <mergeCell ref="C59:C64"/>
    <mergeCell ref="D59:D64"/>
    <mergeCell ref="E59:E64"/>
    <mergeCell ref="G59:G64"/>
    <mergeCell ref="J59:J64"/>
    <mergeCell ref="K59:K64"/>
    <mergeCell ref="L59:L64"/>
    <mergeCell ref="M59:M64"/>
    <mergeCell ref="N59:N64"/>
    <mergeCell ref="O59:O64"/>
    <mergeCell ref="P59:P64"/>
    <mergeCell ref="Q59:Q64"/>
    <mergeCell ref="R59:R64"/>
    <mergeCell ref="N53:N58"/>
    <mergeCell ref="O53:O58"/>
    <mergeCell ref="P53:P58"/>
    <mergeCell ref="G53:G58"/>
    <mergeCell ref="J53:J58"/>
    <mergeCell ref="K53:K58"/>
    <mergeCell ref="L53:L58"/>
    <mergeCell ref="A53:A58"/>
    <mergeCell ref="C53:C58"/>
    <mergeCell ref="D53:D58"/>
    <mergeCell ref="E53:E58"/>
    <mergeCell ref="AO8:AT8"/>
    <mergeCell ref="AO9:AR9"/>
    <mergeCell ref="AS9:AT9"/>
    <mergeCell ref="AO10:AP10"/>
    <mergeCell ref="AQ10:AR10"/>
    <mergeCell ref="L8:R8"/>
    <mergeCell ref="Y8:AG8"/>
    <mergeCell ref="AH8:AN8"/>
    <mergeCell ref="J41:J46"/>
    <mergeCell ref="K41:K46"/>
    <mergeCell ref="Q47:Q52"/>
    <mergeCell ref="R47:R52"/>
    <mergeCell ref="R35:R40"/>
    <mergeCell ref="N35:N40"/>
    <mergeCell ref="O35:O40"/>
    <mergeCell ref="P35:P40"/>
    <mergeCell ref="K29:K34"/>
    <mergeCell ref="M53:M58"/>
    <mergeCell ref="L41:L46"/>
    <mergeCell ref="M41:M46"/>
    <mergeCell ref="AU8:AZ8"/>
    <mergeCell ref="S8:X8"/>
    <mergeCell ref="S9:V9"/>
    <mergeCell ref="W9:X9"/>
    <mergeCell ref="S10:T10"/>
    <mergeCell ref="AU9:AU10"/>
    <mergeCell ref="AZ9:AZ10"/>
    <mergeCell ref="AY9:AY10"/>
    <mergeCell ref="AX9:AX10"/>
    <mergeCell ref="AW9:AW10"/>
    <mergeCell ref="AV9:AV10"/>
    <mergeCell ref="AN9:AN10"/>
    <mergeCell ref="AM9:AM10"/>
    <mergeCell ref="AL9:AL10"/>
    <mergeCell ref="AH9:AH10"/>
    <mergeCell ref="Z9:Z10"/>
    <mergeCell ref="AB9:AG9"/>
    <mergeCell ref="U10:V10"/>
    <mergeCell ref="Y9:Y10"/>
  </mergeCells>
  <conditionalFormatting sqref="L11 AI11 AI13:AI16 L15 AI18:AI64">
    <cfRule type="cellIs" dxfId="81" priority="328" operator="equal">
      <formula>"Alta"</formula>
    </cfRule>
    <cfRule type="cellIs" dxfId="80" priority="327" operator="equal">
      <formula>"Muy Alta"</formula>
    </cfRule>
    <cfRule type="cellIs" dxfId="79" priority="331" operator="equal">
      <formula>"Muy Baja"</formula>
    </cfRule>
    <cfRule type="cellIs" dxfId="78" priority="330" operator="equal">
      <formula>"Baja"</formula>
    </cfRule>
    <cfRule type="cellIs" dxfId="77" priority="329" operator="equal">
      <formula>"Media"</formula>
    </cfRule>
  </conditionalFormatting>
  <conditionalFormatting sqref="L23">
    <cfRule type="cellIs" dxfId="76" priority="205" operator="equal">
      <formula>"Muy Baja"</formula>
    </cfRule>
    <cfRule type="cellIs" dxfId="75" priority="204" operator="equal">
      <formula>"Baja"</formula>
    </cfRule>
    <cfRule type="cellIs" dxfId="74" priority="202" operator="equal">
      <formula>"Alta"</formula>
    </cfRule>
    <cfRule type="cellIs" dxfId="73" priority="201" operator="equal">
      <formula>"Muy Alta"</formula>
    </cfRule>
    <cfRule type="cellIs" dxfId="72" priority="203" operator="equal">
      <formula>"Media"</formula>
    </cfRule>
  </conditionalFormatting>
  <conditionalFormatting sqref="L29">
    <cfRule type="cellIs" dxfId="71" priority="174" operator="equal">
      <formula>"Alta"</formula>
    </cfRule>
    <cfRule type="cellIs" dxfId="70" priority="177" operator="equal">
      <formula>"Muy Baja"</formula>
    </cfRule>
    <cfRule type="cellIs" dxfId="69" priority="176" operator="equal">
      <formula>"Baja"</formula>
    </cfRule>
    <cfRule type="cellIs" dxfId="68" priority="175" operator="equal">
      <formula>"Media"</formula>
    </cfRule>
    <cfRule type="cellIs" dxfId="67" priority="173" operator="equal">
      <formula>"Muy Alta"</formula>
    </cfRule>
  </conditionalFormatting>
  <conditionalFormatting sqref="L35">
    <cfRule type="cellIs" dxfId="66" priority="149" operator="equal">
      <formula>"Muy Baja"</formula>
    </cfRule>
    <cfRule type="cellIs" dxfId="65" priority="145" operator="equal">
      <formula>"Muy Alta"</formula>
    </cfRule>
    <cfRule type="cellIs" dxfId="64" priority="146" operator="equal">
      <formula>"Alta"</formula>
    </cfRule>
    <cfRule type="cellIs" dxfId="63" priority="147" operator="equal">
      <formula>"Media"</formula>
    </cfRule>
    <cfRule type="cellIs" dxfId="62" priority="148" operator="equal">
      <formula>"Baja"</formula>
    </cfRule>
  </conditionalFormatting>
  <conditionalFormatting sqref="L41">
    <cfRule type="cellIs" dxfId="61" priority="117" operator="equal">
      <formula>"Muy Alta"</formula>
    </cfRule>
    <cfRule type="cellIs" dxfId="60" priority="118" operator="equal">
      <formula>"Alta"</formula>
    </cfRule>
    <cfRule type="cellIs" dxfId="59" priority="119" operator="equal">
      <formula>"Media"</formula>
    </cfRule>
    <cfRule type="cellIs" dxfId="58" priority="120" operator="equal">
      <formula>"Baja"</formula>
    </cfRule>
    <cfRule type="cellIs" dxfId="57" priority="121" operator="equal">
      <formula>"Muy Baja"</formula>
    </cfRule>
  </conditionalFormatting>
  <conditionalFormatting sqref="L47">
    <cfRule type="cellIs" dxfId="56" priority="93" operator="equal">
      <formula>"Muy Baja"</formula>
    </cfRule>
    <cfRule type="cellIs" dxfId="55" priority="89" operator="equal">
      <formula>"Muy Alta"</formula>
    </cfRule>
    <cfRule type="cellIs" dxfId="54" priority="90" operator="equal">
      <formula>"Alta"</formula>
    </cfRule>
    <cfRule type="cellIs" dxfId="53" priority="91" operator="equal">
      <formula>"Media"</formula>
    </cfRule>
    <cfRule type="cellIs" dxfId="52" priority="92" operator="equal">
      <formula>"Baja"</formula>
    </cfRule>
  </conditionalFormatting>
  <conditionalFormatting sqref="L53">
    <cfRule type="cellIs" dxfId="51" priority="62" operator="equal">
      <formula>"Alta"</formula>
    </cfRule>
    <cfRule type="cellIs" dxfId="50" priority="61" operator="equal">
      <formula>"Muy Alta"</formula>
    </cfRule>
    <cfRule type="cellIs" dxfId="49" priority="63" operator="equal">
      <formula>"Media"</formula>
    </cfRule>
    <cfRule type="cellIs" dxfId="48" priority="64" operator="equal">
      <formula>"Baja"</formula>
    </cfRule>
    <cfRule type="cellIs" dxfId="47" priority="65" operator="equal">
      <formula>"Muy Baja"</formula>
    </cfRule>
  </conditionalFormatting>
  <conditionalFormatting sqref="L59">
    <cfRule type="cellIs" dxfId="46" priority="33" operator="equal">
      <formula>"Muy Alta"</formula>
    </cfRule>
    <cfRule type="cellIs" dxfId="45" priority="34" operator="equal">
      <formula>"Alta"</formula>
    </cfRule>
    <cfRule type="cellIs" dxfId="44" priority="35" operator="equal">
      <formula>"Media"</formula>
    </cfRule>
    <cfRule type="cellIs" dxfId="43" priority="36" operator="equal">
      <formula>"Baja"</formula>
    </cfRule>
    <cfRule type="cellIs" dxfId="42" priority="37" operator="equal">
      <formula>"Muy Baja"</formula>
    </cfRule>
  </conditionalFormatting>
  <conditionalFormatting sqref="O11 O15 O18:O64">
    <cfRule type="containsText" dxfId="41" priority="9" operator="containsText" text="❌">
      <formula>NOT(ISERROR(SEARCH("❌",O11)))</formula>
    </cfRule>
  </conditionalFormatting>
  <conditionalFormatting sqref="P11 AK11 AK13:AK16 P15 AK18:AK64 P23 P29 P35 P41 P47 P53 P59">
    <cfRule type="cellIs" dxfId="40" priority="326" operator="equal">
      <formula>"Leve"</formula>
    </cfRule>
    <cfRule type="cellIs" dxfId="39" priority="325" operator="equal">
      <formula>"Menor"</formula>
    </cfRule>
    <cfRule type="cellIs" dxfId="38" priority="323" operator="equal">
      <formula>"Mayor"</formula>
    </cfRule>
    <cfRule type="cellIs" dxfId="37" priority="322" operator="equal">
      <formula>"Catastrófico"</formula>
    </cfRule>
    <cfRule type="cellIs" dxfId="36" priority="324" operator="equal">
      <formula>"Moderado"</formula>
    </cfRule>
  </conditionalFormatting>
  <conditionalFormatting sqref="R15">
    <cfRule type="cellIs" dxfId="35" priority="250" operator="equal">
      <formula>"Moderado"</formula>
    </cfRule>
    <cfRule type="cellIs" dxfId="34" priority="251" operator="equal">
      <formula>"Bajo"</formula>
    </cfRule>
    <cfRule type="cellIs" dxfId="33" priority="248" operator="equal">
      <formula>"Extremo"</formula>
    </cfRule>
    <cfRule type="cellIs" dxfId="32" priority="249" operator="equal">
      <formula>"Alto"</formula>
    </cfRule>
  </conditionalFormatting>
  <conditionalFormatting sqref="R23">
    <cfRule type="cellIs" dxfId="31" priority="192" operator="equal">
      <formula>"Extremo"</formula>
    </cfRule>
    <cfRule type="cellIs" dxfId="30" priority="193" operator="equal">
      <formula>"Alto"</formula>
    </cfRule>
    <cfRule type="cellIs" dxfId="29" priority="194" operator="equal">
      <formula>"Moderado"</formula>
    </cfRule>
    <cfRule type="cellIs" dxfId="28" priority="195" operator="equal">
      <formula>"Bajo"</formula>
    </cfRule>
  </conditionalFormatting>
  <conditionalFormatting sqref="R29">
    <cfRule type="cellIs" dxfId="27" priority="167" operator="equal">
      <formula>"Bajo"</formula>
    </cfRule>
    <cfRule type="cellIs" dxfId="26" priority="166" operator="equal">
      <formula>"Moderado"</formula>
    </cfRule>
    <cfRule type="cellIs" dxfId="25" priority="165" operator="equal">
      <formula>"Alto"</formula>
    </cfRule>
    <cfRule type="cellIs" dxfId="24" priority="164" operator="equal">
      <formula>"Extremo"</formula>
    </cfRule>
  </conditionalFormatting>
  <conditionalFormatting sqref="R35">
    <cfRule type="cellIs" dxfId="23" priority="139" operator="equal">
      <formula>"Bajo"</formula>
    </cfRule>
    <cfRule type="cellIs" dxfId="22" priority="138" operator="equal">
      <formula>"Moderado"</formula>
    </cfRule>
    <cfRule type="cellIs" dxfId="21" priority="137" operator="equal">
      <formula>"Alto"</formula>
    </cfRule>
    <cfRule type="cellIs" dxfId="20" priority="136" operator="equal">
      <formula>"Extremo"</formula>
    </cfRule>
  </conditionalFormatting>
  <conditionalFormatting sqref="R41">
    <cfRule type="cellIs" dxfId="19" priority="111" operator="equal">
      <formula>"Bajo"</formula>
    </cfRule>
    <cfRule type="cellIs" dxfId="18" priority="110" operator="equal">
      <formula>"Moderado"</formula>
    </cfRule>
    <cfRule type="cellIs" dxfId="17" priority="109" operator="equal">
      <formula>"Alto"</formula>
    </cfRule>
    <cfRule type="cellIs" dxfId="16" priority="108" operator="equal">
      <formula>"Extremo"</formula>
    </cfRule>
  </conditionalFormatting>
  <conditionalFormatting sqref="R47">
    <cfRule type="cellIs" dxfId="15" priority="83" operator="equal">
      <formula>"Bajo"</formula>
    </cfRule>
    <cfRule type="cellIs" dxfId="14" priority="81" operator="equal">
      <formula>"Alto"</formula>
    </cfRule>
    <cfRule type="cellIs" dxfId="13" priority="82" operator="equal">
      <formula>"Moderado"</formula>
    </cfRule>
    <cfRule type="cellIs" dxfId="12" priority="80" operator="equal">
      <formula>"Extremo"</formula>
    </cfRule>
  </conditionalFormatting>
  <conditionalFormatting sqref="R53">
    <cfRule type="cellIs" dxfId="11" priority="53" operator="equal">
      <formula>"Alto"</formula>
    </cfRule>
    <cfRule type="cellIs" dxfId="10" priority="52" operator="equal">
      <formula>"Extremo"</formula>
    </cfRule>
    <cfRule type="cellIs" dxfId="9" priority="55" operator="equal">
      <formula>"Bajo"</formula>
    </cfRule>
    <cfRule type="cellIs" dxfId="8" priority="54" operator="equal">
      <formula>"Moderado"</formula>
    </cfRule>
  </conditionalFormatting>
  <conditionalFormatting sqref="R59">
    <cfRule type="cellIs" dxfId="7" priority="24" operator="equal">
      <formula>"Extremo"</formula>
    </cfRule>
    <cfRule type="cellIs" dxfId="6" priority="25" operator="equal">
      <formula>"Alto"</formula>
    </cfRule>
    <cfRule type="cellIs" dxfId="5" priority="26" operator="equal">
      <formula>"Moderado"</formula>
    </cfRule>
    <cfRule type="cellIs" dxfId="4" priority="27" operator="equal">
      <formula>"Bajo"</formula>
    </cfRule>
  </conditionalFormatting>
  <conditionalFormatting sqref="R11:X11 AM11 AO11:AT11 S13:X13 AM13:AM16 AO13:AT31 S15:X59 AM18:AM64">
    <cfRule type="cellIs" dxfId="3" priority="318" operator="equal">
      <formula>"Extremo"</formula>
    </cfRule>
    <cfRule type="cellIs" dxfId="2" priority="319" operator="equal">
      <formula>"Alto"</formula>
    </cfRule>
    <cfRule type="cellIs" dxfId="1" priority="320" operator="equal">
      <formula>"Moderado"</formula>
    </cfRule>
    <cfRule type="cellIs" dxfId="0" priority="321" operator="equal">
      <formula>"Bajo"</formula>
    </cfRule>
  </conditionalFormatting>
  <pageMargins left="0.7" right="0.7" top="0.75" bottom="0.75" header="0.3" footer="0.3"/>
  <pageSetup orientation="portrait" r:id="rId1"/>
  <ignoredErrors>
    <ignoredError sqref="AL14" formula="1"/>
  </ignoredErrors>
  <drawing r:id="rId2"/>
  <extLst>
    <ext xmlns:x14="http://schemas.microsoft.com/office/spreadsheetml/2009/9/main" uri="{CCE6A557-97BC-4b89-ADB6-D9C93CAAB3DF}">
      <x14:dataValidations xmlns:xm="http://schemas.microsoft.com/office/excel/2006/main" count="22">
        <x14:dataValidation type="list" allowBlank="1" showInputMessage="1" showErrorMessage="1" xr:uid="{37DE745E-C764-40F8-BA03-FEB6F36E5D84}">
          <x14:formula1>
            <xm:f>'Opciones Tratamiento'!$B$9:$B$10</xm:f>
          </x14:formula1>
          <xm:sqref>AZ62:AZ63 AZ20:AZ21 AZ23:AZ24 AZ26:AZ27 AZ29:AZ30 AZ32:AZ33 AZ35:AZ36 AZ38:AZ39 AZ41:AZ42 AZ44:AZ45 AZ47:AZ48 AZ50:AZ51 AZ53:AZ54 AZ56:AZ57 AZ59:AZ60 AZ13:AZ18</xm:sqref>
        </x14:dataValidation>
        <x14:dataValidation type="list" allowBlank="1" showInputMessage="1" showErrorMessage="1" xr:uid="{087B9978-B3C6-4FB8-87CF-61F6537002E1}">
          <x14:formula1>
            <xm:f>'Opciones Tratamiento'!$E$2:$E$4</xm:f>
          </x14:formula1>
          <xm:sqref>C11 C15 C18:C64</xm:sqref>
        </x14:dataValidation>
        <x14:dataValidation type="custom" allowBlank="1" showInputMessage="1" showErrorMessage="1" error="Recuerde que las acciones se generan bajo la medida de mitigar el riesgo" xr:uid="{6E41B42F-02F5-45EA-A15C-9B49368456C1}">
          <x14:formula1>
            <xm:f>IF(OR(AN12='Opciones Tratamiento'!$B$2,AN12='Opciones Tratamiento'!$B$3,AN12='Opciones Tratamiento'!$B$4),ISBLANK(AN12),ISTEXT(AN12))</xm:f>
          </x14:formula1>
          <xm:sqref>AU17:AU64 AU12:AU14</xm:sqref>
        </x14:dataValidation>
        <x14:dataValidation type="custom" allowBlank="1" showInputMessage="1" showErrorMessage="1" error="Recuerde que las acciones se generan bajo la medida de mitigar el riesgo" xr:uid="{7EECAC09-BD02-4017-B3BC-15276E199D27}">
          <x14:formula1>
            <xm:f>IF(OR(AN18='Opciones Tratamiento'!$B$2,AN18='Opciones Tratamiento'!$B$3,AN18='Opciones Tratamiento'!$B$4),ISBLANK(AN18),ISTEXT(AN18))</xm:f>
          </x14:formula1>
          <xm:sqref>AV18:AV64</xm:sqref>
        </x14:dataValidation>
        <x14:dataValidation type="custom" allowBlank="1" showInputMessage="1" showErrorMessage="1" error="Recuerde que las acciones se generan bajo la medida de mitigar el riesgo" xr:uid="{30DD430A-1307-4FFE-B6E9-C04D026EE959}">
          <x14:formula1>
            <xm:f>IF(OR(AN18='Opciones Tratamiento'!$B$2,AN18='Opciones Tratamiento'!$B$3,AN18='Opciones Tratamiento'!$B$4),ISBLANK(AN18),ISTEXT(AN18))</xm:f>
          </x14:formula1>
          <xm:sqref>AW18:AW64</xm:sqref>
        </x14:dataValidation>
        <x14:dataValidation type="custom" allowBlank="1" showInputMessage="1" showErrorMessage="1" error="Recuerde que las acciones se generan bajo la medida de mitigar el riesgo" xr:uid="{652C42CD-7FE2-47E5-BD11-083E063AC13C}">
          <x14:formula1>
            <xm:f>IF(OR(AM17='Opciones Tratamiento'!$B$2,AM17='Opciones Tratamiento'!$B$3,AM17='Opciones Tratamiento'!$B$4),ISBLANK(AM17),ISTEXT(AM17))</xm:f>
          </x14:formula1>
          <xm:sqref>AX17:AX64 AW17</xm:sqref>
        </x14:dataValidation>
        <x14:dataValidation type="custom" allowBlank="1" showInputMessage="1" showErrorMessage="1" error="Recuerde que las acciones se generan bajo la medida de mitigar el riesgo" xr:uid="{D6A6C9E4-6AFB-415C-9594-428BDBBD0B0D}">
          <x14:formula1>
            <xm:f>IF(OR(AM16='https://corpocesar1-my.sharepoint.com/personal/calidad_corpocesar_gov_co/Documents/COMPARTIDO/PROCESOS SIGC/PCE_1_PLANEACION ESTRATEGICA/MAPA DE RIESGO/[1. Matriz_mapa_riesgos_final_agosto (1).xlsx]Opciones Tratamiento'!#REF!,AM16='https://corpocesar1-my.sharepoint.com/personal/calidad_corpocesar_gov_co/Documents/COMPARTIDO/PROCESOS SIGC/PCE_1_PLANEACION ESTRATEGICA/MAPA DE RIESGO/[1. Matriz_mapa_riesgos_final_agosto (1).xlsx]Opciones Tratamiento'!#REF!,AM16='https://corpocesar1-my.sharepoint.com/personal/calidad_corpocesar_gov_co/Documents/COMPARTIDO/PROCESOS SIGC/PCE_1_PLANEACION ESTRATEGICA/MAPA DE RIESGO/[1. Matriz_mapa_riesgos_final_agosto (1).xlsx]Opciones Tratamiento'!#REF!),ISBLANK(AM16),ISTEXT(AM16))</xm:f>
          </x14:formula1>
          <xm:sqref>AW16</xm:sqref>
        </x14:dataValidation>
        <x14:dataValidation type="custom" allowBlank="1" showInputMessage="1" showErrorMessage="1" error="Recuerde que las acciones se generan bajo la medida de mitigar el riesgo" xr:uid="{2F7E1600-5924-424F-AEE4-125F3948004B}">
          <x14:formula1>
            <xm:f>IF(OR(AN15='https://corpocesar1-my.sharepoint.com/personal/calidad_corpocesar_gov_co/Documents/COMPARTIDO/PROCESOS SIGC/PCE_1_PLANEACION ESTRATEGICA/MAPA DE RIESGO/[1. Matriz_mapa_riesgos_final_agosto (1).xlsx]Opciones Tratamiento'!#REF!,AN15='https://corpocesar1-my.sharepoint.com/personal/calidad_corpocesar_gov_co/Documents/COMPARTIDO/PROCESOS SIGC/PCE_1_PLANEACION ESTRATEGICA/MAPA DE RIESGO/[1. Matriz_mapa_riesgos_final_agosto (1).xlsx]Opciones Tratamiento'!#REF!,AN15='https://corpocesar1-my.sharepoint.com/personal/calidad_corpocesar_gov_co/Documents/COMPARTIDO/PROCESOS SIGC/PCE_1_PLANEACION ESTRATEGICA/MAPA DE RIESGO/[1. Matriz_mapa_riesgos_final_agosto (1).xlsx]Opciones Tratamiento'!#REF!),ISBLANK(AN15),ISTEXT(AN15))</xm:f>
          </x14:formula1>
          <xm:sqref>AV15:AV17</xm:sqref>
        </x14:dataValidation>
        <x14:dataValidation type="custom" allowBlank="1" showInputMessage="1" showErrorMessage="1" error="Recuerde que las acciones se generan bajo la medida de mitigar el riesgo" xr:uid="{F2F87751-95FC-444A-9CC3-BA73E41F0617}">
          <x14:formula1>
            <xm:f>IF(OR(AN15='https://corpocesar1-my.sharepoint.com/personal/calidad_corpocesar_gov_co/Documents/COMPARTIDO/PROCESOS SIGC/PCE_1_PLANEACION ESTRATEGICA/MAPA DE RIESGO/[1. Matriz_mapa_riesgos_final_agosto (1).xlsx]Opciones Tratamiento'!#REF!,AN15='https://corpocesar1-my.sharepoint.com/personal/calidad_corpocesar_gov_co/Documents/COMPARTIDO/PROCESOS SIGC/PCE_1_PLANEACION ESTRATEGICA/MAPA DE RIESGO/[1. Matriz_mapa_riesgos_final_agosto (1).xlsx]Opciones Tratamiento'!#REF!,AN15='https://corpocesar1-my.sharepoint.com/personal/calidad_corpocesar_gov_co/Documents/COMPARTIDO/PROCESOS SIGC/PCE_1_PLANEACION ESTRATEGICA/MAPA DE RIESGO/[1. Matriz_mapa_riesgos_final_agosto (1).xlsx]Opciones Tratamiento'!#REF!),ISBLANK(AN15),ISTEXT(AN15))</xm:f>
          </x14:formula1>
          <xm:sqref>AU15:AU16</xm:sqref>
        </x14:dataValidation>
        <x14:dataValidation type="list" allowBlank="1" showInputMessage="1" showErrorMessage="1" xr:uid="{1ADBCDF9-043D-4DA7-9F87-69618A89830F}">
          <x14:formula1>
            <xm:f>'Opciones Tratamiento'!$B$13:$B$19</xm:f>
          </x14:formula1>
          <xm:sqref>J18:J64 J11 J15</xm:sqref>
        </x14:dataValidation>
        <x14:dataValidation type="list" allowBlank="1" showInputMessage="1" showErrorMessage="1" xr:uid="{FED3B1AE-38B6-43F1-A818-EA1DF9106A29}">
          <x14:formula1>
            <xm:f>'Tabla Impacto'!$F$210:$F$221</xm:f>
          </x14:formula1>
          <xm:sqref>N18:N64 N11 N15</xm:sqref>
        </x14:dataValidation>
        <x14:dataValidation type="custom" allowBlank="1" showInputMessage="1" showErrorMessage="1" error="Recuerde que las acciones se generan bajo la medida de mitigar el riesgo" xr:uid="{DE3C5F03-2A80-4133-98A0-F48E925D672A}">
          <x14:formula1>
            <xm:f>IF(OR(AL15='Opciones Tratamiento'!$B$2,AL15='Opciones Tratamiento'!$B$3,AL15='Opciones Tratamiento'!$B$4),ISBLANK(AL15),ISTEXT(AL15))</xm:f>
          </x14:formula1>
          <xm:sqref>AY17:AY64 AW15:AX15</xm:sqref>
        </x14:dataValidation>
        <x14:dataValidation type="list" allowBlank="1" showInputMessage="1" showErrorMessage="1" xr:uid="{8B86F4A6-EC64-4246-AABC-90DDD4FFE4F3}">
          <x14:formula1>
            <xm:f>'E:\Mapas de riesgos_2025\[2025_ PCE_3_Mapa de Riesgo Gestión y Mejora del Sistema_.xlsx]Opciones Tratamiento'!#REF!</xm:f>
          </x14:formula1>
          <xm:sqref>AO32:AT59</xm:sqref>
        </x14:dataValidation>
        <x14:dataValidation type="list" allowBlank="1" showInputMessage="1" showErrorMessage="1" xr:uid="{8AF73D12-57A8-4CD9-B9E8-77AA465DF834}">
          <x14:formula1>
            <xm:f>'Tabla Valoración controles'!$D$4:$D$6</xm:f>
          </x14:formula1>
          <xm:sqref>AB11 AB13:AB16 AB18:AB64</xm:sqref>
        </x14:dataValidation>
        <x14:dataValidation type="list" allowBlank="1" showInputMessage="1" showErrorMessage="1" xr:uid="{8F613273-4853-44A8-B6A9-D5E5B0D349AD}">
          <x14:formula1>
            <xm:f>'Tabla Valoración controles'!$D$7:$D$8</xm:f>
          </x14:formula1>
          <xm:sqref>AC11 AC13:AC16 AC18:AC64</xm:sqref>
        </x14:dataValidation>
        <x14:dataValidation type="list" allowBlank="1" showInputMessage="1" showErrorMessage="1" xr:uid="{D1AB843E-7F36-404A-97CE-F8BCCA0CC8ED}">
          <x14:formula1>
            <xm:f>'Tabla Valoración controles'!$D$9:$D$10</xm:f>
          </x14:formula1>
          <xm:sqref>AE11 AE13:AE16 AE18:AE64</xm:sqref>
        </x14:dataValidation>
        <x14:dataValidation type="list" allowBlank="1" showInputMessage="1" showErrorMessage="1" xr:uid="{8908CE1B-6DB6-4DB1-8BE8-B87622B9C7A2}">
          <x14:formula1>
            <xm:f>'Tabla Valoración controles'!$D$11:$D$12</xm:f>
          </x14:formula1>
          <xm:sqref>AF11 AF13:AF16 AF18:AF64</xm:sqref>
        </x14:dataValidation>
        <x14:dataValidation type="list" allowBlank="1" showInputMessage="1" showErrorMessage="1" xr:uid="{68A6C859-A0C6-4B4A-8090-1FCD97B0CA52}">
          <x14:formula1>
            <xm:f>'Tabla Valoración controles'!$D$13:$D$14</xm:f>
          </x14:formula1>
          <xm:sqref>AG11 AG13:AG16 AG18:AG64</xm:sqref>
        </x14:dataValidation>
        <x14:dataValidation type="custom" allowBlank="1" showInputMessage="1" showErrorMessage="1" error="Recuerde que las acciones se generan bajo la medida de mitigar el riesgo" xr:uid="{BEE889F5-D06C-42C2-99C6-69DE508C4CA2}">
          <x14:formula1>
            <xm:f>IF(OR(AN10='Opciones Tratamiento'!$B$2,AN10='Opciones Tratamiento'!$B$3,AN10='Opciones Tratamiento'!$B$4),ISBLANK(AN10),ISTEXT(AN10))</xm:f>
          </x14:formula1>
          <xm:sqref>AV11:AV14</xm:sqref>
        </x14:dataValidation>
        <x14:dataValidation type="custom" allowBlank="1" showInputMessage="1" showErrorMessage="1" error="Recuerde que las acciones se generan bajo la medida de mitigar el riesgo" xr:uid="{0167A327-5C44-44BF-8AF0-8557C615FF7A}">
          <x14:formula1>
            <xm:f>IF(OR(AN10='Opciones Tratamiento'!$B$2,AN10='Opciones Tratamiento'!$B$3,AN10='Opciones Tratamiento'!$B$4),ISBLANK(AN10),ISTEXT(AN10))</xm:f>
          </x14:formula1>
          <xm:sqref>AW11 AW13</xm:sqref>
        </x14:dataValidation>
        <x14:dataValidation type="custom" allowBlank="1" showInputMessage="1" showErrorMessage="1" error="Recuerde que las acciones se generan bajo la medida de mitigar el riesgo" xr:uid="{E6C3CF0E-F3E7-454A-8CD5-23AB5A9048BD}">
          <x14:formula1>
            <xm:f>IF(OR(AN10='Opciones Tratamiento'!$B$2,AN10='Opciones Tratamiento'!$B$3,AN10='Opciones Tratamiento'!$B$4),ISBLANK(AN10),ISTEXT(AN10))</xm:f>
          </x14:formula1>
          <xm:sqref>AX11</xm:sqref>
        </x14:dataValidation>
        <x14:dataValidation type="list" allowBlank="1" showInputMessage="1" showErrorMessage="1" xr:uid="{D17B3F77-D93F-460E-A526-B7BE5B32C5E3}">
          <x14:formula1>
            <xm:f>'Opciones Tratamiento'!$B$2:$B$5</xm:f>
          </x14:formula1>
          <xm:sqref>AN11 AN13:AN16 AN18:AN64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491" t="s">
        <v>131</v>
      </c>
      <c r="C2" s="491"/>
      <c r="D2" s="491"/>
      <c r="E2" s="491"/>
      <c r="F2" s="491"/>
      <c r="G2" s="491"/>
      <c r="H2" s="491"/>
      <c r="I2" s="491"/>
      <c r="J2" s="459" t="s">
        <v>15</v>
      </c>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491"/>
      <c r="C3" s="491"/>
      <c r="D3" s="491"/>
      <c r="E3" s="491"/>
      <c r="F3" s="491"/>
      <c r="G3" s="491"/>
      <c r="H3" s="491"/>
      <c r="I3" s="491"/>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491"/>
      <c r="C4" s="491"/>
      <c r="D4" s="491"/>
      <c r="E4" s="491"/>
      <c r="F4" s="491"/>
      <c r="G4" s="491"/>
      <c r="H4" s="491"/>
      <c r="I4" s="491"/>
      <c r="J4" s="459"/>
      <c r="K4" s="459"/>
      <c r="L4" s="459"/>
      <c r="M4" s="459"/>
      <c r="N4" s="459"/>
      <c r="O4" s="459"/>
      <c r="P4" s="459"/>
      <c r="Q4" s="459"/>
      <c r="R4" s="459"/>
      <c r="S4" s="459"/>
      <c r="T4" s="459"/>
      <c r="U4" s="459"/>
      <c r="V4" s="459"/>
      <c r="W4" s="459"/>
      <c r="X4" s="459"/>
      <c r="Y4" s="459"/>
      <c r="Z4" s="459"/>
      <c r="AA4" s="459"/>
      <c r="AB4" s="459"/>
      <c r="AC4" s="459"/>
      <c r="AD4" s="459"/>
      <c r="AE4" s="459"/>
      <c r="AF4" s="459"/>
      <c r="AG4" s="459"/>
      <c r="AH4" s="459"/>
      <c r="AI4" s="459"/>
      <c r="AJ4" s="459"/>
      <c r="AK4" s="459"/>
      <c r="AL4" s="459"/>
      <c r="AM4" s="459"/>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406" t="s">
        <v>132</v>
      </c>
      <c r="C6" s="406"/>
      <c r="D6" s="407"/>
      <c r="E6" s="444" t="s">
        <v>133</v>
      </c>
      <c r="F6" s="445"/>
      <c r="G6" s="445"/>
      <c r="H6" s="445"/>
      <c r="I6" s="446"/>
      <c r="J6" s="455" t="str">
        <f>IF(AND('Mapa final'!$L$11="Muy Alta",'Mapa final'!$P$11="Leve"),CONCATENATE("R",'Mapa final'!$A$11),"")</f>
        <v/>
      </c>
      <c r="K6" s="456"/>
      <c r="L6" s="456" t="str">
        <f>IF(AND('Mapa final'!$L$15="Muy Alta",'Mapa final'!$P$15="Leve"),CONCATENATE("R",'Mapa final'!$A$15),"")</f>
        <v/>
      </c>
      <c r="M6" s="456"/>
      <c r="N6" s="456" t="str">
        <f>IF(AND('Mapa final'!$L$17="Muy Alta",'Mapa final'!$P$17="Leve"),CONCATENATE("R",'Mapa final'!$A$17),"")</f>
        <v/>
      </c>
      <c r="O6" s="458"/>
      <c r="P6" s="455" t="str">
        <f>IF(AND('Mapa final'!$L$11="Muy Alta",'Mapa final'!$P$11="Menor"),CONCATENATE("R",'Mapa final'!$A$11),"")</f>
        <v/>
      </c>
      <c r="Q6" s="456"/>
      <c r="R6" s="456" t="str">
        <f>IF(AND('Mapa final'!$L$15="Muy Alta",'Mapa final'!$P$15="Menor"),CONCATENATE("R",'Mapa final'!$A$15),"")</f>
        <v/>
      </c>
      <c r="S6" s="456"/>
      <c r="T6" s="456" t="str">
        <f>IF(AND('Mapa final'!$L$17="Muy Alta",'Mapa final'!$P$17="Menor"),CONCATENATE("R",'Mapa final'!$A$17),"")</f>
        <v/>
      </c>
      <c r="U6" s="458"/>
      <c r="V6" s="455" t="str">
        <f>IF(AND('Mapa final'!$L$11="Muy Alta",'Mapa final'!$P$11="Moderado"),CONCATENATE("R",'Mapa final'!$A$11),"")</f>
        <v/>
      </c>
      <c r="W6" s="456"/>
      <c r="X6" s="456" t="str">
        <f>IF(AND('Mapa final'!$L$15="Muy Alta",'Mapa final'!$P$15="Moderado"),CONCATENATE("R",'Mapa final'!$A$15),"")</f>
        <v/>
      </c>
      <c r="Y6" s="456"/>
      <c r="Z6" s="456" t="str">
        <f>IF(AND('Mapa final'!$L$17="Muy Alta",'Mapa final'!$P$17="Moderado"),CONCATENATE("R",'Mapa final'!$A$17),"")</f>
        <v/>
      </c>
      <c r="AA6" s="458"/>
      <c r="AB6" s="455" t="str">
        <f>IF(AND('Mapa final'!$L$11="Muy Alta",'Mapa final'!$P$11="Mayor"),CONCATENATE("R",'Mapa final'!$A$11),"")</f>
        <v/>
      </c>
      <c r="AC6" s="456"/>
      <c r="AD6" s="456" t="str">
        <f>IF(AND('Mapa final'!$L$15="Muy Alta",'Mapa final'!$P$15="Mayor"),CONCATENATE("R",'Mapa final'!$A$15),"")</f>
        <v/>
      </c>
      <c r="AE6" s="456"/>
      <c r="AF6" s="456" t="str">
        <f>IF(AND('Mapa final'!$L$17="Muy Alta",'Mapa final'!$P$17="Mayor"),CONCATENATE("R",'Mapa final'!$A$17),"")</f>
        <v/>
      </c>
      <c r="AG6" s="458"/>
      <c r="AH6" s="470" t="str">
        <f>IF(AND('Mapa final'!$L$11="Muy Alta",'Mapa final'!$P$11="Catastrófico"),CONCATENATE("R",'Mapa final'!$A$11),"")</f>
        <v/>
      </c>
      <c r="AI6" s="471"/>
      <c r="AJ6" s="471" t="str">
        <f>IF(AND('Mapa final'!$L$15="Muy Alta",'Mapa final'!$P$15="Catastrófico"),CONCATENATE("R",'Mapa final'!$A$15),"")</f>
        <v/>
      </c>
      <c r="AK6" s="471"/>
      <c r="AL6" s="471" t="str">
        <f>IF(AND('Mapa final'!$L$17="Muy Alta",'Mapa final'!$P$17="Catastrófico"),CONCATENATE("R",'Mapa final'!$A$17),"")</f>
        <v/>
      </c>
      <c r="AM6" s="472"/>
      <c r="AO6" s="408" t="s">
        <v>134</v>
      </c>
      <c r="AP6" s="409"/>
      <c r="AQ6" s="409"/>
      <c r="AR6" s="409"/>
      <c r="AS6" s="409"/>
      <c r="AT6" s="41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406"/>
      <c r="C7" s="406"/>
      <c r="D7" s="407"/>
      <c r="E7" s="447"/>
      <c r="F7" s="448"/>
      <c r="G7" s="448"/>
      <c r="H7" s="448"/>
      <c r="I7" s="449"/>
      <c r="J7" s="457"/>
      <c r="K7" s="453"/>
      <c r="L7" s="453"/>
      <c r="M7" s="453"/>
      <c r="N7" s="453"/>
      <c r="O7" s="454"/>
      <c r="P7" s="457"/>
      <c r="Q7" s="453"/>
      <c r="R7" s="453"/>
      <c r="S7" s="453"/>
      <c r="T7" s="453"/>
      <c r="U7" s="454"/>
      <c r="V7" s="457"/>
      <c r="W7" s="453"/>
      <c r="X7" s="453"/>
      <c r="Y7" s="453"/>
      <c r="Z7" s="453"/>
      <c r="AA7" s="454"/>
      <c r="AB7" s="457"/>
      <c r="AC7" s="453"/>
      <c r="AD7" s="453"/>
      <c r="AE7" s="453"/>
      <c r="AF7" s="453"/>
      <c r="AG7" s="454"/>
      <c r="AH7" s="464"/>
      <c r="AI7" s="465"/>
      <c r="AJ7" s="465"/>
      <c r="AK7" s="465"/>
      <c r="AL7" s="465"/>
      <c r="AM7" s="466"/>
      <c r="AN7" s="80"/>
      <c r="AO7" s="411"/>
      <c r="AP7" s="412"/>
      <c r="AQ7" s="412"/>
      <c r="AR7" s="412"/>
      <c r="AS7" s="412"/>
      <c r="AT7" s="413"/>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406"/>
      <c r="C8" s="406"/>
      <c r="D8" s="407"/>
      <c r="E8" s="447"/>
      <c r="F8" s="448"/>
      <c r="G8" s="448"/>
      <c r="H8" s="448"/>
      <c r="I8" s="449"/>
      <c r="J8" s="457" t="str">
        <f>IF(AND('Mapa final'!$L$23="Muy Alta",'Mapa final'!$P$23="Leve"),CONCATENATE("R",'Mapa final'!$A$23),"")</f>
        <v/>
      </c>
      <c r="K8" s="453"/>
      <c r="L8" s="453" t="str">
        <f>IF(AND('Mapa final'!$L$29="Muy Alta",'Mapa final'!$P$29="Leve"),CONCATENATE("R",'Mapa final'!$A$29),"")</f>
        <v/>
      </c>
      <c r="M8" s="453"/>
      <c r="N8" s="453" t="str">
        <f>IF(AND('Mapa final'!$L$35="Muy Alta",'Mapa final'!$P$35="Leve"),CONCATENATE("R",'Mapa final'!$A$35),"")</f>
        <v/>
      </c>
      <c r="O8" s="454"/>
      <c r="P8" s="457" t="str">
        <f>IF(AND('Mapa final'!$L$23="Muy Alta",'Mapa final'!$P$23="Menor"),CONCATENATE("R",'Mapa final'!$A$23),"")</f>
        <v/>
      </c>
      <c r="Q8" s="453"/>
      <c r="R8" s="453" t="str">
        <f>IF(AND('Mapa final'!$L$29="Muy Alta",'Mapa final'!$P$29="Menor"),CONCATENATE("R",'Mapa final'!$A$29),"")</f>
        <v/>
      </c>
      <c r="S8" s="453"/>
      <c r="T8" s="453" t="str">
        <f>IF(AND('Mapa final'!$L$35="Muy Alta",'Mapa final'!$P$35="Menor"),CONCATENATE("R",'Mapa final'!$A$35),"")</f>
        <v/>
      </c>
      <c r="U8" s="454"/>
      <c r="V8" s="457" t="str">
        <f>IF(AND('Mapa final'!$L$23="Muy Alta",'Mapa final'!$P$23="Moderado"),CONCATENATE("R",'Mapa final'!$A$23),"")</f>
        <v/>
      </c>
      <c r="W8" s="453"/>
      <c r="X8" s="453" t="str">
        <f>IF(AND('Mapa final'!$L$29="Muy Alta",'Mapa final'!$P$29="Moderado"),CONCATENATE("R",'Mapa final'!$A$29),"")</f>
        <v/>
      </c>
      <c r="Y8" s="453"/>
      <c r="Z8" s="453" t="str">
        <f>IF(AND('Mapa final'!$L$35="Muy Alta",'Mapa final'!$P$35="Moderado"),CONCATENATE("R",'Mapa final'!$A$35),"")</f>
        <v/>
      </c>
      <c r="AA8" s="454"/>
      <c r="AB8" s="457" t="str">
        <f>IF(AND('Mapa final'!$L$23="Muy Alta",'Mapa final'!$P$23="Mayor"),CONCATENATE("R",'Mapa final'!$A$23),"")</f>
        <v/>
      </c>
      <c r="AC8" s="453"/>
      <c r="AD8" s="453" t="str">
        <f>IF(AND('Mapa final'!$L$29="Muy Alta",'Mapa final'!$P$29="Mayor"),CONCATENATE("R",'Mapa final'!$A$29),"")</f>
        <v/>
      </c>
      <c r="AE8" s="453"/>
      <c r="AF8" s="453" t="str">
        <f>IF(AND('Mapa final'!$L$35="Muy Alta",'Mapa final'!$P$35="Mayor"),CONCATENATE("R",'Mapa final'!$A$35),"")</f>
        <v/>
      </c>
      <c r="AG8" s="454"/>
      <c r="AH8" s="464" t="str">
        <f>IF(AND('Mapa final'!$L$23="Muy Alta",'Mapa final'!$P$23="Catastrófico"),CONCATENATE("R",'Mapa final'!$A$23),"")</f>
        <v/>
      </c>
      <c r="AI8" s="465"/>
      <c r="AJ8" s="465" t="str">
        <f>IF(AND('Mapa final'!$L$29="Muy Alta",'Mapa final'!$P$29="Catastrófico"),CONCATENATE("R",'Mapa final'!$A$29),"")</f>
        <v/>
      </c>
      <c r="AK8" s="465"/>
      <c r="AL8" s="465" t="str">
        <f>IF(AND('Mapa final'!$L$35="Muy Alta",'Mapa final'!$P$35="Catastrófico"),CONCATENATE("R",'Mapa final'!$A$35),"")</f>
        <v/>
      </c>
      <c r="AM8" s="466"/>
      <c r="AN8" s="80"/>
      <c r="AO8" s="411"/>
      <c r="AP8" s="412"/>
      <c r="AQ8" s="412"/>
      <c r="AR8" s="412"/>
      <c r="AS8" s="412"/>
      <c r="AT8" s="413"/>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406"/>
      <c r="C9" s="406"/>
      <c r="D9" s="407"/>
      <c r="E9" s="447"/>
      <c r="F9" s="448"/>
      <c r="G9" s="448"/>
      <c r="H9" s="448"/>
      <c r="I9" s="449"/>
      <c r="J9" s="457"/>
      <c r="K9" s="453"/>
      <c r="L9" s="453"/>
      <c r="M9" s="453"/>
      <c r="N9" s="453"/>
      <c r="O9" s="454"/>
      <c r="P9" s="457"/>
      <c r="Q9" s="453"/>
      <c r="R9" s="453"/>
      <c r="S9" s="453"/>
      <c r="T9" s="453"/>
      <c r="U9" s="454"/>
      <c r="V9" s="457"/>
      <c r="W9" s="453"/>
      <c r="X9" s="453"/>
      <c r="Y9" s="453"/>
      <c r="Z9" s="453"/>
      <c r="AA9" s="454"/>
      <c r="AB9" s="457"/>
      <c r="AC9" s="453"/>
      <c r="AD9" s="453"/>
      <c r="AE9" s="453"/>
      <c r="AF9" s="453"/>
      <c r="AG9" s="454"/>
      <c r="AH9" s="464"/>
      <c r="AI9" s="465"/>
      <c r="AJ9" s="465"/>
      <c r="AK9" s="465"/>
      <c r="AL9" s="465"/>
      <c r="AM9" s="466"/>
      <c r="AN9" s="80"/>
      <c r="AO9" s="411"/>
      <c r="AP9" s="412"/>
      <c r="AQ9" s="412"/>
      <c r="AR9" s="412"/>
      <c r="AS9" s="412"/>
      <c r="AT9" s="413"/>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406"/>
      <c r="C10" s="406"/>
      <c r="D10" s="407"/>
      <c r="E10" s="447"/>
      <c r="F10" s="448"/>
      <c r="G10" s="448"/>
      <c r="H10" s="448"/>
      <c r="I10" s="449"/>
      <c r="J10" s="457" t="str">
        <f>IF(AND('Mapa final'!$L$41="Muy Alta",'Mapa final'!$P$41="Leve"),CONCATENATE("R",'Mapa final'!$A$41),"")</f>
        <v/>
      </c>
      <c r="K10" s="453"/>
      <c r="L10" s="453" t="str">
        <f>IF(AND('Mapa final'!$L$47="Muy Alta",'Mapa final'!$P$47="Leve"),CONCATENATE("R",'Mapa final'!$A$47),"")</f>
        <v/>
      </c>
      <c r="M10" s="453"/>
      <c r="N10" s="453" t="str">
        <f>IF(AND('Mapa final'!$L$53="Muy Alta",'Mapa final'!$P$53="Leve"),CONCATENATE("R",'Mapa final'!$A$53),"")</f>
        <v/>
      </c>
      <c r="O10" s="454"/>
      <c r="P10" s="457" t="str">
        <f>IF(AND('Mapa final'!$L$41="Muy Alta",'Mapa final'!$P$41="Menor"),CONCATENATE("R",'Mapa final'!$A$41),"")</f>
        <v/>
      </c>
      <c r="Q10" s="453"/>
      <c r="R10" s="453" t="str">
        <f>IF(AND('Mapa final'!$L$47="Muy Alta",'Mapa final'!$P$47="Menor"),CONCATENATE("R",'Mapa final'!$A$47),"")</f>
        <v/>
      </c>
      <c r="S10" s="453"/>
      <c r="T10" s="453" t="str">
        <f>IF(AND('Mapa final'!$L$53="Muy Alta",'Mapa final'!$P$53="Menor"),CONCATENATE("R",'Mapa final'!$A$53),"")</f>
        <v/>
      </c>
      <c r="U10" s="454"/>
      <c r="V10" s="457" t="str">
        <f>IF(AND('Mapa final'!$L$41="Muy Alta",'Mapa final'!$P$41="Moderado"),CONCATENATE("R",'Mapa final'!$A$41),"")</f>
        <v/>
      </c>
      <c r="W10" s="453"/>
      <c r="X10" s="453" t="str">
        <f>IF(AND('Mapa final'!$L$47="Muy Alta",'Mapa final'!$P$47="Moderado"),CONCATENATE("R",'Mapa final'!$A$47),"")</f>
        <v/>
      </c>
      <c r="Y10" s="453"/>
      <c r="Z10" s="453" t="str">
        <f>IF(AND('Mapa final'!$L$53="Muy Alta",'Mapa final'!$P$53="Moderado"),CONCATENATE("R",'Mapa final'!$A$53),"")</f>
        <v/>
      </c>
      <c r="AA10" s="454"/>
      <c r="AB10" s="457" t="str">
        <f>IF(AND('Mapa final'!$L$41="Muy Alta",'Mapa final'!$P$41="Mayor"),CONCATENATE("R",'Mapa final'!$A$41),"")</f>
        <v/>
      </c>
      <c r="AC10" s="453"/>
      <c r="AD10" s="453" t="str">
        <f>IF(AND('Mapa final'!$L$47="Muy Alta",'Mapa final'!$P$47="Mayor"),CONCATENATE("R",'Mapa final'!$A$47),"")</f>
        <v/>
      </c>
      <c r="AE10" s="453"/>
      <c r="AF10" s="453" t="str">
        <f>IF(AND('Mapa final'!$L$53="Muy Alta",'Mapa final'!$P$53="Mayor"),CONCATENATE("R",'Mapa final'!$A$53),"")</f>
        <v/>
      </c>
      <c r="AG10" s="454"/>
      <c r="AH10" s="464" t="str">
        <f>IF(AND('Mapa final'!$L$41="Muy Alta",'Mapa final'!$P$41="Catastrófico"),CONCATENATE("R",'Mapa final'!$A$41),"")</f>
        <v/>
      </c>
      <c r="AI10" s="465"/>
      <c r="AJ10" s="465" t="str">
        <f>IF(AND('Mapa final'!$L$47="Muy Alta",'Mapa final'!$P$47="Catastrófico"),CONCATENATE("R",'Mapa final'!$A$47),"")</f>
        <v/>
      </c>
      <c r="AK10" s="465"/>
      <c r="AL10" s="465" t="str">
        <f>IF(AND('Mapa final'!$L$53="Muy Alta",'Mapa final'!$P$53="Catastrófico"),CONCATENATE("R",'Mapa final'!$A$53),"")</f>
        <v/>
      </c>
      <c r="AM10" s="466"/>
      <c r="AN10" s="80"/>
      <c r="AO10" s="411"/>
      <c r="AP10" s="412"/>
      <c r="AQ10" s="412"/>
      <c r="AR10" s="412"/>
      <c r="AS10" s="412"/>
      <c r="AT10" s="413"/>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406"/>
      <c r="C11" s="406"/>
      <c r="D11" s="407"/>
      <c r="E11" s="447"/>
      <c r="F11" s="448"/>
      <c r="G11" s="448"/>
      <c r="H11" s="448"/>
      <c r="I11" s="449"/>
      <c r="J11" s="457"/>
      <c r="K11" s="453"/>
      <c r="L11" s="453"/>
      <c r="M11" s="453"/>
      <c r="N11" s="453"/>
      <c r="O11" s="454"/>
      <c r="P11" s="457"/>
      <c r="Q11" s="453"/>
      <c r="R11" s="453"/>
      <c r="S11" s="453"/>
      <c r="T11" s="453"/>
      <c r="U11" s="454"/>
      <c r="V11" s="457"/>
      <c r="W11" s="453"/>
      <c r="X11" s="453"/>
      <c r="Y11" s="453"/>
      <c r="Z11" s="453"/>
      <c r="AA11" s="454"/>
      <c r="AB11" s="457"/>
      <c r="AC11" s="453"/>
      <c r="AD11" s="453"/>
      <c r="AE11" s="453"/>
      <c r="AF11" s="453"/>
      <c r="AG11" s="454"/>
      <c r="AH11" s="464"/>
      <c r="AI11" s="465"/>
      <c r="AJ11" s="465"/>
      <c r="AK11" s="465"/>
      <c r="AL11" s="465"/>
      <c r="AM11" s="466"/>
      <c r="AN11" s="80"/>
      <c r="AO11" s="411"/>
      <c r="AP11" s="412"/>
      <c r="AQ11" s="412"/>
      <c r="AR11" s="412"/>
      <c r="AS11" s="412"/>
      <c r="AT11" s="413"/>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406"/>
      <c r="C12" s="406"/>
      <c r="D12" s="407"/>
      <c r="E12" s="447"/>
      <c r="F12" s="448"/>
      <c r="G12" s="448"/>
      <c r="H12" s="448"/>
      <c r="I12" s="449"/>
      <c r="J12" s="457" t="str">
        <f>IF(AND('Mapa final'!$L$59="Muy Alta",'Mapa final'!$P$59="Leve"),CONCATENATE("R",'Mapa final'!$A$59),"")</f>
        <v/>
      </c>
      <c r="K12" s="453"/>
      <c r="L12" s="453" t="str">
        <f>IF(AND('Mapa final'!$L$65="Muy Alta",'Mapa final'!$P$65="Leve"),CONCATENATE("R",'Mapa final'!$A$65),"")</f>
        <v/>
      </c>
      <c r="M12" s="453"/>
      <c r="N12" s="453" t="str">
        <f>IF(AND('Mapa final'!$L$71="Muy Alta",'Mapa final'!$P$71="Leve"),CONCATENATE("R",'Mapa final'!$A$71),"")</f>
        <v/>
      </c>
      <c r="O12" s="454"/>
      <c r="P12" s="457" t="str">
        <f>IF(AND('Mapa final'!$L$59="Muy Alta",'Mapa final'!$P$59="Menor"),CONCATENATE("R",'Mapa final'!$A$59),"")</f>
        <v/>
      </c>
      <c r="Q12" s="453"/>
      <c r="R12" s="453" t="str">
        <f>IF(AND('Mapa final'!$L$65="Muy Alta",'Mapa final'!$P$65="Menor"),CONCATENATE("R",'Mapa final'!$A$65),"")</f>
        <v/>
      </c>
      <c r="S12" s="453"/>
      <c r="T12" s="453" t="str">
        <f>IF(AND('Mapa final'!$L$71="Muy Alta",'Mapa final'!$P$71="Menor"),CONCATENATE("R",'Mapa final'!$A$71),"")</f>
        <v/>
      </c>
      <c r="U12" s="454"/>
      <c r="V12" s="457" t="str">
        <f>IF(AND('Mapa final'!$L$59="Muy Alta",'Mapa final'!$P$59="Moderado"),CONCATENATE("R",'Mapa final'!$A$59),"")</f>
        <v/>
      </c>
      <c r="W12" s="453"/>
      <c r="X12" s="453" t="str">
        <f>IF(AND('Mapa final'!$L$65="Muy Alta",'Mapa final'!$P$65="Moderado"),CONCATENATE("R",'Mapa final'!$A$65),"")</f>
        <v/>
      </c>
      <c r="Y12" s="453"/>
      <c r="Z12" s="453" t="str">
        <f>IF(AND('Mapa final'!$L$71="Muy Alta",'Mapa final'!$P$71="Moderado"),CONCATENATE("R",'Mapa final'!$A$71),"")</f>
        <v/>
      </c>
      <c r="AA12" s="454"/>
      <c r="AB12" s="457" t="str">
        <f>IF(AND('Mapa final'!$L$59="Muy Alta",'Mapa final'!$P$59="Mayor"),CONCATENATE("R",'Mapa final'!$A$59),"")</f>
        <v/>
      </c>
      <c r="AC12" s="453"/>
      <c r="AD12" s="453" t="str">
        <f>IF(AND('Mapa final'!$L$65="Muy Alta",'Mapa final'!$P$65="Mayor"),CONCATENATE("R",'Mapa final'!$A$65),"")</f>
        <v/>
      </c>
      <c r="AE12" s="453"/>
      <c r="AF12" s="453" t="str">
        <f>IF(AND('Mapa final'!$L$71="Muy Alta",'Mapa final'!$P$71="Mayor"),CONCATENATE("R",'Mapa final'!$A$71),"")</f>
        <v/>
      </c>
      <c r="AG12" s="454"/>
      <c r="AH12" s="464" t="str">
        <f>IF(AND('Mapa final'!$L$59="Muy Alta",'Mapa final'!$P$59="Catastrófico"),CONCATENATE("R",'Mapa final'!$A$59),"")</f>
        <v/>
      </c>
      <c r="AI12" s="465"/>
      <c r="AJ12" s="465" t="str">
        <f>IF(AND('Mapa final'!$L$65="Muy Alta",'Mapa final'!$P$65="Catastrófico"),CONCATENATE("R",'Mapa final'!$A$65),"")</f>
        <v/>
      </c>
      <c r="AK12" s="465"/>
      <c r="AL12" s="465" t="str">
        <f>IF(AND('Mapa final'!$L$71="Muy Alta",'Mapa final'!$P$71="Catastrófico"),CONCATENATE("R",'Mapa final'!$A$71),"")</f>
        <v/>
      </c>
      <c r="AM12" s="466"/>
      <c r="AN12" s="80"/>
      <c r="AO12" s="411"/>
      <c r="AP12" s="412"/>
      <c r="AQ12" s="412"/>
      <c r="AR12" s="412"/>
      <c r="AS12" s="412"/>
      <c r="AT12" s="413"/>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406"/>
      <c r="C13" s="406"/>
      <c r="D13" s="407"/>
      <c r="E13" s="450"/>
      <c r="F13" s="451"/>
      <c r="G13" s="451"/>
      <c r="H13" s="451"/>
      <c r="I13" s="452"/>
      <c r="J13" s="457"/>
      <c r="K13" s="453"/>
      <c r="L13" s="453"/>
      <c r="M13" s="453"/>
      <c r="N13" s="453"/>
      <c r="O13" s="454"/>
      <c r="P13" s="457"/>
      <c r="Q13" s="453"/>
      <c r="R13" s="453"/>
      <c r="S13" s="453"/>
      <c r="T13" s="453"/>
      <c r="U13" s="454"/>
      <c r="V13" s="457"/>
      <c r="W13" s="453"/>
      <c r="X13" s="453"/>
      <c r="Y13" s="453"/>
      <c r="Z13" s="453"/>
      <c r="AA13" s="454"/>
      <c r="AB13" s="457"/>
      <c r="AC13" s="453"/>
      <c r="AD13" s="453"/>
      <c r="AE13" s="453"/>
      <c r="AF13" s="453"/>
      <c r="AG13" s="454"/>
      <c r="AH13" s="467"/>
      <c r="AI13" s="468"/>
      <c r="AJ13" s="468"/>
      <c r="AK13" s="468"/>
      <c r="AL13" s="468"/>
      <c r="AM13" s="469"/>
      <c r="AN13" s="80"/>
      <c r="AO13" s="414"/>
      <c r="AP13" s="415"/>
      <c r="AQ13" s="415"/>
      <c r="AR13" s="415"/>
      <c r="AS13" s="415"/>
      <c r="AT13" s="416"/>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406"/>
      <c r="C14" s="406"/>
      <c r="D14" s="407"/>
      <c r="E14" s="444" t="s">
        <v>135</v>
      </c>
      <c r="F14" s="445"/>
      <c r="G14" s="445"/>
      <c r="H14" s="445"/>
      <c r="I14" s="445"/>
      <c r="J14" s="479" t="str">
        <f>IF(AND('Mapa final'!$L$11="Alta",'Mapa final'!$P$11="Leve"),CONCATENATE("R",'Mapa final'!$A$11),"")</f>
        <v/>
      </c>
      <c r="K14" s="480"/>
      <c r="L14" s="480" t="str">
        <f>IF(AND('Mapa final'!$L$15="Alta",'Mapa final'!$P$15="Leve"),CONCATENATE("R",'Mapa final'!$A$15),"")</f>
        <v/>
      </c>
      <c r="M14" s="480"/>
      <c r="N14" s="480" t="str">
        <f>IF(AND('Mapa final'!$L$17="Alta",'Mapa final'!$P$17="Leve"),CONCATENATE("R",'Mapa final'!$A$17),"")</f>
        <v/>
      </c>
      <c r="O14" s="481"/>
      <c r="P14" s="479" t="str">
        <f>IF(AND('Mapa final'!$L$11="Alta",'Mapa final'!$P$11="Menor"),CONCATENATE("R",'Mapa final'!$A$11),"")</f>
        <v/>
      </c>
      <c r="Q14" s="480"/>
      <c r="R14" s="480" t="str">
        <f>IF(AND('Mapa final'!$L$15="Alta",'Mapa final'!$P$15="Menor"),CONCATENATE("R",'Mapa final'!$A$15),"")</f>
        <v/>
      </c>
      <c r="S14" s="480"/>
      <c r="T14" s="480" t="str">
        <f>IF(AND('Mapa final'!$L$17="Alta",'Mapa final'!$P$17="Menor"),CONCATENATE("R",'Mapa final'!$A$17),"")</f>
        <v/>
      </c>
      <c r="U14" s="481"/>
      <c r="V14" s="455" t="str">
        <f>IF(AND('Mapa final'!$L$11="Alta",'Mapa final'!$P$11="Moderado"),CONCATENATE("R",'Mapa final'!$A$11),"")</f>
        <v/>
      </c>
      <c r="W14" s="456"/>
      <c r="X14" s="456" t="str">
        <f>IF(AND('Mapa final'!$L$15="Alta",'Mapa final'!$P$15="Moderado"),CONCATENATE("R",'Mapa final'!$A$15),"")</f>
        <v/>
      </c>
      <c r="Y14" s="456"/>
      <c r="Z14" s="456" t="str">
        <f>IF(AND('Mapa final'!$L$17="Alta",'Mapa final'!$P$17="Moderado"),CONCATENATE("R",'Mapa final'!$A$17),"")</f>
        <v/>
      </c>
      <c r="AA14" s="458"/>
      <c r="AB14" s="455" t="str">
        <f>IF(AND('Mapa final'!$L$11="Alta",'Mapa final'!$P$11="Mayor"),CONCATENATE("R",'Mapa final'!$A$11),"")</f>
        <v/>
      </c>
      <c r="AC14" s="456"/>
      <c r="AD14" s="456" t="str">
        <f>IF(AND('Mapa final'!$L$15="Alta",'Mapa final'!$P$15="Mayor"),CONCATENATE("R",'Mapa final'!$A$15),"")</f>
        <v/>
      </c>
      <c r="AE14" s="456"/>
      <c r="AF14" s="456" t="str">
        <f>IF(AND('Mapa final'!$L$17="Alta",'Mapa final'!$P$17="Mayor"),CONCATENATE("R",'Mapa final'!$A$17),"")</f>
        <v/>
      </c>
      <c r="AG14" s="458"/>
      <c r="AH14" s="470" t="str">
        <f>IF(AND('Mapa final'!$L$11="Alta",'Mapa final'!$P$11="Catastrófico"),CONCATENATE("R",'Mapa final'!$A$11),"")</f>
        <v/>
      </c>
      <c r="AI14" s="471"/>
      <c r="AJ14" s="471" t="str">
        <f>IF(AND('Mapa final'!$L$15="Alta",'Mapa final'!$P$15="Catastrófico"),CONCATENATE("R",'Mapa final'!$A$15),"")</f>
        <v/>
      </c>
      <c r="AK14" s="471"/>
      <c r="AL14" s="471" t="str">
        <f>IF(AND('Mapa final'!$L$17="Alta",'Mapa final'!$P$17="Catastrófico"),CONCATENATE("R",'Mapa final'!$A$17),"")</f>
        <v/>
      </c>
      <c r="AM14" s="472"/>
      <c r="AN14" s="80"/>
      <c r="AO14" s="417" t="s">
        <v>136</v>
      </c>
      <c r="AP14" s="418"/>
      <c r="AQ14" s="418"/>
      <c r="AR14" s="418"/>
      <c r="AS14" s="418"/>
      <c r="AT14" s="419"/>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406"/>
      <c r="C15" s="406"/>
      <c r="D15" s="407"/>
      <c r="E15" s="447"/>
      <c r="F15" s="448"/>
      <c r="G15" s="448"/>
      <c r="H15" s="448"/>
      <c r="I15" s="448"/>
      <c r="J15" s="473"/>
      <c r="K15" s="474"/>
      <c r="L15" s="474"/>
      <c r="M15" s="474"/>
      <c r="N15" s="474"/>
      <c r="O15" s="475"/>
      <c r="P15" s="473"/>
      <c r="Q15" s="474"/>
      <c r="R15" s="474"/>
      <c r="S15" s="474"/>
      <c r="T15" s="474"/>
      <c r="U15" s="475"/>
      <c r="V15" s="457"/>
      <c r="W15" s="453"/>
      <c r="X15" s="453"/>
      <c r="Y15" s="453"/>
      <c r="Z15" s="453"/>
      <c r="AA15" s="454"/>
      <c r="AB15" s="457"/>
      <c r="AC15" s="453"/>
      <c r="AD15" s="453"/>
      <c r="AE15" s="453"/>
      <c r="AF15" s="453"/>
      <c r="AG15" s="454"/>
      <c r="AH15" s="464"/>
      <c r="AI15" s="465"/>
      <c r="AJ15" s="465"/>
      <c r="AK15" s="465"/>
      <c r="AL15" s="465"/>
      <c r="AM15" s="466"/>
      <c r="AN15" s="80"/>
      <c r="AO15" s="420"/>
      <c r="AP15" s="421"/>
      <c r="AQ15" s="421"/>
      <c r="AR15" s="421"/>
      <c r="AS15" s="421"/>
      <c r="AT15" s="422"/>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406"/>
      <c r="C16" s="406"/>
      <c r="D16" s="407"/>
      <c r="E16" s="447"/>
      <c r="F16" s="448"/>
      <c r="G16" s="448"/>
      <c r="H16" s="448"/>
      <c r="I16" s="448"/>
      <c r="J16" s="473" t="str">
        <f>IF(AND('Mapa final'!$L$23="Alta",'Mapa final'!$P$23="Leve"),CONCATENATE("R",'Mapa final'!$A$23),"")</f>
        <v/>
      </c>
      <c r="K16" s="474"/>
      <c r="L16" s="474" t="str">
        <f>IF(AND('Mapa final'!$L$29="Alta",'Mapa final'!$P$29="Leve"),CONCATENATE("R",'Mapa final'!$A$29),"")</f>
        <v/>
      </c>
      <c r="M16" s="474"/>
      <c r="N16" s="474" t="str">
        <f>IF(AND('Mapa final'!$L$35="Alta",'Mapa final'!$P$35="Leve"),CONCATENATE("R",'Mapa final'!$A$35),"")</f>
        <v/>
      </c>
      <c r="O16" s="475"/>
      <c r="P16" s="473" t="str">
        <f>IF(AND('Mapa final'!$L$23="Alta",'Mapa final'!$P$23="Menor"),CONCATENATE("R",'Mapa final'!$A$23),"")</f>
        <v/>
      </c>
      <c r="Q16" s="474"/>
      <c r="R16" s="474" t="str">
        <f>IF(AND('Mapa final'!$L$29="Alta",'Mapa final'!$P$29="Menor"),CONCATENATE("R",'Mapa final'!$A$29),"")</f>
        <v/>
      </c>
      <c r="S16" s="474"/>
      <c r="T16" s="474" t="str">
        <f>IF(AND('Mapa final'!$L$35="Alta",'Mapa final'!$P$35="Menor"),CONCATENATE("R",'Mapa final'!$A$35),"")</f>
        <v/>
      </c>
      <c r="U16" s="475"/>
      <c r="V16" s="457" t="str">
        <f>IF(AND('Mapa final'!$L$23="Alta",'Mapa final'!$P$23="Moderado"),CONCATENATE("R",'Mapa final'!$A$23),"")</f>
        <v/>
      </c>
      <c r="W16" s="453"/>
      <c r="X16" s="453" t="str">
        <f>IF(AND('Mapa final'!$L$29="Alta",'Mapa final'!$P$29="Moderado"),CONCATENATE("R",'Mapa final'!$A$29),"")</f>
        <v/>
      </c>
      <c r="Y16" s="453"/>
      <c r="Z16" s="453" t="str">
        <f>IF(AND('Mapa final'!$L$35="Alta",'Mapa final'!$P$35="Moderado"),CONCATENATE("R",'Mapa final'!$A$35),"")</f>
        <v/>
      </c>
      <c r="AA16" s="454"/>
      <c r="AB16" s="457" t="str">
        <f>IF(AND('Mapa final'!$L$23="Alta",'Mapa final'!$P$23="Mayor"),CONCATENATE("R",'Mapa final'!$A$23),"")</f>
        <v/>
      </c>
      <c r="AC16" s="453"/>
      <c r="AD16" s="453" t="str">
        <f>IF(AND('Mapa final'!$L$29="Alta",'Mapa final'!$P$29="Mayor"),CONCATENATE("R",'Mapa final'!$A$29),"")</f>
        <v/>
      </c>
      <c r="AE16" s="453"/>
      <c r="AF16" s="453" t="str">
        <f>IF(AND('Mapa final'!$L$35="Alta",'Mapa final'!$P$35="Mayor"),CONCATENATE("R",'Mapa final'!$A$35),"")</f>
        <v/>
      </c>
      <c r="AG16" s="454"/>
      <c r="AH16" s="464" t="str">
        <f>IF(AND('Mapa final'!$L$23="Alta",'Mapa final'!$P$23="Catastrófico"),CONCATENATE("R",'Mapa final'!$A$23),"")</f>
        <v/>
      </c>
      <c r="AI16" s="465"/>
      <c r="AJ16" s="465" t="str">
        <f>IF(AND('Mapa final'!$L$29="Alta",'Mapa final'!$P$29="Catastrófico"),CONCATENATE("R",'Mapa final'!$A$29),"")</f>
        <v/>
      </c>
      <c r="AK16" s="465"/>
      <c r="AL16" s="465" t="str">
        <f>IF(AND('Mapa final'!$L$35="Alta",'Mapa final'!$P$35="Catastrófico"),CONCATENATE("R",'Mapa final'!$A$35),"")</f>
        <v/>
      </c>
      <c r="AM16" s="466"/>
      <c r="AN16" s="80"/>
      <c r="AO16" s="420"/>
      <c r="AP16" s="421"/>
      <c r="AQ16" s="421"/>
      <c r="AR16" s="421"/>
      <c r="AS16" s="421"/>
      <c r="AT16" s="422"/>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406"/>
      <c r="C17" s="406"/>
      <c r="D17" s="407"/>
      <c r="E17" s="447"/>
      <c r="F17" s="448"/>
      <c r="G17" s="448"/>
      <c r="H17" s="448"/>
      <c r="I17" s="448"/>
      <c r="J17" s="473"/>
      <c r="K17" s="474"/>
      <c r="L17" s="474"/>
      <c r="M17" s="474"/>
      <c r="N17" s="474"/>
      <c r="O17" s="475"/>
      <c r="P17" s="473"/>
      <c r="Q17" s="474"/>
      <c r="R17" s="474"/>
      <c r="S17" s="474"/>
      <c r="T17" s="474"/>
      <c r="U17" s="475"/>
      <c r="V17" s="457"/>
      <c r="W17" s="453"/>
      <c r="X17" s="453"/>
      <c r="Y17" s="453"/>
      <c r="Z17" s="453"/>
      <c r="AA17" s="454"/>
      <c r="AB17" s="457"/>
      <c r="AC17" s="453"/>
      <c r="AD17" s="453"/>
      <c r="AE17" s="453"/>
      <c r="AF17" s="453"/>
      <c r="AG17" s="454"/>
      <c r="AH17" s="464"/>
      <c r="AI17" s="465"/>
      <c r="AJ17" s="465"/>
      <c r="AK17" s="465"/>
      <c r="AL17" s="465"/>
      <c r="AM17" s="466"/>
      <c r="AN17" s="80"/>
      <c r="AO17" s="420"/>
      <c r="AP17" s="421"/>
      <c r="AQ17" s="421"/>
      <c r="AR17" s="421"/>
      <c r="AS17" s="421"/>
      <c r="AT17" s="422"/>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406"/>
      <c r="C18" s="406"/>
      <c r="D18" s="407"/>
      <c r="E18" s="447"/>
      <c r="F18" s="448"/>
      <c r="G18" s="448"/>
      <c r="H18" s="448"/>
      <c r="I18" s="448"/>
      <c r="J18" s="473" t="str">
        <f>IF(AND('Mapa final'!$L$41="Alta",'Mapa final'!$P$41="Leve"),CONCATENATE("R",'Mapa final'!$A$41),"")</f>
        <v/>
      </c>
      <c r="K18" s="474"/>
      <c r="L18" s="474" t="str">
        <f>IF(AND('Mapa final'!$L$47="Alta",'Mapa final'!$P$47="Leve"),CONCATENATE("R",'Mapa final'!$A$47),"")</f>
        <v/>
      </c>
      <c r="M18" s="474"/>
      <c r="N18" s="474" t="str">
        <f>IF(AND('Mapa final'!$L$53="Alta",'Mapa final'!$P$53="Leve"),CONCATENATE("R",'Mapa final'!$A$53),"")</f>
        <v/>
      </c>
      <c r="O18" s="475"/>
      <c r="P18" s="473" t="str">
        <f>IF(AND('Mapa final'!$L$41="Alta",'Mapa final'!$P$41="Menor"),CONCATENATE("R",'Mapa final'!$A$41),"")</f>
        <v/>
      </c>
      <c r="Q18" s="474"/>
      <c r="R18" s="474" t="str">
        <f>IF(AND('Mapa final'!$L$47="Alta",'Mapa final'!$P$47="Menor"),CONCATENATE("R",'Mapa final'!$A$47),"")</f>
        <v/>
      </c>
      <c r="S18" s="474"/>
      <c r="T18" s="474" t="str">
        <f>IF(AND('Mapa final'!$L$53="Alta",'Mapa final'!$P$53="Menor"),CONCATENATE("R",'Mapa final'!$A$53),"")</f>
        <v/>
      </c>
      <c r="U18" s="475"/>
      <c r="V18" s="457" t="str">
        <f>IF(AND('Mapa final'!$L$41="Alta",'Mapa final'!$P$41="Moderado"),CONCATENATE("R",'Mapa final'!$A$41),"")</f>
        <v/>
      </c>
      <c r="W18" s="453"/>
      <c r="X18" s="453" t="str">
        <f>IF(AND('Mapa final'!$L$47="Alta",'Mapa final'!$P$47="Moderado"),CONCATENATE("R",'Mapa final'!$A$47),"")</f>
        <v/>
      </c>
      <c r="Y18" s="453"/>
      <c r="Z18" s="453" t="str">
        <f>IF(AND('Mapa final'!$L$53="Alta",'Mapa final'!$P$53="Moderado"),CONCATENATE("R",'Mapa final'!$A$53),"")</f>
        <v/>
      </c>
      <c r="AA18" s="454"/>
      <c r="AB18" s="457" t="str">
        <f>IF(AND('Mapa final'!$L$41="Alta",'Mapa final'!$P$41="Mayor"),CONCATENATE("R",'Mapa final'!$A$41),"")</f>
        <v/>
      </c>
      <c r="AC18" s="453"/>
      <c r="AD18" s="453" t="str">
        <f>IF(AND('Mapa final'!$L$47="Alta",'Mapa final'!$P$47="Mayor"),CONCATENATE("R",'Mapa final'!$A$47),"")</f>
        <v/>
      </c>
      <c r="AE18" s="453"/>
      <c r="AF18" s="453" t="str">
        <f>IF(AND('Mapa final'!$L$53="Alta",'Mapa final'!$P$53="Mayor"),CONCATENATE("R",'Mapa final'!$A$53),"")</f>
        <v/>
      </c>
      <c r="AG18" s="454"/>
      <c r="AH18" s="464" t="str">
        <f>IF(AND('Mapa final'!$L$41="Alta",'Mapa final'!$P$41="Catastrófico"),CONCATENATE("R",'Mapa final'!$A$41),"")</f>
        <v/>
      </c>
      <c r="AI18" s="465"/>
      <c r="AJ18" s="465" t="str">
        <f>IF(AND('Mapa final'!$L$47="Alta",'Mapa final'!$P$47="Catastrófico"),CONCATENATE("R",'Mapa final'!$A$47),"")</f>
        <v/>
      </c>
      <c r="AK18" s="465"/>
      <c r="AL18" s="465" t="str">
        <f>IF(AND('Mapa final'!$L$53="Alta",'Mapa final'!$P$53="Catastrófico"),CONCATENATE("R",'Mapa final'!$A$53),"")</f>
        <v/>
      </c>
      <c r="AM18" s="466"/>
      <c r="AN18" s="80"/>
      <c r="AO18" s="420"/>
      <c r="AP18" s="421"/>
      <c r="AQ18" s="421"/>
      <c r="AR18" s="421"/>
      <c r="AS18" s="421"/>
      <c r="AT18" s="422"/>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406"/>
      <c r="C19" s="406"/>
      <c r="D19" s="407"/>
      <c r="E19" s="447"/>
      <c r="F19" s="448"/>
      <c r="G19" s="448"/>
      <c r="H19" s="448"/>
      <c r="I19" s="448"/>
      <c r="J19" s="473"/>
      <c r="K19" s="474"/>
      <c r="L19" s="474"/>
      <c r="M19" s="474"/>
      <c r="N19" s="474"/>
      <c r="O19" s="475"/>
      <c r="P19" s="473"/>
      <c r="Q19" s="474"/>
      <c r="R19" s="474"/>
      <c r="S19" s="474"/>
      <c r="T19" s="474"/>
      <c r="U19" s="475"/>
      <c r="V19" s="457"/>
      <c r="W19" s="453"/>
      <c r="X19" s="453"/>
      <c r="Y19" s="453"/>
      <c r="Z19" s="453"/>
      <c r="AA19" s="454"/>
      <c r="AB19" s="457"/>
      <c r="AC19" s="453"/>
      <c r="AD19" s="453"/>
      <c r="AE19" s="453"/>
      <c r="AF19" s="453"/>
      <c r="AG19" s="454"/>
      <c r="AH19" s="464"/>
      <c r="AI19" s="465"/>
      <c r="AJ19" s="465"/>
      <c r="AK19" s="465"/>
      <c r="AL19" s="465"/>
      <c r="AM19" s="466"/>
      <c r="AN19" s="80"/>
      <c r="AO19" s="420"/>
      <c r="AP19" s="421"/>
      <c r="AQ19" s="421"/>
      <c r="AR19" s="421"/>
      <c r="AS19" s="421"/>
      <c r="AT19" s="422"/>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406"/>
      <c r="C20" s="406"/>
      <c r="D20" s="407"/>
      <c r="E20" s="447"/>
      <c r="F20" s="448"/>
      <c r="G20" s="448"/>
      <c r="H20" s="448"/>
      <c r="I20" s="448"/>
      <c r="J20" s="473" t="str">
        <f>IF(AND('Mapa final'!$L$59="Alta",'Mapa final'!$P$59="Leve"),CONCATENATE("R",'Mapa final'!$A$59),"")</f>
        <v/>
      </c>
      <c r="K20" s="474"/>
      <c r="L20" s="474" t="str">
        <f>IF(AND('Mapa final'!$L$65="Alta",'Mapa final'!$P$65="Leve"),CONCATENATE("R",'Mapa final'!$A$65),"")</f>
        <v/>
      </c>
      <c r="M20" s="474"/>
      <c r="N20" s="474" t="str">
        <f>IF(AND('Mapa final'!$L$71="Alta",'Mapa final'!$P$71="Leve"),CONCATENATE("R",'Mapa final'!$A$71),"")</f>
        <v/>
      </c>
      <c r="O20" s="475"/>
      <c r="P20" s="473" t="str">
        <f>IF(AND('Mapa final'!$L$59="Alta",'Mapa final'!$P$59="Menor"),CONCATENATE("R",'Mapa final'!$A$59),"")</f>
        <v/>
      </c>
      <c r="Q20" s="474"/>
      <c r="R20" s="474" t="str">
        <f>IF(AND('Mapa final'!$L$65="Alta",'Mapa final'!$P$65="Menor"),CONCATENATE("R",'Mapa final'!$A$65),"")</f>
        <v/>
      </c>
      <c r="S20" s="474"/>
      <c r="T20" s="474" t="str">
        <f>IF(AND('Mapa final'!$L$71="Alta",'Mapa final'!$P$71="Menor"),CONCATENATE("R",'Mapa final'!$A$71),"")</f>
        <v/>
      </c>
      <c r="U20" s="475"/>
      <c r="V20" s="457" t="str">
        <f>IF(AND('Mapa final'!$L$59="Alta",'Mapa final'!$P$59="Moderado"),CONCATENATE("R",'Mapa final'!$A$59),"")</f>
        <v/>
      </c>
      <c r="W20" s="453"/>
      <c r="X20" s="453" t="str">
        <f>IF(AND('Mapa final'!$L$65="Alta",'Mapa final'!$P$65="Moderado"),CONCATENATE("R",'Mapa final'!$A$65),"")</f>
        <v/>
      </c>
      <c r="Y20" s="453"/>
      <c r="Z20" s="453" t="str">
        <f>IF(AND('Mapa final'!$L$71="Alta",'Mapa final'!$P$71="Moderado"),CONCATENATE("R",'Mapa final'!$A$71),"")</f>
        <v/>
      </c>
      <c r="AA20" s="454"/>
      <c r="AB20" s="457" t="str">
        <f>IF(AND('Mapa final'!$L$59="Alta",'Mapa final'!$P$59="Mayor"),CONCATENATE("R",'Mapa final'!$A$59),"")</f>
        <v/>
      </c>
      <c r="AC20" s="453"/>
      <c r="AD20" s="453" t="str">
        <f>IF(AND('Mapa final'!$L$65="Alta",'Mapa final'!$P$65="Mayor"),CONCATENATE("R",'Mapa final'!$A$65),"")</f>
        <v/>
      </c>
      <c r="AE20" s="453"/>
      <c r="AF20" s="453" t="str">
        <f>IF(AND('Mapa final'!$L$71="Alta",'Mapa final'!$P$71="Mayor"),CONCATENATE("R",'Mapa final'!$A$71),"")</f>
        <v/>
      </c>
      <c r="AG20" s="454"/>
      <c r="AH20" s="464" t="str">
        <f>IF(AND('Mapa final'!$L$59="Alta",'Mapa final'!$P$59="Catastrófico"),CONCATENATE("R",'Mapa final'!$A$59),"")</f>
        <v/>
      </c>
      <c r="AI20" s="465"/>
      <c r="AJ20" s="465" t="str">
        <f>IF(AND('Mapa final'!$L$65="Alta",'Mapa final'!$P$65="Catastrófico"),CONCATENATE("R",'Mapa final'!$A$65),"")</f>
        <v/>
      </c>
      <c r="AK20" s="465"/>
      <c r="AL20" s="465" t="str">
        <f>IF(AND('Mapa final'!$L$71="Alta",'Mapa final'!$P$71="Catastrófico"),CONCATENATE("R",'Mapa final'!$A$71),"")</f>
        <v/>
      </c>
      <c r="AM20" s="466"/>
      <c r="AN20" s="80"/>
      <c r="AO20" s="420"/>
      <c r="AP20" s="421"/>
      <c r="AQ20" s="421"/>
      <c r="AR20" s="421"/>
      <c r="AS20" s="421"/>
      <c r="AT20" s="422"/>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406"/>
      <c r="C21" s="406"/>
      <c r="D21" s="407"/>
      <c r="E21" s="450"/>
      <c r="F21" s="451"/>
      <c r="G21" s="451"/>
      <c r="H21" s="451"/>
      <c r="I21" s="451"/>
      <c r="J21" s="476"/>
      <c r="K21" s="477"/>
      <c r="L21" s="477"/>
      <c r="M21" s="477"/>
      <c r="N21" s="477"/>
      <c r="O21" s="478"/>
      <c r="P21" s="476"/>
      <c r="Q21" s="477"/>
      <c r="R21" s="477"/>
      <c r="S21" s="477"/>
      <c r="T21" s="477"/>
      <c r="U21" s="478"/>
      <c r="V21" s="461"/>
      <c r="W21" s="462"/>
      <c r="X21" s="462"/>
      <c r="Y21" s="462"/>
      <c r="Z21" s="462"/>
      <c r="AA21" s="463"/>
      <c r="AB21" s="461"/>
      <c r="AC21" s="462"/>
      <c r="AD21" s="462"/>
      <c r="AE21" s="462"/>
      <c r="AF21" s="462"/>
      <c r="AG21" s="463"/>
      <c r="AH21" s="467"/>
      <c r="AI21" s="468"/>
      <c r="AJ21" s="468"/>
      <c r="AK21" s="468"/>
      <c r="AL21" s="468"/>
      <c r="AM21" s="469"/>
      <c r="AN21" s="80"/>
      <c r="AO21" s="423"/>
      <c r="AP21" s="424"/>
      <c r="AQ21" s="424"/>
      <c r="AR21" s="424"/>
      <c r="AS21" s="424"/>
      <c r="AT21" s="425"/>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406"/>
      <c r="C22" s="406"/>
      <c r="D22" s="407"/>
      <c r="E22" s="444" t="s">
        <v>137</v>
      </c>
      <c r="F22" s="445"/>
      <c r="G22" s="445"/>
      <c r="H22" s="445"/>
      <c r="I22" s="446"/>
      <c r="J22" s="479" t="str">
        <f>IF(AND('Mapa final'!$L$11="Media",'Mapa final'!$P$11="Leve"),CONCATENATE("R",'Mapa final'!$A$11),"")</f>
        <v/>
      </c>
      <c r="K22" s="480"/>
      <c r="L22" s="480" t="str">
        <f>IF(AND('Mapa final'!$L$15="Media",'Mapa final'!$P$15="Leve"),CONCATENATE("R",'Mapa final'!$A$15),"")</f>
        <v/>
      </c>
      <c r="M22" s="480"/>
      <c r="N22" s="480" t="str">
        <f>IF(AND('Mapa final'!$L$17="Media",'Mapa final'!$P$17="Leve"),CONCATENATE("R",'Mapa final'!$A$17),"")</f>
        <v/>
      </c>
      <c r="O22" s="481"/>
      <c r="P22" s="479" t="str">
        <f>IF(AND('Mapa final'!$L$11="Media",'Mapa final'!$P$11="Menor"),CONCATENATE("R",'Mapa final'!$A$11),"")</f>
        <v/>
      </c>
      <c r="Q22" s="480"/>
      <c r="R22" s="480" t="str">
        <f>IF(AND('Mapa final'!$L$15="Media",'Mapa final'!$P$15="Menor"),CONCATENATE("R",'Mapa final'!$A$15),"")</f>
        <v/>
      </c>
      <c r="S22" s="480"/>
      <c r="T22" s="480" t="str">
        <f>IF(AND('Mapa final'!$L$17="Media",'Mapa final'!$P$17="Menor"),CONCATENATE("R",'Mapa final'!$A$17),"")</f>
        <v/>
      </c>
      <c r="U22" s="481"/>
      <c r="V22" s="479" t="str">
        <f>IF(AND('Mapa final'!$L$11="Media",'Mapa final'!$P$11="Moderado"),CONCATENATE("R",'Mapa final'!$A$11),"")</f>
        <v/>
      </c>
      <c r="W22" s="480"/>
      <c r="X22" s="480" t="str">
        <f>IF(AND('Mapa final'!$L$15="Media",'Mapa final'!$P$15="Moderado"),CONCATENATE("R",'Mapa final'!$A$15),"")</f>
        <v/>
      </c>
      <c r="Y22" s="480"/>
      <c r="Z22" s="480" t="str">
        <f>IF(AND('Mapa final'!$L$17="Media",'Mapa final'!$P$17="Moderado"),CONCATENATE("R",'Mapa final'!$A$17),"")</f>
        <v/>
      </c>
      <c r="AA22" s="481"/>
      <c r="AB22" s="455" t="str">
        <f>IF(AND('Mapa final'!$L$11="Media",'Mapa final'!$P$11="Mayor"),CONCATENATE("R",'Mapa final'!$A$11),"")</f>
        <v/>
      </c>
      <c r="AC22" s="456"/>
      <c r="AD22" s="456" t="str">
        <f>IF(AND('Mapa final'!$L$15="Media",'Mapa final'!$P$15="Mayor"),CONCATENATE("R",'Mapa final'!$A$15),"")</f>
        <v/>
      </c>
      <c r="AE22" s="456"/>
      <c r="AF22" s="456" t="str">
        <f>IF(AND('Mapa final'!$L$17="Media",'Mapa final'!$P$17="Mayor"),CONCATENATE("R",'Mapa final'!$A$17),"")</f>
        <v/>
      </c>
      <c r="AG22" s="458"/>
      <c r="AH22" s="470" t="str">
        <f>IF(AND('Mapa final'!$L$11="Media",'Mapa final'!$P$11="Catastrófico"),CONCATENATE("R",'Mapa final'!$A$11),"")</f>
        <v>R1</v>
      </c>
      <c r="AI22" s="471"/>
      <c r="AJ22" s="471" t="str">
        <f>IF(AND('Mapa final'!$L$15="Media",'Mapa final'!$P$15="Catastrófico"),CONCATENATE("R",'Mapa final'!$A$15),"")</f>
        <v/>
      </c>
      <c r="AK22" s="471"/>
      <c r="AL22" s="471" t="str">
        <f>IF(AND('Mapa final'!$L$17="Media",'Mapa final'!$P$17="Catastrófico"),CONCATENATE("R",'Mapa final'!$A$17),"")</f>
        <v/>
      </c>
      <c r="AM22" s="472"/>
      <c r="AN22" s="80"/>
      <c r="AO22" s="426" t="s">
        <v>138</v>
      </c>
      <c r="AP22" s="427"/>
      <c r="AQ22" s="427"/>
      <c r="AR22" s="427"/>
      <c r="AS22" s="427"/>
      <c r="AT22" s="428"/>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406"/>
      <c r="C23" s="406"/>
      <c r="D23" s="407"/>
      <c r="E23" s="447"/>
      <c r="F23" s="448"/>
      <c r="G23" s="448"/>
      <c r="H23" s="448"/>
      <c r="I23" s="449"/>
      <c r="J23" s="473"/>
      <c r="K23" s="474"/>
      <c r="L23" s="474"/>
      <c r="M23" s="474"/>
      <c r="N23" s="474"/>
      <c r="O23" s="475"/>
      <c r="P23" s="473"/>
      <c r="Q23" s="474"/>
      <c r="R23" s="474"/>
      <c r="S23" s="474"/>
      <c r="T23" s="474"/>
      <c r="U23" s="475"/>
      <c r="V23" s="473"/>
      <c r="W23" s="474"/>
      <c r="X23" s="474"/>
      <c r="Y23" s="474"/>
      <c r="Z23" s="474"/>
      <c r="AA23" s="475"/>
      <c r="AB23" s="457"/>
      <c r="AC23" s="453"/>
      <c r="AD23" s="453"/>
      <c r="AE23" s="453"/>
      <c r="AF23" s="453"/>
      <c r="AG23" s="454"/>
      <c r="AH23" s="464"/>
      <c r="AI23" s="465"/>
      <c r="AJ23" s="465"/>
      <c r="AK23" s="465"/>
      <c r="AL23" s="465"/>
      <c r="AM23" s="466"/>
      <c r="AN23" s="80"/>
      <c r="AO23" s="429"/>
      <c r="AP23" s="430"/>
      <c r="AQ23" s="430"/>
      <c r="AR23" s="430"/>
      <c r="AS23" s="430"/>
      <c r="AT23" s="431"/>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406"/>
      <c r="C24" s="406"/>
      <c r="D24" s="407"/>
      <c r="E24" s="447"/>
      <c r="F24" s="448"/>
      <c r="G24" s="448"/>
      <c r="H24" s="448"/>
      <c r="I24" s="449"/>
      <c r="J24" s="473" t="str">
        <f>IF(AND('Mapa final'!$L$23="Media",'Mapa final'!$P$23="Leve"),CONCATENATE("R",'Mapa final'!$A$23),"")</f>
        <v/>
      </c>
      <c r="K24" s="474"/>
      <c r="L24" s="474" t="str">
        <f>IF(AND('Mapa final'!$L$29="Media",'Mapa final'!$P$29="Leve"),CONCATENATE("R",'Mapa final'!$A$29),"")</f>
        <v/>
      </c>
      <c r="M24" s="474"/>
      <c r="N24" s="474" t="str">
        <f>IF(AND('Mapa final'!$L$35="Media",'Mapa final'!$P$35="Leve"),CONCATENATE("R",'Mapa final'!$A$35),"")</f>
        <v/>
      </c>
      <c r="O24" s="475"/>
      <c r="P24" s="473" t="str">
        <f>IF(AND('Mapa final'!$L$23="Media",'Mapa final'!$P$23="Menor"),CONCATENATE("R",'Mapa final'!$A$23),"")</f>
        <v/>
      </c>
      <c r="Q24" s="474"/>
      <c r="R24" s="474" t="str">
        <f>IF(AND('Mapa final'!$L$29="Media",'Mapa final'!$P$29="Menor"),CONCATENATE("R",'Mapa final'!$A$29),"")</f>
        <v/>
      </c>
      <c r="S24" s="474"/>
      <c r="T24" s="474" t="str">
        <f>IF(AND('Mapa final'!$L$35="Media",'Mapa final'!$P$35="Menor"),CONCATENATE("R",'Mapa final'!$A$35),"")</f>
        <v/>
      </c>
      <c r="U24" s="475"/>
      <c r="V24" s="473" t="str">
        <f>IF(AND('Mapa final'!$L$23="Media",'Mapa final'!$P$23="Moderado"),CONCATENATE("R",'Mapa final'!$A$23),"")</f>
        <v/>
      </c>
      <c r="W24" s="474"/>
      <c r="X24" s="474" t="str">
        <f>IF(AND('Mapa final'!$L$29="Media",'Mapa final'!$P$29="Moderado"),CONCATENATE("R",'Mapa final'!$A$29),"")</f>
        <v/>
      </c>
      <c r="Y24" s="474"/>
      <c r="Z24" s="474" t="str">
        <f>IF(AND('Mapa final'!$L$35="Media",'Mapa final'!$P$35="Moderado"),CONCATENATE("R",'Mapa final'!$A$35),"")</f>
        <v/>
      </c>
      <c r="AA24" s="475"/>
      <c r="AB24" s="457" t="str">
        <f>IF(AND('Mapa final'!$L$23="Media",'Mapa final'!$P$23="Mayor"),CONCATENATE("R",'Mapa final'!$A$23),"")</f>
        <v/>
      </c>
      <c r="AC24" s="453"/>
      <c r="AD24" s="453" t="str">
        <f>IF(AND('Mapa final'!$L$29="Media",'Mapa final'!$P$29="Mayor"),CONCATENATE("R",'Mapa final'!$A$29),"")</f>
        <v/>
      </c>
      <c r="AE24" s="453"/>
      <c r="AF24" s="453" t="str">
        <f>IF(AND('Mapa final'!$L$35="Media",'Mapa final'!$P$35="Mayor"),CONCATENATE("R",'Mapa final'!$A$35),"")</f>
        <v/>
      </c>
      <c r="AG24" s="454"/>
      <c r="AH24" s="464" t="str">
        <f>IF(AND('Mapa final'!$L$23="Media",'Mapa final'!$P$23="Catastrófico"),CONCATENATE("R",'Mapa final'!$A$23),"")</f>
        <v/>
      </c>
      <c r="AI24" s="465"/>
      <c r="AJ24" s="465" t="str">
        <f>IF(AND('Mapa final'!$L$29="Media",'Mapa final'!$P$29="Catastrófico"),CONCATENATE("R",'Mapa final'!$A$29),"")</f>
        <v/>
      </c>
      <c r="AK24" s="465"/>
      <c r="AL24" s="465" t="str">
        <f>IF(AND('Mapa final'!$L$35="Media",'Mapa final'!$P$35="Catastrófico"),CONCATENATE("R",'Mapa final'!$A$35),"")</f>
        <v/>
      </c>
      <c r="AM24" s="466"/>
      <c r="AN24" s="80"/>
      <c r="AO24" s="429"/>
      <c r="AP24" s="430"/>
      <c r="AQ24" s="430"/>
      <c r="AR24" s="430"/>
      <c r="AS24" s="430"/>
      <c r="AT24" s="431"/>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406"/>
      <c r="C25" s="406"/>
      <c r="D25" s="407"/>
      <c r="E25" s="447"/>
      <c r="F25" s="448"/>
      <c r="G25" s="448"/>
      <c r="H25" s="448"/>
      <c r="I25" s="449"/>
      <c r="J25" s="473"/>
      <c r="K25" s="474"/>
      <c r="L25" s="474"/>
      <c r="M25" s="474"/>
      <c r="N25" s="474"/>
      <c r="O25" s="475"/>
      <c r="P25" s="473"/>
      <c r="Q25" s="474"/>
      <c r="R25" s="474"/>
      <c r="S25" s="474"/>
      <c r="T25" s="474"/>
      <c r="U25" s="475"/>
      <c r="V25" s="473"/>
      <c r="W25" s="474"/>
      <c r="X25" s="474"/>
      <c r="Y25" s="474"/>
      <c r="Z25" s="474"/>
      <c r="AA25" s="475"/>
      <c r="AB25" s="457"/>
      <c r="AC25" s="453"/>
      <c r="AD25" s="453"/>
      <c r="AE25" s="453"/>
      <c r="AF25" s="453"/>
      <c r="AG25" s="454"/>
      <c r="AH25" s="464"/>
      <c r="AI25" s="465"/>
      <c r="AJ25" s="465"/>
      <c r="AK25" s="465"/>
      <c r="AL25" s="465"/>
      <c r="AM25" s="466"/>
      <c r="AN25" s="80"/>
      <c r="AO25" s="429"/>
      <c r="AP25" s="430"/>
      <c r="AQ25" s="430"/>
      <c r="AR25" s="430"/>
      <c r="AS25" s="430"/>
      <c r="AT25" s="431"/>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406"/>
      <c r="C26" s="406"/>
      <c r="D26" s="407"/>
      <c r="E26" s="447"/>
      <c r="F26" s="448"/>
      <c r="G26" s="448"/>
      <c r="H26" s="448"/>
      <c r="I26" s="449"/>
      <c r="J26" s="473" t="str">
        <f>IF(AND('Mapa final'!$L$41="Media",'Mapa final'!$P$41="Leve"),CONCATENATE("R",'Mapa final'!$A$41),"")</f>
        <v/>
      </c>
      <c r="K26" s="474"/>
      <c r="L26" s="474" t="str">
        <f>IF(AND('Mapa final'!$L$47="Media",'Mapa final'!$P$47="Leve"),CONCATENATE("R",'Mapa final'!$A$47),"")</f>
        <v/>
      </c>
      <c r="M26" s="474"/>
      <c r="N26" s="474" t="str">
        <f>IF(AND('Mapa final'!$L$53="Media",'Mapa final'!$P$53="Leve"),CONCATENATE("R",'Mapa final'!$A$53),"")</f>
        <v/>
      </c>
      <c r="O26" s="475"/>
      <c r="P26" s="473" t="str">
        <f>IF(AND('Mapa final'!$L$41="Media",'Mapa final'!$P$41="Menor"),CONCATENATE("R",'Mapa final'!$A$41),"")</f>
        <v/>
      </c>
      <c r="Q26" s="474"/>
      <c r="R26" s="474" t="str">
        <f>IF(AND('Mapa final'!$L$47="Media",'Mapa final'!$P$47="Menor"),CONCATENATE("R",'Mapa final'!$A$47),"")</f>
        <v/>
      </c>
      <c r="S26" s="474"/>
      <c r="T26" s="474" t="str">
        <f>IF(AND('Mapa final'!$L$53="Media",'Mapa final'!$P$53="Menor"),CONCATENATE("R",'Mapa final'!$A$53),"")</f>
        <v/>
      </c>
      <c r="U26" s="475"/>
      <c r="V26" s="473" t="str">
        <f>IF(AND('Mapa final'!$L$41="Media",'Mapa final'!$P$41="Moderado"),CONCATENATE("R",'Mapa final'!$A$41),"")</f>
        <v/>
      </c>
      <c r="W26" s="474"/>
      <c r="X26" s="474" t="str">
        <f>IF(AND('Mapa final'!$L$47="Media",'Mapa final'!$P$47="Moderado"),CONCATENATE("R",'Mapa final'!$A$47),"")</f>
        <v/>
      </c>
      <c r="Y26" s="474"/>
      <c r="Z26" s="474" t="str">
        <f>IF(AND('Mapa final'!$L$53="Media",'Mapa final'!$P$53="Moderado"),CONCATENATE("R",'Mapa final'!$A$53),"")</f>
        <v/>
      </c>
      <c r="AA26" s="475"/>
      <c r="AB26" s="457" t="str">
        <f>IF(AND('Mapa final'!$L$41="Media",'Mapa final'!$P$41="Mayor"),CONCATENATE("R",'Mapa final'!$A$41),"")</f>
        <v/>
      </c>
      <c r="AC26" s="453"/>
      <c r="AD26" s="453" t="str">
        <f>IF(AND('Mapa final'!$L$47="Media",'Mapa final'!$P$47="Mayor"),CONCATENATE("R",'Mapa final'!$A$47),"")</f>
        <v/>
      </c>
      <c r="AE26" s="453"/>
      <c r="AF26" s="453" t="str">
        <f>IF(AND('Mapa final'!$L$53="Media",'Mapa final'!$P$53="Mayor"),CONCATENATE("R",'Mapa final'!$A$53),"")</f>
        <v/>
      </c>
      <c r="AG26" s="454"/>
      <c r="AH26" s="464" t="str">
        <f>IF(AND('Mapa final'!$L$41="Media",'Mapa final'!$P$41="Catastrófico"),CONCATENATE("R",'Mapa final'!$A$41),"")</f>
        <v/>
      </c>
      <c r="AI26" s="465"/>
      <c r="AJ26" s="465" t="str">
        <f>IF(AND('Mapa final'!$L$47="Media",'Mapa final'!$P$47="Catastrófico"),CONCATENATE("R",'Mapa final'!$A$47),"")</f>
        <v/>
      </c>
      <c r="AK26" s="465"/>
      <c r="AL26" s="465" t="str">
        <f>IF(AND('Mapa final'!$L$53="Media",'Mapa final'!$P$53="Catastrófico"),CONCATENATE("R",'Mapa final'!$A$53),"")</f>
        <v/>
      </c>
      <c r="AM26" s="466"/>
      <c r="AN26" s="80"/>
      <c r="AO26" s="429"/>
      <c r="AP26" s="430"/>
      <c r="AQ26" s="430"/>
      <c r="AR26" s="430"/>
      <c r="AS26" s="430"/>
      <c r="AT26" s="431"/>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406"/>
      <c r="C27" s="406"/>
      <c r="D27" s="407"/>
      <c r="E27" s="447"/>
      <c r="F27" s="448"/>
      <c r="G27" s="448"/>
      <c r="H27" s="448"/>
      <c r="I27" s="449"/>
      <c r="J27" s="473"/>
      <c r="K27" s="474"/>
      <c r="L27" s="474"/>
      <c r="M27" s="474"/>
      <c r="N27" s="474"/>
      <c r="O27" s="475"/>
      <c r="P27" s="473"/>
      <c r="Q27" s="474"/>
      <c r="R27" s="474"/>
      <c r="S27" s="474"/>
      <c r="T27" s="474"/>
      <c r="U27" s="475"/>
      <c r="V27" s="473"/>
      <c r="W27" s="474"/>
      <c r="X27" s="474"/>
      <c r="Y27" s="474"/>
      <c r="Z27" s="474"/>
      <c r="AA27" s="475"/>
      <c r="AB27" s="457"/>
      <c r="AC27" s="453"/>
      <c r="AD27" s="453"/>
      <c r="AE27" s="453"/>
      <c r="AF27" s="453"/>
      <c r="AG27" s="454"/>
      <c r="AH27" s="464"/>
      <c r="AI27" s="465"/>
      <c r="AJ27" s="465"/>
      <c r="AK27" s="465"/>
      <c r="AL27" s="465"/>
      <c r="AM27" s="466"/>
      <c r="AN27" s="80"/>
      <c r="AO27" s="429"/>
      <c r="AP27" s="430"/>
      <c r="AQ27" s="430"/>
      <c r="AR27" s="430"/>
      <c r="AS27" s="430"/>
      <c r="AT27" s="431"/>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406"/>
      <c r="C28" s="406"/>
      <c r="D28" s="407"/>
      <c r="E28" s="447"/>
      <c r="F28" s="448"/>
      <c r="G28" s="448"/>
      <c r="H28" s="448"/>
      <c r="I28" s="449"/>
      <c r="J28" s="473" t="str">
        <f>IF(AND('Mapa final'!$L$59="Media",'Mapa final'!$P$59="Leve"),CONCATENATE("R",'Mapa final'!$A$59),"")</f>
        <v/>
      </c>
      <c r="K28" s="474"/>
      <c r="L28" s="474" t="str">
        <f>IF(AND('Mapa final'!$L$65="Media",'Mapa final'!$P$65="Leve"),CONCATENATE("R",'Mapa final'!$A$65),"")</f>
        <v/>
      </c>
      <c r="M28" s="474"/>
      <c r="N28" s="474" t="str">
        <f>IF(AND('Mapa final'!$L$71="Media",'Mapa final'!$P$71="Leve"),CONCATENATE("R",'Mapa final'!$A$71),"")</f>
        <v/>
      </c>
      <c r="O28" s="475"/>
      <c r="P28" s="473" t="str">
        <f>IF(AND('Mapa final'!$L$59="Media",'Mapa final'!$P$59="Menor"),CONCATENATE("R",'Mapa final'!$A$59),"")</f>
        <v/>
      </c>
      <c r="Q28" s="474"/>
      <c r="R28" s="474" t="str">
        <f>IF(AND('Mapa final'!$L$65="Media",'Mapa final'!$P$65="Menor"),CONCATENATE("R",'Mapa final'!$A$65),"")</f>
        <v/>
      </c>
      <c r="S28" s="474"/>
      <c r="T28" s="474" t="str">
        <f>IF(AND('Mapa final'!$L$71="Media",'Mapa final'!$P$71="Menor"),CONCATENATE("R",'Mapa final'!$A$71),"")</f>
        <v/>
      </c>
      <c r="U28" s="475"/>
      <c r="V28" s="473" t="str">
        <f>IF(AND('Mapa final'!$L$59="Media",'Mapa final'!$P$59="Moderado"),CONCATENATE("R",'Mapa final'!$A$59),"")</f>
        <v/>
      </c>
      <c r="W28" s="474"/>
      <c r="X28" s="474" t="str">
        <f>IF(AND('Mapa final'!$L$65="Media",'Mapa final'!$P$65="Moderado"),CONCATENATE("R",'Mapa final'!$A$65),"")</f>
        <v/>
      </c>
      <c r="Y28" s="474"/>
      <c r="Z28" s="474" t="str">
        <f>IF(AND('Mapa final'!$L$71="Media",'Mapa final'!$P$71="Moderado"),CONCATENATE("R",'Mapa final'!$A$71),"")</f>
        <v/>
      </c>
      <c r="AA28" s="475"/>
      <c r="AB28" s="457" t="str">
        <f>IF(AND('Mapa final'!$L$59="Media",'Mapa final'!$P$59="Mayor"),CONCATENATE("R",'Mapa final'!$A$59),"")</f>
        <v/>
      </c>
      <c r="AC28" s="453"/>
      <c r="AD28" s="453" t="str">
        <f>IF(AND('Mapa final'!$L$65="Media",'Mapa final'!$P$65="Mayor"),CONCATENATE("R",'Mapa final'!$A$65),"")</f>
        <v/>
      </c>
      <c r="AE28" s="453"/>
      <c r="AF28" s="453" t="str">
        <f>IF(AND('Mapa final'!$L$71="Media",'Mapa final'!$P$71="Mayor"),CONCATENATE("R",'Mapa final'!$A$71),"")</f>
        <v/>
      </c>
      <c r="AG28" s="454"/>
      <c r="AH28" s="464" t="str">
        <f>IF(AND('Mapa final'!$L$59="Media",'Mapa final'!$P$59="Catastrófico"),CONCATENATE("R",'Mapa final'!$A$59),"")</f>
        <v/>
      </c>
      <c r="AI28" s="465"/>
      <c r="AJ28" s="465" t="str">
        <f>IF(AND('Mapa final'!$L$65="Media",'Mapa final'!$P$65="Catastrófico"),CONCATENATE("R",'Mapa final'!$A$65),"")</f>
        <v/>
      </c>
      <c r="AK28" s="465"/>
      <c r="AL28" s="465" t="str">
        <f>IF(AND('Mapa final'!$L$71="Media",'Mapa final'!$P$71="Catastrófico"),CONCATENATE("R",'Mapa final'!$A$71),"")</f>
        <v/>
      </c>
      <c r="AM28" s="466"/>
      <c r="AN28" s="80"/>
      <c r="AO28" s="429"/>
      <c r="AP28" s="430"/>
      <c r="AQ28" s="430"/>
      <c r="AR28" s="430"/>
      <c r="AS28" s="430"/>
      <c r="AT28" s="431"/>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406"/>
      <c r="C29" s="406"/>
      <c r="D29" s="407"/>
      <c r="E29" s="450"/>
      <c r="F29" s="451"/>
      <c r="G29" s="451"/>
      <c r="H29" s="451"/>
      <c r="I29" s="452"/>
      <c r="J29" s="473"/>
      <c r="K29" s="474"/>
      <c r="L29" s="474"/>
      <c r="M29" s="474"/>
      <c r="N29" s="474"/>
      <c r="O29" s="475"/>
      <c r="P29" s="476"/>
      <c r="Q29" s="477"/>
      <c r="R29" s="477"/>
      <c r="S29" s="477"/>
      <c r="T29" s="477"/>
      <c r="U29" s="478"/>
      <c r="V29" s="476"/>
      <c r="W29" s="477"/>
      <c r="X29" s="477"/>
      <c r="Y29" s="477"/>
      <c r="Z29" s="477"/>
      <c r="AA29" s="478"/>
      <c r="AB29" s="461"/>
      <c r="AC29" s="462"/>
      <c r="AD29" s="462"/>
      <c r="AE29" s="462"/>
      <c r="AF29" s="462"/>
      <c r="AG29" s="463"/>
      <c r="AH29" s="467"/>
      <c r="AI29" s="468"/>
      <c r="AJ29" s="468"/>
      <c r="AK29" s="468"/>
      <c r="AL29" s="468"/>
      <c r="AM29" s="469"/>
      <c r="AN29" s="80"/>
      <c r="AO29" s="432"/>
      <c r="AP29" s="433"/>
      <c r="AQ29" s="433"/>
      <c r="AR29" s="433"/>
      <c r="AS29" s="433"/>
      <c r="AT29" s="434"/>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406"/>
      <c r="C30" s="406"/>
      <c r="D30" s="407"/>
      <c r="E30" s="444" t="s">
        <v>139</v>
      </c>
      <c r="F30" s="445"/>
      <c r="G30" s="445"/>
      <c r="H30" s="445"/>
      <c r="I30" s="445"/>
      <c r="J30" s="488" t="str">
        <f>IF(AND('Mapa final'!$L$11="Baja",'Mapa final'!$P$11="Leve"),CONCATENATE("R",'Mapa final'!$A$11),"")</f>
        <v/>
      </c>
      <c r="K30" s="489"/>
      <c r="L30" s="489" t="str">
        <f>IF(AND('Mapa final'!$L$15="Baja",'Mapa final'!$P$15="Leve"),CONCATENATE("R",'Mapa final'!$A$15),"")</f>
        <v/>
      </c>
      <c r="M30" s="489"/>
      <c r="N30" s="489" t="str">
        <f>IF(AND('Mapa final'!$L$17="Baja",'Mapa final'!$P$17="Leve"),CONCATENATE("R",'Mapa final'!$A$17),"")</f>
        <v/>
      </c>
      <c r="O30" s="490"/>
      <c r="P30" s="480" t="str">
        <f>IF(AND('Mapa final'!$L$11="Baja",'Mapa final'!$P$11="Menor"),CONCATENATE("R",'Mapa final'!$A$11),"")</f>
        <v/>
      </c>
      <c r="Q30" s="480"/>
      <c r="R30" s="480" t="str">
        <f>IF(AND('Mapa final'!$L$15="Baja",'Mapa final'!$P$15="Menor"),CONCATENATE("R",'Mapa final'!$A$15),"")</f>
        <v/>
      </c>
      <c r="S30" s="480"/>
      <c r="T30" s="480" t="str">
        <f>IF(AND('Mapa final'!$L$17="Baja",'Mapa final'!$P$17="Menor"),CONCATENATE("R",'Mapa final'!$A$17),"")</f>
        <v/>
      </c>
      <c r="U30" s="481"/>
      <c r="V30" s="479" t="str">
        <f>IF(AND('Mapa final'!$L$11="Baja",'Mapa final'!$P$11="Moderado"),CONCATENATE("R",'Mapa final'!$A$11),"")</f>
        <v/>
      </c>
      <c r="W30" s="480"/>
      <c r="X30" s="480" t="str">
        <f>IF(AND('Mapa final'!$L$15="Baja",'Mapa final'!$P$15="Moderado"),CONCATENATE("R",'Mapa final'!$A$15),"")</f>
        <v/>
      </c>
      <c r="Y30" s="480"/>
      <c r="Z30" s="480" t="str">
        <f>IF(AND('Mapa final'!$L$17="Baja",'Mapa final'!$P$17="Moderado"),CONCATENATE("R",'Mapa final'!$A$17),"")</f>
        <v/>
      </c>
      <c r="AA30" s="481"/>
      <c r="AB30" s="455" t="str">
        <f>IF(AND('Mapa final'!$L$11="Baja",'Mapa final'!$P$11="Mayor"),CONCATENATE("R",'Mapa final'!$A$11),"")</f>
        <v/>
      </c>
      <c r="AC30" s="456"/>
      <c r="AD30" s="456" t="str">
        <f>IF(AND('Mapa final'!$L$15="Baja",'Mapa final'!$P$15="Mayor"),CONCATENATE("R",'Mapa final'!$A$15),"")</f>
        <v/>
      </c>
      <c r="AE30" s="456"/>
      <c r="AF30" s="456" t="str">
        <f>IF(AND('Mapa final'!$L$17="Baja",'Mapa final'!$P$17="Mayor"),CONCATENATE("R",'Mapa final'!$A$17),"")</f>
        <v/>
      </c>
      <c r="AG30" s="458"/>
      <c r="AH30" s="470" t="str">
        <f>IF(AND('Mapa final'!$L$11="Baja",'Mapa final'!$P$11="Catastrófico"),CONCATENATE("R",'Mapa final'!$A$11),"")</f>
        <v/>
      </c>
      <c r="AI30" s="471"/>
      <c r="AJ30" s="471" t="str">
        <f>IF(AND('Mapa final'!$L$15="Baja",'Mapa final'!$P$15="Catastrófico"),CONCATENATE("R",'Mapa final'!$A$15),"")</f>
        <v>R2</v>
      </c>
      <c r="AK30" s="471"/>
      <c r="AL30" s="471" t="str">
        <f>IF(AND('Mapa final'!$L$17="Baja",'Mapa final'!$P$17="Catastrófico"),CONCATENATE("R",'Mapa final'!$A$17),"")</f>
        <v/>
      </c>
      <c r="AM30" s="472"/>
      <c r="AN30" s="80"/>
      <c r="AO30" s="435" t="s">
        <v>140</v>
      </c>
      <c r="AP30" s="436"/>
      <c r="AQ30" s="436"/>
      <c r="AR30" s="436"/>
      <c r="AS30" s="436"/>
      <c r="AT30" s="437"/>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406"/>
      <c r="C31" s="406"/>
      <c r="D31" s="407"/>
      <c r="E31" s="447"/>
      <c r="F31" s="448"/>
      <c r="G31" s="448"/>
      <c r="H31" s="448"/>
      <c r="I31" s="448"/>
      <c r="J31" s="484"/>
      <c r="K31" s="482"/>
      <c r="L31" s="482"/>
      <c r="M31" s="482"/>
      <c r="N31" s="482"/>
      <c r="O31" s="483"/>
      <c r="P31" s="474"/>
      <c r="Q31" s="474"/>
      <c r="R31" s="474"/>
      <c r="S31" s="474"/>
      <c r="T31" s="474"/>
      <c r="U31" s="475"/>
      <c r="V31" s="473"/>
      <c r="W31" s="474"/>
      <c r="X31" s="474"/>
      <c r="Y31" s="474"/>
      <c r="Z31" s="474"/>
      <c r="AA31" s="475"/>
      <c r="AB31" s="457"/>
      <c r="AC31" s="453"/>
      <c r="AD31" s="453"/>
      <c r="AE31" s="453"/>
      <c r="AF31" s="453"/>
      <c r="AG31" s="454"/>
      <c r="AH31" s="464"/>
      <c r="AI31" s="465"/>
      <c r="AJ31" s="465"/>
      <c r="AK31" s="465"/>
      <c r="AL31" s="465"/>
      <c r="AM31" s="466"/>
      <c r="AN31" s="80"/>
      <c r="AO31" s="438"/>
      <c r="AP31" s="439"/>
      <c r="AQ31" s="439"/>
      <c r="AR31" s="439"/>
      <c r="AS31" s="439"/>
      <c r="AT31" s="44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406"/>
      <c r="C32" s="406"/>
      <c r="D32" s="407"/>
      <c r="E32" s="447"/>
      <c r="F32" s="448"/>
      <c r="G32" s="448"/>
      <c r="H32" s="448"/>
      <c r="I32" s="448"/>
      <c r="J32" s="484" t="str">
        <f>IF(AND('Mapa final'!$L$23="Baja",'Mapa final'!$P$23="Leve"),CONCATENATE("R",'Mapa final'!$A$23),"")</f>
        <v/>
      </c>
      <c r="K32" s="482"/>
      <c r="L32" s="482" t="str">
        <f>IF(AND('Mapa final'!$L$29="Baja",'Mapa final'!$P$29="Leve"),CONCATENATE("R",'Mapa final'!$A$29),"")</f>
        <v/>
      </c>
      <c r="M32" s="482"/>
      <c r="N32" s="482" t="str">
        <f>IF(AND('Mapa final'!$L$35="Baja",'Mapa final'!$P$35="Leve"),CONCATENATE("R",'Mapa final'!$A$35),"")</f>
        <v/>
      </c>
      <c r="O32" s="483"/>
      <c r="P32" s="474" t="str">
        <f>IF(AND('Mapa final'!$L$23="Baja",'Mapa final'!$P$23="Menor"),CONCATENATE("R",'Mapa final'!$A$23),"")</f>
        <v/>
      </c>
      <c r="Q32" s="474"/>
      <c r="R32" s="474" t="str">
        <f>IF(AND('Mapa final'!$L$29="Baja",'Mapa final'!$P$29="Menor"),CONCATENATE("R",'Mapa final'!$A$29),"")</f>
        <v/>
      </c>
      <c r="S32" s="474"/>
      <c r="T32" s="474" t="str">
        <f>IF(AND('Mapa final'!$L$35="Baja",'Mapa final'!$P$35="Menor"),CONCATENATE("R",'Mapa final'!$A$35),"")</f>
        <v/>
      </c>
      <c r="U32" s="475"/>
      <c r="V32" s="473" t="str">
        <f>IF(AND('Mapa final'!$L$23="Baja",'Mapa final'!$P$23="Moderado"),CONCATENATE("R",'Mapa final'!$A$23),"")</f>
        <v/>
      </c>
      <c r="W32" s="474"/>
      <c r="X32" s="474" t="str">
        <f>IF(AND('Mapa final'!$L$29="Baja",'Mapa final'!$P$29="Moderado"),CONCATENATE("R",'Mapa final'!$A$29),"")</f>
        <v/>
      </c>
      <c r="Y32" s="474"/>
      <c r="Z32" s="474" t="str">
        <f>IF(AND('Mapa final'!$L$35="Baja",'Mapa final'!$P$35="Moderado"),CONCATENATE("R",'Mapa final'!$A$35),"")</f>
        <v/>
      </c>
      <c r="AA32" s="475"/>
      <c r="AB32" s="457" t="str">
        <f>IF(AND('Mapa final'!$L$23="Baja",'Mapa final'!$P$23="Mayor"),CONCATENATE("R",'Mapa final'!$A$23),"")</f>
        <v/>
      </c>
      <c r="AC32" s="453"/>
      <c r="AD32" s="453" t="str">
        <f>IF(AND('Mapa final'!$L$29="Baja",'Mapa final'!$P$29="Mayor"),CONCATENATE("R",'Mapa final'!$A$29),"")</f>
        <v/>
      </c>
      <c r="AE32" s="453"/>
      <c r="AF32" s="453" t="str">
        <f>IF(AND('Mapa final'!$L$35="Baja",'Mapa final'!$P$35="Mayor"),CONCATENATE("R",'Mapa final'!$A$35),"")</f>
        <v/>
      </c>
      <c r="AG32" s="454"/>
      <c r="AH32" s="464" t="str">
        <f>IF(AND('Mapa final'!$L$23="Baja",'Mapa final'!$P$23="Catastrófico"),CONCATENATE("R",'Mapa final'!$A$23),"")</f>
        <v/>
      </c>
      <c r="AI32" s="465"/>
      <c r="AJ32" s="465" t="str">
        <f>IF(AND('Mapa final'!$L$29="Baja",'Mapa final'!$P$29="Catastrófico"),CONCATENATE("R",'Mapa final'!$A$29),"")</f>
        <v/>
      </c>
      <c r="AK32" s="465"/>
      <c r="AL32" s="465" t="str">
        <f>IF(AND('Mapa final'!$L$35="Baja",'Mapa final'!$P$35="Catastrófico"),CONCATENATE("R",'Mapa final'!$A$35),"")</f>
        <v/>
      </c>
      <c r="AM32" s="466"/>
      <c r="AN32" s="80"/>
      <c r="AO32" s="438"/>
      <c r="AP32" s="439"/>
      <c r="AQ32" s="439"/>
      <c r="AR32" s="439"/>
      <c r="AS32" s="439"/>
      <c r="AT32" s="44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406"/>
      <c r="C33" s="406"/>
      <c r="D33" s="407"/>
      <c r="E33" s="447"/>
      <c r="F33" s="448"/>
      <c r="G33" s="448"/>
      <c r="H33" s="448"/>
      <c r="I33" s="448"/>
      <c r="J33" s="484"/>
      <c r="K33" s="482"/>
      <c r="L33" s="482"/>
      <c r="M33" s="482"/>
      <c r="N33" s="482"/>
      <c r="O33" s="483"/>
      <c r="P33" s="474"/>
      <c r="Q33" s="474"/>
      <c r="R33" s="474"/>
      <c r="S33" s="474"/>
      <c r="T33" s="474"/>
      <c r="U33" s="475"/>
      <c r="V33" s="473"/>
      <c r="W33" s="474"/>
      <c r="X33" s="474"/>
      <c r="Y33" s="474"/>
      <c r="Z33" s="474"/>
      <c r="AA33" s="475"/>
      <c r="AB33" s="457"/>
      <c r="AC33" s="453"/>
      <c r="AD33" s="453"/>
      <c r="AE33" s="453"/>
      <c r="AF33" s="453"/>
      <c r="AG33" s="454"/>
      <c r="AH33" s="464"/>
      <c r="AI33" s="465"/>
      <c r="AJ33" s="465"/>
      <c r="AK33" s="465"/>
      <c r="AL33" s="465"/>
      <c r="AM33" s="466"/>
      <c r="AN33" s="80"/>
      <c r="AO33" s="438"/>
      <c r="AP33" s="439"/>
      <c r="AQ33" s="439"/>
      <c r="AR33" s="439"/>
      <c r="AS33" s="439"/>
      <c r="AT33" s="44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406"/>
      <c r="C34" s="406"/>
      <c r="D34" s="407"/>
      <c r="E34" s="447"/>
      <c r="F34" s="448"/>
      <c r="G34" s="448"/>
      <c r="H34" s="448"/>
      <c r="I34" s="448"/>
      <c r="J34" s="484" t="str">
        <f>IF(AND('Mapa final'!$L$41="Baja",'Mapa final'!$P$41="Leve"),CONCATENATE("R",'Mapa final'!$A$41),"")</f>
        <v/>
      </c>
      <c r="K34" s="482"/>
      <c r="L34" s="482" t="str">
        <f>IF(AND('Mapa final'!$L$47="Baja",'Mapa final'!$P$47="Leve"),CONCATENATE("R",'Mapa final'!$A$47),"")</f>
        <v/>
      </c>
      <c r="M34" s="482"/>
      <c r="N34" s="482" t="str">
        <f>IF(AND('Mapa final'!$L$53="Baja",'Mapa final'!$P$53="Leve"),CONCATENATE("R",'Mapa final'!$A$53),"")</f>
        <v/>
      </c>
      <c r="O34" s="483"/>
      <c r="P34" s="474" t="str">
        <f>IF(AND('Mapa final'!$L$41="Baja",'Mapa final'!$P$41="Menor"),CONCATENATE("R",'Mapa final'!$A$41),"")</f>
        <v/>
      </c>
      <c r="Q34" s="474"/>
      <c r="R34" s="474" t="str">
        <f>IF(AND('Mapa final'!$L$47="Baja",'Mapa final'!$P$47="Menor"),CONCATENATE("R",'Mapa final'!$A$47),"")</f>
        <v/>
      </c>
      <c r="S34" s="474"/>
      <c r="T34" s="474" t="str">
        <f>IF(AND('Mapa final'!$L$53="Baja",'Mapa final'!$P$53="Menor"),CONCATENATE("R",'Mapa final'!$A$53),"")</f>
        <v/>
      </c>
      <c r="U34" s="475"/>
      <c r="V34" s="473" t="str">
        <f>IF(AND('Mapa final'!$L$41="Baja",'Mapa final'!$P$41="Moderado"),CONCATENATE("R",'Mapa final'!$A$41),"")</f>
        <v/>
      </c>
      <c r="W34" s="474"/>
      <c r="X34" s="474" t="str">
        <f>IF(AND('Mapa final'!$L$47="Baja",'Mapa final'!$P$47="Moderado"),CONCATENATE("R",'Mapa final'!$A$47),"")</f>
        <v/>
      </c>
      <c r="Y34" s="474"/>
      <c r="Z34" s="474" t="str">
        <f>IF(AND('Mapa final'!$L$53="Baja",'Mapa final'!$P$53="Moderado"),CONCATENATE("R",'Mapa final'!$A$53),"")</f>
        <v/>
      </c>
      <c r="AA34" s="475"/>
      <c r="AB34" s="457" t="str">
        <f>IF(AND('Mapa final'!$L$41="Baja",'Mapa final'!$P$41="Mayor"),CONCATENATE("R",'Mapa final'!$A$41),"")</f>
        <v/>
      </c>
      <c r="AC34" s="453"/>
      <c r="AD34" s="453" t="str">
        <f>IF(AND('Mapa final'!$L$47="Baja",'Mapa final'!$P$47="Mayor"),CONCATENATE("R",'Mapa final'!$A$47),"")</f>
        <v/>
      </c>
      <c r="AE34" s="453"/>
      <c r="AF34" s="453" t="str">
        <f>IF(AND('Mapa final'!$L$53="Baja",'Mapa final'!$P$53="Mayor"),CONCATENATE("R",'Mapa final'!$A$53),"")</f>
        <v/>
      </c>
      <c r="AG34" s="454"/>
      <c r="AH34" s="464" t="str">
        <f>IF(AND('Mapa final'!$L$41="Baja",'Mapa final'!$P$41="Catastrófico"),CONCATENATE("R",'Mapa final'!$A$41),"")</f>
        <v/>
      </c>
      <c r="AI34" s="465"/>
      <c r="AJ34" s="465" t="str">
        <f>IF(AND('Mapa final'!$L$47="Baja",'Mapa final'!$P$47="Catastrófico"),CONCATENATE("R",'Mapa final'!$A$47),"")</f>
        <v/>
      </c>
      <c r="AK34" s="465"/>
      <c r="AL34" s="465" t="str">
        <f>IF(AND('Mapa final'!$L$53="Baja",'Mapa final'!$P$53="Catastrófico"),CONCATENATE("R",'Mapa final'!$A$53),"")</f>
        <v/>
      </c>
      <c r="AM34" s="466"/>
      <c r="AN34" s="80"/>
      <c r="AO34" s="438"/>
      <c r="AP34" s="439"/>
      <c r="AQ34" s="439"/>
      <c r="AR34" s="439"/>
      <c r="AS34" s="439"/>
      <c r="AT34" s="44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406"/>
      <c r="C35" s="406"/>
      <c r="D35" s="407"/>
      <c r="E35" s="447"/>
      <c r="F35" s="448"/>
      <c r="G35" s="448"/>
      <c r="H35" s="448"/>
      <c r="I35" s="448"/>
      <c r="J35" s="484"/>
      <c r="K35" s="482"/>
      <c r="L35" s="482"/>
      <c r="M35" s="482"/>
      <c r="N35" s="482"/>
      <c r="O35" s="483"/>
      <c r="P35" s="474"/>
      <c r="Q35" s="474"/>
      <c r="R35" s="474"/>
      <c r="S35" s="474"/>
      <c r="T35" s="474"/>
      <c r="U35" s="475"/>
      <c r="V35" s="473"/>
      <c r="W35" s="474"/>
      <c r="X35" s="474"/>
      <c r="Y35" s="474"/>
      <c r="Z35" s="474"/>
      <c r="AA35" s="475"/>
      <c r="AB35" s="457"/>
      <c r="AC35" s="453"/>
      <c r="AD35" s="453"/>
      <c r="AE35" s="453"/>
      <c r="AF35" s="453"/>
      <c r="AG35" s="454"/>
      <c r="AH35" s="464"/>
      <c r="AI35" s="465"/>
      <c r="AJ35" s="465"/>
      <c r="AK35" s="465"/>
      <c r="AL35" s="465"/>
      <c r="AM35" s="466"/>
      <c r="AN35" s="80"/>
      <c r="AO35" s="438"/>
      <c r="AP35" s="439"/>
      <c r="AQ35" s="439"/>
      <c r="AR35" s="439"/>
      <c r="AS35" s="439"/>
      <c r="AT35" s="44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406"/>
      <c r="C36" s="406"/>
      <c r="D36" s="407"/>
      <c r="E36" s="447"/>
      <c r="F36" s="448"/>
      <c r="G36" s="448"/>
      <c r="H36" s="448"/>
      <c r="I36" s="448"/>
      <c r="J36" s="484" t="str">
        <f>IF(AND('Mapa final'!$L$59="Baja",'Mapa final'!$P$59="Leve"),CONCATENATE("R",'Mapa final'!$A$59),"")</f>
        <v/>
      </c>
      <c r="K36" s="482"/>
      <c r="L36" s="482" t="str">
        <f>IF(AND('Mapa final'!$L$65="Baja",'Mapa final'!$P$65="Leve"),CONCATENATE("R",'Mapa final'!$A$65),"")</f>
        <v/>
      </c>
      <c r="M36" s="482"/>
      <c r="N36" s="482" t="str">
        <f>IF(AND('Mapa final'!$L$71="Baja",'Mapa final'!$P$71="Leve"),CONCATENATE("R",'Mapa final'!$A$71),"")</f>
        <v/>
      </c>
      <c r="O36" s="483"/>
      <c r="P36" s="474" t="str">
        <f>IF(AND('Mapa final'!$L$59="Baja",'Mapa final'!$P$59="Menor"),CONCATENATE("R",'Mapa final'!$A$59),"")</f>
        <v/>
      </c>
      <c r="Q36" s="474"/>
      <c r="R36" s="474" t="str">
        <f>IF(AND('Mapa final'!$L$65="Baja",'Mapa final'!$P$65="Menor"),CONCATENATE("R",'Mapa final'!$A$65),"")</f>
        <v/>
      </c>
      <c r="S36" s="474"/>
      <c r="T36" s="474" t="str">
        <f>IF(AND('Mapa final'!$L$71="Baja",'Mapa final'!$P$71="Menor"),CONCATENATE("R",'Mapa final'!$A$71),"")</f>
        <v/>
      </c>
      <c r="U36" s="475"/>
      <c r="V36" s="473" t="str">
        <f>IF(AND('Mapa final'!$L$59="Baja",'Mapa final'!$P$59="Moderado"),CONCATENATE("R",'Mapa final'!$A$59),"")</f>
        <v/>
      </c>
      <c r="W36" s="474"/>
      <c r="X36" s="474" t="str">
        <f>IF(AND('Mapa final'!$L$65="Baja",'Mapa final'!$P$65="Moderado"),CONCATENATE("R",'Mapa final'!$A$65),"")</f>
        <v/>
      </c>
      <c r="Y36" s="474"/>
      <c r="Z36" s="474" t="str">
        <f>IF(AND('Mapa final'!$L$71="Baja",'Mapa final'!$P$71="Moderado"),CONCATENATE("R",'Mapa final'!$A$71),"")</f>
        <v/>
      </c>
      <c r="AA36" s="475"/>
      <c r="AB36" s="457" t="str">
        <f>IF(AND('Mapa final'!$L$59="Baja",'Mapa final'!$P$59="Mayor"),CONCATENATE("R",'Mapa final'!$A$59),"")</f>
        <v/>
      </c>
      <c r="AC36" s="453"/>
      <c r="AD36" s="453" t="str">
        <f>IF(AND('Mapa final'!$L$65="Baja",'Mapa final'!$P$65="Mayor"),CONCATENATE("R",'Mapa final'!$A$65),"")</f>
        <v/>
      </c>
      <c r="AE36" s="453"/>
      <c r="AF36" s="453" t="str">
        <f>IF(AND('Mapa final'!$L$71="Baja",'Mapa final'!$P$71="Mayor"),CONCATENATE("R",'Mapa final'!$A$71),"")</f>
        <v/>
      </c>
      <c r="AG36" s="454"/>
      <c r="AH36" s="464" t="str">
        <f>IF(AND('Mapa final'!$L$59="Baja",'Mapa final'!$P$59="Catastrófico"),CONCATENATE("R",'Mapa final'!$A$59),"")</f>
        <v/>
      </c>
      <c r="AI36" s="465"/>
      <c r="AJ36" s="465" t="str">
        <f>IF(AND('Mapa final'!$L$65="Baja",'Mapa final'!$P$65="Catastrófico"),CONCATENATE("R",'Mapa final'!$A$65),"")</f>
        <v/>
      </c>
      <c r="AK36" s="465"/>
      <c r="AL36" s="465" t="str">
        <f>IF(AND('Mapa final'!$L$71="Baja",'Mapa final'!$P$71="Catastrófico"),CONCATENATE("R",'Mapa final'!$A$71),"")</f>
        <v/>
      </c>
      <c r="AM36" s="466"/>
      <c r="AN36" s="80"/>
      <c r="AO36" s="438"/>
      <c r="AP36" s="439"/>
      <c r="AQ36" s="439"/>
      <c r="AR36" s="439"/>
      <c r="AS36" s="439"/>
      <c r="AT36" s="44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406"/>
      <c r="C37" s="406"/>
      <c r="D37" s="407"/>
      <c r="E37" s="450"/>
      <c r="F37" s="451"/>
      <c r="G37" s="451"/>
      <c r="H37" s="451"/>
      <c r="I37" s="451"/>
      <c r="J37" s="485"/>
      <c r="K37" s="486"/>
      <c r="L37" s="486"/>
      <c r="M37" s="486"/>
      <c r="N37" s="486"/>
      <c r="O37" s="487"/>
      <c r="P37" s="477"/>
      <c r="Q37" s="477"/>
      <c r="R37" s="477"/>
      <c r="S37" s="477"/>
      <c r="T37" s="477"/>
      <c r="U37" s="478"/>
      <c r="V37" s="476"/>
      <c r="W37" s="477"/>
      <c r="X37" s="477"/>
      <c r="Y37" s="477"/>
      <c r="Z37" s="477"/>
      <c r="AA37" s="478"/>
      <c r="AB37" s="461"/>
      <c r="AC37" s="462"/>
      <c r="AD37" s="462"/>
      <c r="AE37" s="462"/>
      <c r="AF37" s="462"/>
      <c r="AG37" s="463"/>
      <c r="AH37" s="467"/>
      <c r="AI37" s="468"/>
      <c r="AJ37" s="468"/>
      <c r="AK37" s="468"/>
      <c r="AL37" s="468"/>
      <c r="AM37" s="469"/>
      <c r="AN37" s="80"/>
      <c r="AO37" s="441"/>
      <c r="AP37" s="442"/>
      <c r="AQ37" s="442"/>
      <c r="AR37" s="442"/>
      <c r="AS37" s="442"/>
      <c r="AT37" s="443"/>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406"/>
      <c r="C38" s="406"/>
      <c r="D38" s="407"/>
      <c r="E38" s="444" t="s">
        <v>141</v>
      </c>
      <c r="F38" s="445"/>
      <c r="G38" s="445"/>
      <c r="H38" s="445"/>
      <c r="I38" s="446"/>
      <c r="J38" s="488" t="str">
        <f>IF(AND('Mapa final'!$L$11="Muy Baja",'Mapa final'!$P$11="Leve"),CONCATENATE("R",'Mapa final'!$A$11),"")</f>
        <v/>
      </c>
      <c r="K38" s="489"/>
      <c r="L38" s="489" t="str">
        <f>IF(AND('Mapa final'!$L$15="Muy Baja",'Mapa final'!$P$15="Leve"),CONCATENATE("R",'Mapa final'!$A$15),"")</f>
        <v/>
      </c>
      <c r="M38" s="489"/>
      <c r="N38" s="489" t="str">
        <f>IF(AND('Mapa final'!$L$17="Muy Baja",'Mapa final'!$P$17="Leve"),CONCATENATE("R",'Mapa final'!$A$17),"")</f>
        <v/>
      </c>
      <c r="O38" s="490"/>
      <c r="P38" s="488" t="str">
        <f>IF(AND('Mapa final'!$L$11="Muy Baja",'Mapa final'!$P$11="Menor"),CONCATENATE("R",'Mapa final'!$A$11),"")</f>
        <v/>
      </c>
      <c r="Q38" s="489"/>
      <c r="R38" s="489" t="str">
        <f>IF(AND('Mapa final'!$L$15="Muy Baja",'Mapa final'!$P$15="Menor"),CONCATENATE("R",'Mapa final'!$A$15),"")</f>
        <v/>
      </c>
      <c r="S38" s="489"/>
      <c r="T38" s="489" t="str">
        <f>IF(AND('Mapa final'!$L$17="Muy Baja",'Mapa final'!$P$17="Menor"),CONCATENATE("R",'Mapa final'!$A$17),"")</f>
        <v/>
      </c>
      <c r="U38" s="490"/>
      <c r="V38" s="479" t="str">
        <f>IF(AND('Mapa final'!$L$11="Muy Baja",'Mapa final'!$P$11="Moderado"),CONCATENATE("R",'Mapa final'!$A$11),"")</f>
        <v/>
      </c>
      <c r="W38" s="480"/>
      <c r="X38" s="480" t="str">
        <f>IF(AND('Mapa final'!$L$15="Muy Baja",'Mapa final'!$P$15="Moderado"),CONCATENATE("R",'Mapa final'!$A$15),"")</f>
        <v/>
      </c>
      <c r="Y38" s="480"/>
      <c r="Z38" s="480" t="str">
        <f>IF(AND('Mapa final'!$L$17="Muy Baja",'Mapa final'!$P$17="Moderado"),CONCATENATE("R",'Mapa final'!$A$17),"")</f>
        <v/>
      </c>
      <c r="AA38" s="481"/>
      <c r="AB38" s="455" t="str">
        <f>IF(AND('Mapa final'!$L$11="Muy Baja",'Mapa final'!$P$11="Mayor"),CONCATENATE("R",'Mapa final'!$A$11),"")</f>
        <v/>
      </c>
      <c r="AC38" s="456"/>
      <c r="AD38" s="456" t="str">
        <f>IF(AND('Mapa final'!$L$15="Muy Baja",'Mapa final'!$P$15="Mayor"),CONCATENATE("R",'Mapa final'!$A$15),"")</f>
        <v/>
      </c>
      <c r="AE38" s="456"/>
      <c r="AF38" s="456" t="str">
        <f>IF(AND('Mapa final'!$L$17="Muy Baja",'Mapa final'!$P$17="Mayor"),CONCATENATE("R",'Mapa final'!$A$17),"")</f>
        <v/>
      </c>
      <c r="AG38" s="458"/>
      <c r="AH38" s="470" t="str">
        <f>IF(AND('Mapa final'!$L$11="Muy Baja",'Mapa final'!$P$11="Catastrófico"),CONCATENATE("R",'Mapa final'!$A$11),"")</f>
        <v/>
      </c>
      <c r="AI38" s="471"/>
      <c r="AJ38" s="471" t="str">
        <f>IF(AND('Mapa final'!$L$15="Muy Baja",'Mapa final'!$P$15="Catastrófico"),CONCATENATE("R",'Mapa final'!$A$15),"")</f>
        <v/>
      </c>
      <c r="AK38" s="471"/>
      <c r="AL38" s="471" t="str">
        <f>IF(AND('Mapa final'!$L$17="Muy Baja",'Mapa final'!$P$17="Catastrófico"),CONCATENATE("R",'Mapa final'!$A$17),"")</f>
        <v/>
      </c>
      <c r="AM38" s="472"/>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406"/>
      <c r="C39" s="406"/>
      <c r="D39" s="407"/>
      <c r="E39" s="447"/>
      <c r="F39" s="448"/>
      <c r="G39" s="448"/>
      <c r="H39" s="448"/>
      <c r="I39" s="449"/>
      <c r="J39" s="484"/>
      <c r="K39" s="482"/>
      <c r="L39" s="482"/>
      <c r="M39" s="482"/>
      <c r="N39" s="482"/>
      <c r="O39" s="483"/>
      <c r="P39" s="484"/>
      <c r="Q39" s="482"/>
      <c r="R39" s="482"/>
      <c r="S39" s="482"/>
      <c r="T39" s="482"/>
      <c r="U39" s="483"/>
      <c r="V39" s="473"/>
      <c r="W39" s="474"/>
      <c r="X39" s="474"/>
      <c r="Y39" s="474"/>
      <c r="Z39" s="474"/>
      <c r="AA39" s="475"/>
      <c r="AB39" s="457"/>
      <c r="AC39" s="453"/>
      <c r="AD39" s="453"/>
      <c r="AE39" s="453"/>
      <c r="AF39" s="453"/>
      <c r="AG39" s="454"/>
      <c r="AH39" s="464"/>
      <c r="AI39" s="465"/>
      <c r="AJ39" s="465"/>
      <c r="AK39" s="465"/>
      <c r="AL39" s="465"/>
      <c r="AM39" s="466"/>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406"/>
      <c r="C40" s="406"/>
      <c r="D40" s="407"/>
      <c r="E40" s="447"/>
      <c r="F40" s="448"/>
      <c r="G40" s="448"/>
      <c r="H40" s="448"/>
      <c r="I40" s="449"/>
      <c r="J40" s="484" t="str">
        <f>IF(AND('Mapa final'!$L$23="Muy Baja",'Mapa final'!$P$23="Leve"),CONCATENATE("R",'Mapa final'!$A$23),"")</f>
        <v/>
      </c>
      <c r="K40" s="482"/>
      <c r="L40" s="482" t="str">
        <f>IF(AND('Mapa final'!$L$29="Muy Baja",'Mapa final'!$P$29="Leve"),CONCATENATE("R",'Mapa final'!$A$29),"")</f>
        <v/>
      </c>
      <c r="M40" s="482"/>
      <c r="N40" s="482" t="str">
        <f>IF(AND('Mapa final'!$L$35="Muy Baja",'Mapa final'!$P$35="Leve"),CONCATENATE("R",'Mapa final'!$A$35),"")</f>
        <v/>
      </c>
      <c r="O40" s="483"/>
      <c r="P40" s="484" t="str">
        <f>IF(AND('Mapa final'!$L$23="Muy Baja",'Mapa final'!$P$23="Menor"),CONCATENATE("R",'Mapa final'!$A$23),"")</f>
        <v/>
      </c>
      <c r="Q40" s="482"/>
      <c r="R40" s="482" t="str">
        <f>IF(AND('Mapa final'!$L$29="Muy Baja",'Mapa final'!$P$29="Menor"),CONCATENATE("R",'Mapa final'!$A$29),"")</f>
        <v/>
      </c>
      <c r="S40" s="482"/>
      <c r="T40" s="482" t="str">
        <f>IF(AND('Mapa final'!$L$35="Muy Baja",'Mapa final'!$P$35="Menor"),CONCATENATE("R",'Mapa final'!$A$35),"")</f>
        <v/>
      </c>
      <c r="U40" s="483"/>
      <c r="V40" s="473" t="str">
        <f>IF(AND('Mapa final'!$L$23="Muy Baja",'Mapa final'!$P$23="Moderado"),CONCATENATE("R",'Mapa final'!$A$23),"")</f>
        <v/>
      </c>
      <c r="W40" s="474"/>
      <c r="X40" s="474" t="str">
        <f>IF(AND('Mapa final'!$L$29="Muy Baja",'Mapa final'!$P$29="Moderado"),CONCATENATE("R",'Mapa final'!$A$29),"")</f>
        <v/>
      </c>
      <c r="Y40" s="474"/>
      <c r="Z40" s="474" t="str">
        <f>IF(AND('Mapa final'!$L$35="Muy Baja",'Mapa final'!$P$35="Moderado"),CONCATENATE("R",'Mapa final'!$A$35),"")</f>
        <v/>
      </c>
      <c r="AA40" s="475"/>
      <c r="AB40" s="457" t="str">
        <f>IF(AND('Mapa final'!$L$23="Muy Baja",'Mapa final'!$P$23="Mayor"),CONCATENATE("R",'Mapa final'!$A$23),"")</f>
        <v/>
      </c>
      <c r="AC40" s="453"/>
      <c r="AD40" s="453" t="str">
        <f>IF(AND('Mapa final'!$L$29="Muy Baja",'Mapa final'!$P$29="Mayor"),CONCATENATE("R",'Mapa final'!$A$29),"")</f>
        <v/>
      </c>
      <c r="AE40" s="453"/>
      <c r="AF40" s="453" t="str">
        <f>IF(AND('Mapa final'!$L$35="Muy Baja",'Mapa final'!$P$35="Mayor"),CONCATENATE("R",'Mapa final'!$A$35),"")</f>
        <v/>
      </c>
      <c r="AG40" s="454"/>
      <c r="AH40" s="464" t="str">
        <f>IF(AND('Mapa final'!$L$23="Muy Baja",'Mapa final'!$P$23="Catastrófico"),CONCATENATE("R",'Mapa final'!$A$23),"")</f>
        <v/>
      </c>
      <c r="AI40" s="465"/>
      <c r="AJ40" s="465" t="str">
        <f>IF(AND('Mapa final'!$L$29="Muy Baja",'Mapa final'!$P$29="Catastrófico"),CONCATENATE("R",'Mapa final'!$A$29),"")</f>
        <v/>
      </c>
      <c r="AK40" s="465"/>
      <c r="AL40" s="465" t="str">
        <f>IF(AND('Mapa final'!$L$35="Muy Baja",'Mapa final'!$P$35="Catastrófico"),CONCATENATE("R",'Mapa final'!$A$35),"")</f>
        <v/>
      </c>
      <c r="AM40" s="466"/>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406"/>
      <c r="C41" s="406"/>
      <c r="D41" s="407"/>
      <c r="E41" s="447"/>
      <c r="F41" s="448"/>
      <c r="G41" s="448"/>
      <c r="H41" s="448"/>
      <c r="I41" s="449"/>
      <c r="J41" s="484"/>
      <c r="K41" s="482"/>
      <c r="L41" s="482"/>
      <c r="M41" s="482"/>
      <c r="N41" s="482"/>
      <c r="O41" s="483"/>
      <c r="P41" s="484"/>
      <c r="Q41" s="482"/>
      <c r="R41" s="482"/>
      <c r="S41" s="482"/>
      <c r="T41" s="482"/>
      <c r="U41" s="483"/>
      <c r="V41" s="473"/>
      <c r="W41" s="474"/>
      <c r="X41" s="474"/>
      <c r="Y41" s="474"/>
      <c r="Z41" s="474"/>
      <c r="AA41" s="475"/>
      <c r="AB41" s="457"/>
      <c r="AC41" s="453"/>
      <c r="AD41" s="453"/>
      <c r="AE41" s="453"/>
      <c r="AF41" s="453"/>
      <c r="AG41" s="454"/>
      <c r="AH41" s="464"/>
      <c r="AI41" s="465"/>
      <c r="AJ41" s="465"/>
      <c r="AK41" s="465"/>
      <c r="AL41" s="465"/>
      <c r="AM41" s="466"/>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406"/>
      <c r="C42" s="406"/>
      <c r="D42" s="407"/>
      <c r="E42" s="447"/>
      <c r="F42" s="448"/>
      <c r="G42" s="448"/>
      <c r="H42" s="448"/>
      <c r="I42" s="449"/>
      <c r="J42" s="484" t="str">
        <f>IF(AND('Mapa final'!$L$41="Muy Baja",'Mapa final'!$P$41="Leve"),CONCATENATE("R",'Mapa final'!$A$41),"")</f>
        <v/>
      </c>
      <c r="K42" s="482"/>
      <c r="L42" s="482" t="str">
        <f>IF(AND('Mapa final'!$L$47="Muy Baja",'Mapa final'!$P$47="Leve"),CONCATENATE("R",'Mapa final'!$A$47),"")</f>
        <v/>
      </c>
      <c r="M42" s="482"/>
      <c r="N42" s="482" t="str">
        <f>IF(AND('Mapa final'!$L$53="Muy Baja",'Mapa final'!$P$53="Leve"),CONCATENATE("R",'Mapa final'!$A$53),"")</f>
        <v/>
      </c>
      <c r="O42" s="483"/>
      <c r="P42" s="484" t="str">
        <f>IF(AND('Mapa final'!$L$41="Muy Baja",'Mapa final'!$P$41="Menor"),CONCATENATE("R",'Mapa final'!$A$41),"")</f>
        <v/>
      </c>
      <c r="Q42" s="482"/>
      <c r="R42" s="482" t="str">
        <f>IF(AND('Mapa final'!$L$47="Muy Baja",'Mapa final'!$P$47="Menor"),CONCATENATE("R",'Mapa final'!$A$47),"")</f>
        <v/>
      </c>
      <c r="S42" s="482"/>
      <c r="T42" s="482" t="str">
        <f>IF(AND('Mapa final'!$L$53="Muy Baja",'Mapa final'!$P$53="Menor"),CONCATENATE("R",'Mapa final'!$A$53),"")</f>
        <v/>
      </c>
      <c r="U42" s="483"/>
      <c r="V42" s="473" t="str">
        <f>IF(AND('Mapa final'!$L$41="Muy Baja",'Mapa final'!$P$41="Moderado"),CONCATENATE("R",'Mapa final'!$A$41),"")</f>
        <v/>
      </c>
      <c r="W42" s="474"/>
      <c r="X42" s="474" t="str">
        <f>IF(AND('Mapa final'!$L$47="Muy Baja",'Mapa final'!$P$47="Moderado"),CONCATENATE("R",'Mapa final'!$A$47),"")</f>
        <v/>
      </c>
      <c r="Y42" s="474"/>
      <c r="Z42" s="474" t="str">
        <f>IF(AND('Mapa final'!$L$53="Muy Baja",'Mapa final'!$P$53="Moderado"),CONCATENATE("R",'Mapa final'!$A$53),"")</f>
        <v/>
      </c>
      <c r="AA42" s="475"/>
      <c r="AB42" s="457" t="str">
        <f>IF(AND('Mapa final'!$L$41="Muy Baja",'Mapa final'!$P$41="Mayor"),CONCATENATE("R",'Mapa final'!$A$41),"")</f>
        <v/>
      </c>
      <c r="AC42" s="453"/>
      <c r="AD42" s="453" t="str">
        <f>IF(AND('Mapa final'!$L$47="Muy Baja",'Mapa final'!$P$47="Mayor"),CONCATENATE("R",'Mapa final'!$A$47),"")</f>
        <v/>
      </c>
      <c r="AE42" s="453"/>
      <c r="AF42" s="453" t="str">
        <f>IF(AND('Mapa final'!$L$53="Muy Baja",'Mapa final'!$P$53="Mayor"),CONCATENATE("R",'Mapa final'!$A$53),"")</f>
        <v/>
      </c>
      <c r="AG42" s="454"/>
      <c r="AH42" s="464" t="str">
        <f>IF(AND('Mapa final'!$L$41="Muy Baja",'Mapa final'!$P$41="Catastrófico"),CONCATENATE("R",'Mapa final'!$A$41),"")</f>
        <v/>
      </c>
      <c r="AI42" s="465"/>
      <c r="AJ42" s="465" t="str">
        <f>IF(AND('Mapa final'!$L$47="Muy Baja",'Mapa final'!$P$47="Catastrófico"),CONCATENATE("R",'Mapa final'!$A$47),"")</f>
        <v/>
      </c>
      <c r="AK42" s="465"/>
      <c r="AL42" s="465" t="str">
        <f>IF(AND('Mapa final'!$L$53="Muy Baja",'Mapa final'!$P$53="Catastrófico"),CONCATENATE("R",'Mapa final'!$A$53),"")</f>
        <v/>
      </c>
      <c r="AM42" s="466"/>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406"/>
      <c r="C43" s="406"/>
      <c r="D43" s="407"/>
      <c r="E43" s="447"/>
      <c r="F43" s="448"/>
      <c r="G43" s="448"/>
      <c r="H43" s="448"/>
      <c r="I43" s="449"/>
      <c r="J43" s="484"/>
      <c r="K43" s="482"/>
      <c r="L43" s="482"/>
      <c r="M43" s="482"/>
      <c r="N43" s="482"/>
      <c r="O43" s="483"/>
      <c r="P43" s="484"/>
      <c r="Q43" s="482"/>
      <c r="R43" s="482"/>
      <c r="S43" s="482"/>
      <c r="T43" s="482"/>
      <c r="U43" s="483"/>
      <c r="V43" s="473"/>
      <c r="W43" s="474"/>
      <c r="X43" s="474"/>
      <c r="Y43" s="474"/>
      <c r="Z43" s="474"/>
      <c r="AA43" s="475"/>
      <c r="AB43" s="457"/>
      <c r="AC43" s="453"/>
      <c r="AD43" s="453"/>
      <c r="AE43" s="453"/>
      <c r="AF43" s="453"/>
      <c r="AG43" s="454"/>
      <c r="AH43" s="464"/>
      <c r="AI43" s="465"/>
      <c r="AJ43" s="465"/>
      <c r="AK43" s="465"/>
      <c r="AL43" s="465"/>
      <c r="AM43" s="466"/>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406"/>
      <c r="C44" s="406"/>
      <c r="D44" s="407"/>
      <c r="E44" s="447"/>
      <c r="F44" s="448"/>
      <c r="G44" s="448"/>
      <c r="H44" s="448"/>
      <c r="I44" s="449"/>
      <c r="J44" s="484" t="str">
        <f>IF(AND('Mapa final'!$L$59="Muy Baja",'Mapa final'!$P$59="Leve"),CONCATENATE("R",'Mapa final'!$A$59),"")</f>
        <v/>
      </c>
      <c r="K44" s="482"/>
      <c r="L44" s="482" t="str">
        <f>IF(AND('Mapa final'!$L$65="Muy Baja",'Mapa final'!$P$65="Leve"),CONCATENATE("R",'Mapa final'!$A$65),"")</f>
        <v/>
      </c>
      <c r="M44" s="482"/>
      <c r="N44" s="482" t="str">
        <f>IF(AND('Mapa final'!$L$71="Muy Baja",'Mapa final'!$P$71="Leve"),CONCATENATE("R",'Mapa final'!$A$71),"")</f>
        <v/>
      </c>
      <c r="O44" s="483"/>
      <c r="P44" s="484" t="str">
        <f>IF(AND('Mapa final'!$L$59="Muy Baja",'Mapa final'!$P$59="Menor"),CONCATENATE("R",'Mapa final'!$A$59),"")</f>
        <v/>
      </c>
      <c r="Q44" s="482"/>
      <c r="R44" s="482" t="str">
        <f>IF(AND('Mapa final'!$L$65="Muy Baja",'Mapa final'!$P$65="Menor"),CONCATENATE("R",'Mapa final'!$A$65),"")</f>
        <v/>
      </c>
      <c r="S44" s="482"/>
      <c r="T44" s="482" t="str">
        <f>IF(AND('Mapa final'!$L$71="Muy Baja",'Mapa final'!$P$71="Menor"),CONCATENATE("R",'Mapa final'!$A$71),"")</f>
        <v/>
      </c>
      <c r="U44" s="483"/>
      <c r="V44" s="473" t="str">
        <f>IF(AND('Mapa final'!$L$59="Muy Baja",'Mapa final'!$P$59="Moderado"),CONCATENATE("R",'Mapa final'!$A$59),"")</f>
        <v/>
      </c>
      <c r="W44" s="474"/>
      <c r="X44" s="474" t="str">
        <f>IF(AND('Mapa final'!$L$65="Muy Baja",'Mapa final'!$P$65="Moderado"),CONCATENATE("R",'Mapa final'!$A$65),"")</f>
        <v/>
      </c>
      <c r="Y44" s="474"/>
      <c r="Z44" s="474" t="str">
        <f>IF(AND('Mapa final'!$L$71="Muy Baja",'Mapa final'!$P$71="Moderado"),CONCATENATE("R",'Mapa final'!$A$71),"")</f>
        <v/>
      </c>
      <c r="AA44" s="475"/>
      <c r="AB44" s="457" t="str">
        <f>IF(AND('Mapa final'!$L$59="Muy Baja",'Mapa final'!$P$59="Mayor"),CONCATENATE("R",'Mapa final'!$A$59),"")</f>
        <v/>
      </c>
      <c r="AC44" s="453"/>
      <c r="AD44" s="453" t="str">
        <f>IF(AND('Mapa final'!$L$65="Muy Baja",'Mapa final'!$P$65="Mayor"),CONCATENATE("R",'Mapa final'!$A$65),"")</f>
        <v/>
      </c>
      <c r="AE44" s="453"/>
      <c r="AF44" s="453" t="str">
        <f>IF(AND('Mapa final'!$L$71="Muy Baja",'Mapa final'!$P$71="Mayor"),CONCATENATE("R",'Mapa final'!$A$71),"")</f>
        <v/>
      </c>
      <c r="AG44" s="454"/>
      <c r="AH44" s="464" t="str">
        <f>IF(AND('Mapa final'!$L$59="Muy Baja",'Mapa final'!$P$59="Catastrófico"),CONCATENATE("R",'Mapa final'!$A$59),"")</f>
        <v/>
      </c>
      <c r="AI44" s="465"/>
      <c r="AJ44" s="465" t="str">
        <f>IF(AND('Mapa final'!$L$65="Muy Baja",'Mapa final'!$P$65="Catastrófico"),CONCATENATE("R",'Mapa final'!$A$65),"")</f>
        <v/>
      </c>
      <c r="AK44" s="465"/>
      <c r="AL44" s="465" t="str">
        <f>IF(AND('Mapa final'!$L$71="Muy Baja",'Mapa final'!$P$71="Catastrófico"),CONCATENATE("R",'Mapa final'!$A$71),"")</f>
        <v/>
      </c>
      <c r="AM44" s="466"/>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406"/>
      <c r="C45" s="406"/>
      <c r="D45" s="407"/>
      <c r="E45" s="450"/>
      <c r="F45" s="451"/>
      <c r="G45" s="451"/>
      <c r="H45" s="451"/>
      <c r="I45" s="452"/>
      <c r="J45" s="485"/>
      <c r="K45" s="486"/>
      <c r="L45" s="486"/>
      <c r="M45" s="486"/>
      <c r="N45" s="486"/>
      <c r="O45" s="487"/>
      <c r="P45" s="485"/>
      <c r="Q45" s="486"/>
      <c r="R45" s="486"/>
      <c r="S45" s="486"/>
      <c r="T45" s="486"/>
      <c r="U45" s="487"/>
      <c r="V45" s="476"/>
      <c r="W45" s="477"/>
      <c r="X45" s="477"/>
      <c r="Y45" s="477"/>
      <c r="Z45" s="477"/>
      <c r="AA45" s="478"/>
      <c r="AB45" s="461"/>
      <c r="AC45" s="462"/>
      <c r="AD45" s="462"/>
      <c r="AE45" s="462"/>
      <c r="AF45" s="462"/>
      <c r="AG45" s="463"/>
      <c r="AH45" s="467"/>
      <c r="AI45" s="468"/>
      <c r="AJ45" s="468"/>
      <c r="AK45" s="468"/>
      <c r="AL45" s="468"/>
      <c r="AM45" s="469"/>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444" t="s">
        <v>142</v>
      </c>
      <c r="K46" s="445"/>
      <c r="L46" s="445"/>
      <c r="M46" s="445"/>
      <c r="N46" s="445"/>
      <c r="O46" s="446"/>
      <c r="P46" s="444" t="s">
        <v>143</v>
      </c>
      <c r="Q46" s="445"/>
      <c r="R46" s="445"/>
      <c r="S46" s="445"/>
      <c r="T46" s="445"/>
      <c r="U46" s="446"/>
      <c r="V46" s="444" t="s">
        <v>144</v>
      </c>
      <c r="W46" s="445"/>
      <c r="X46" s="445"/>
      <c r="Y46" s="445"/>
      <c r="Z46" s="445"/>
      <c r="AA46" s="446"/>
      <c r="AB46" s="444" t="s">
        <v>145</v>
      </c>
      <c r="AC46" s="460"/>
      <c r="AD46" s="445"/>
      <c r="AE46" s="445"/>
      <c r="AF46" s="445"/>
      <c r="AG46" s="446"/>
      <c r="AH46" s="444" t="s">
        <v>146</v>
      </c>
      <c r="AI46" s="445"/>
      <c r="AJ46" s="445"/>
      <c r="AK46" s="445"/>
      <c r="AL46" s="445"/>
      <c r="AM46" s="446"/>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447"/>
      <c r="K47" s="448"/>
      <c r="L47" s="448"/>
      <c r="M47" s="448"/>
      <c r="N47" s="448"/>
      <c r="O47" s="449"/>
      <c r="P47" s="447"/>
      <c r="Q47" s="448"/>
      <c r="R47" s="448"/>
      <c r="S47" s="448"/>
      <c r="T47" s="448"/>
      <c r="U47" s="449"/>
      <c r="V47" s="447"/>
      <c r="W47" s="448"/>
      <c r="X47" s="448"/>
      <c r="Y47" s="448"/>
      <c r="Z47" s="448"/>
      <c r="AA47" s="449"/>
      <c r="AB47" s="447"/>
      <c r="AC47" s="448"/>
      <c r="AD47" s="448"/>
      <c r="AE47" s="448"/>
      <c r="AF47" s="448"/>
      <c r="AG47" s="449"/>
      <c r="AH47" s="447"/>
      <c r="AI47" s="448"/>
      <c r="AJ47" s="448"/>
      <c r="AK47" s="448"/>
      <c r="AL47" s="448"/>
      <c r="AM47" s="449"/>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447"/>
      <c r="K48" s="448"/>
      <c r="L48" s="448"/>
      <c r="M48" s="448"/>
      <c r="N48" s="448"/>
      <c r="O48" s="449"/>
      <c r="P48" s="447"/>
      <c r="Q48" s="448"/>
      <c r="R48" s="448"/>
      <c r="S48" s="448"/>
      <c r="T48" s="448"/>
      <c r="U48" s="449"/>
      <c r="V48" s="447"/>
      <c r="W48" s="448"/>
      <c r="X48" s="448"/>
      <c r="Y48" s="448"/>
      <c r="Z48" s="448"/>
      <c r="AA48" s="449"/>
      <c r="AB48" s="447"/>
      <c r="AC48" s="448"/>
      <c r="AD48" s="448"/>
      <c r="AE48" s="448"/>
      <c r="AF48" s="448"/>
      <c r="AG48" s="449"/>
      <c r="AH48" s="447"/>
      <c r="AI48" s="448"/>
      <c r="AJ48" s="448"/>
      <c r="AK48" s="448"/>
      <c r="AL48" s="448"/>
      <c r="AM48" s="449"/>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447"/>
      <c r="K49" s="448"/>
      <c r="L49" s="448"/>
      <c r="M49" s="448"/>
      <c r="N49" s="448"/>
      <c r="O49" s="449"/>
      <c r="P49" s="447"/>
      <c r="Q49" s="448"/>
      <c r="R49" s="448"/>
      <c r="S49" s="448"/>
      <c r="T49" s="448"/>
      <c r="U49" s="449"/>
      <c r="V49" s="447"/>
      <c r="W49" s="448"/>
      <c r="X49" s="448"/>
      <c r="Y49" s="448"/>
      <c r="Z49" s="448"/>
      <c r="AA49" s="449"/>
      <c r="AB49" s="447"/>
      <c r="AC49" s="448"/>
      <c r="AD49" s="448"/>
      <c r="AE49" s="448"/>
      <c r="AF49" s="448"/>
      <c r="AG49" s="449"/>
      <c r="AH49" s="447"/>
      <c r="AI49" s="448"/>
      <c r="AJ49" s="448"/>
      <c r="AK49" s="448"/>
      <c r="AL49" s="448"/>
      <c r="AM49" s="449"/>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447"/>
      <c r="K50" s="448"/>
      <c r="L50" s="448"/>
      <c r="M50" s="448"/>
      <c r="N50" s="448"/>
      <c r="O50" s="449"/>
      <c r="P50" s="447"/>
      <c r="Q50" s="448"/>
      <c r="R50" s="448"/>
      <c r="S50" s="448"/>
      <c r="T50" s="448"/>
      <c r="U50" s="449"/>
      <c r="V50" s="447"/>
      <c r="W50" s="448"/>
      <c r="X50" s="448"/>
      <c r="Y50" s="448"/>
      <c r="Z50" s="448"/>
      <c r="AA50" s="449"/>
      <c r="AB50" s="447"/>
      <c r="AC50" s="448"/>
      <c r="AD50" s="448"/>
      <c r="AE50" s="448"/>
      <c r="AF50" s="448"/>
      <c r="AG50" s="449"/>
      <c r="AH50" s="447"/>
      <c r="AI50" s="448"/>
      <c r="AJ50" s="448"/>
      <c r="AK50" s="448"/>
      <c r="AL50" s="448"/>
      <c r="AM50" s="449"/>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450"/>
      <c r="K51" s="451"/>
      <c r="L51" s="451"/>
      <c r="M51" s="451"/>
      <c r="N51" s="451"/>
      <c r="O51" s="452"/>
      <c r="P51" s="450"/>
      <c r="Q51" s="451"/>
      <c r="R51" s="451"/>
      <c r="S51" s="451"/>
      <c r="T51" s="451"/>
      <c r="U51" s="452"/>
      <c r="V51" s="450"/>
      <c r="W51" s="451"/>
      <c r="X51" s="451"/>
      <c r="Y51" s="451"/>
      <c r="Z51" s="451"/>
      <c r="AA51" s="452"/>
      <c r="AB51" s="450"/>
      <c r="AC51" s="451"/>
      <c r="AD51" s="451"/>
      <c r="AE51" s="451"/>
      <c r="AF51" s="451"/>
      <c r="AG51" s="452"/>
      <c r="AH51" s="450"/>
      <c r="AI51" s="451"/>
      <c r="AJ51" s="451"/>
      <c r="AK51" s="451"/>
      <c r="AL51" s="451"/>
      <c r="AM51" s="452"/>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517" t="s">
        <v>147</v>
      </c>
      <c r="C2" s="518"/>
      <c r="D2" s="518"/>
      <c r="E2" s="518"/>
      <c r="F2" s="518"/>
      <c r="G2" s="518"/>
      <c r="H2" s="518"/>
      <c r="I2" s="518"/>
      <c r="J2" s="459" t="s">
        <v>15</v>
      </c>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518"/>
      <c r="C3" s="518"/>
      <c r="D3" s="518"/>
      <c r="E3" s="518"/>
      <c r="F3" s="518"/>
      <c r="G3" s="518"/>
      <c r="H3" s="518"/>
      <c r="I3" s="518"/>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518"/>
      <c r="C4" s="518"/>
      <c r="D4" s="518"/>
      <c r="E4" s="518"/>
      <c r="F4" s="518"/>
      <c r="G4" s="518"/>
      <c r="H4" s="518"/>
      <c r="I4" s="518"/>
      <c r="J4" s="459"/>
      <c r="K4" s="459"/>
      <c r="L4" s="459"/>
      <c r="M4" s="459"/>
      <c r="N4" s="459"/>
      <c r="O4" s="459"/>
      <c r="P4" s="459"/>
      <c r="Q4" s="459"/>
      <c r="R4" s="459"/>
      <c r="S4" s="459"/>
      <c r="T4" s="459"/>
      <c r="U4" s="459"/>
      <c r="V4" s="459"/>
      <c r="W4" s="459"/>
      <c r="X4" s="459"/>
      <c r="Y4" s="459"/>
      <c r="Z4" s="459"/>
      <c r="AA4" s="459"/>
      <c r="AB4" s="459"/>
      <c r="AC4" s="459"/>
      <c r="AD4" s="459"/>
      <c r="AE4" s="459"/>
      <c r="AF4" s="459"/>
      <c r="AG4" s="459"/>
      <c r="AH4" s="459"/>
      <c r="AI4" s="459"/>
      <c r="AJ4" s="459"/>
      <c r="AK4" s="459"/>
      <c r="AL4" s="459"/>
      <c r="AM4" s="459"/>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406" t="s">
        <v>132</v>
      </c>
      <c r="C6" s="406"/>
      <c r="D6" s="407"/>
      <c r="E6" s="501" t="s">
        <v>133</v>
      </c>
      <c r="F6" s="502"/>
      <c r="G6" s="502"/>
      <c r="H6" s="502"/>
      <c r="I6" s="519"/>
      <c r="J6" s="43" t="str">
        <f>IF(AND('Mapa final'!$AI$11="Muy Alta",'Mapa final'!$AK$11="Leve"),CONCATENATE("R1C",'Mapa final'!$Y$11),"")</f>
        <v/>
      </c>
      <c r="K6" s="44" t="str">
        <f>IF(AND('Mapa final'!$AI$13="Muy Alta",'Mapa final'!$AK$13="Leve"),CONCATENATE("R1C",'Mapa final'!$Y$13),"")</f>
        <v/>
      </c>
      <c r="L6" s="44" t="str">
        <f>IF(AND('Mapa final'!$AI$14="Muy Alta",'Mapa final'!$AK$14="Leve"),CONCATENATE("R1C",'Mapa final'!$Y$14),"")</f>
        <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final'!$AI$13="Muy Alta",'Mapa final'!$AK$13="Menor"),CONCATENATE("R1C",'Mapa final'!$Y$13),"")</f>
        <v/>
      </c>
      <c r="R6" s="44" t="str">
        <f>IF(AND('Mapa final'!$AI$14="Muy Alta",'Mapa final'!$AK$14="Menor"),CONCATENATE("R1C",'Mapa final'!$Y$14),"")</f>
        <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final'!$AI$13="Muy Alta",'Mapa final'!$AK$13="Moderado"),CONCATENATE("R1C",'Mapa final'!$Y$13),"")</f>
        <v/>
      </c>
      <c r="X6" s="44" t="str">
        <f>IF(AND('Mapa final'!$AI$14="Muy Alta",'Mapa final'!$AK$14="Moderado"),CONCATENATE("R1C",'Mapa final'!$Y$14),"")</f>
        <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final'!$AI$13="Muy Alta",'Mapa final'!$AK$13="Mayor"),CONCATENATE("R1C",'Mapa final'!$Y$13),"")</f>
        <v/>
      </c>
      <c r="AD6" s="44" t="str">
        <f>IF(AND('Mapa final'!$AI$14="Muy Alta",'Mapa final'!$AK$14="Mayor"),CONCATENATE("R1C",'Mapa final'!$Y$14),"")</f>
        <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final'!$AI$13="Muy Alta",'Mapa final'!$AK$13="Catastrófico"),CONCATENATE("R1C",'Mapa final'!$Y$13),"")</f>
        <v/>
      </c>
      <c r="AJ6" s="47" t="str">
        <f>IF(AND('Mapa final'!$AI$14="Muy Alta",'Mapa final'!$AK$14="Catastrófico"),CONCATENATE("R1C",'Mapa final'!$Y$14),"")</f>
        <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508" t="s">
        <v>134</v>
      </c>
      <c r="AP6" s="509"/>
      <c r="AQ6" s="509"/>
      <c r="AR6" s="509"/>
      <c r="AS6" s="509"/>
      <c r="AT6" s="51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406"/>
      <c r="C7" s="406"/>
      <c r="D7" s="407"/>
      <c r="E7" s="505"/>
      <c r="F7" s="504"/>
      <c r="G7" s="504"/>
      <c r="H7" s="504"/>
      <c r="I7" s="520"/>
      <c r="J7" s="49" t="str">
        <f>IF(AND('Mapa final'!$AI$15="Muy Alta",'Mapa final'!$AK$15="Leve"),CONCATENATE("R2C",'Mapa final'!$Y$15),"")</f>
        <v/>
      </c>
      <c r="K7" s="50" t="str">
        <f>IF(AND('Mapa final'!$AI$16="Muy Alta",'Mapa final'!$AK$16="Leve"),CONCATENATE("R2C",'Mapa final'!$Y$16),"")</f>
        <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final'!$AI$15="Muy Alta",'Mapa final'!$AK$15="Menor"),CONCATENATE("R2C",'Mapa final'!$Y$15),"")</f>
        <v/>
      </c>
      <c r="Q7" s="50" t="str">
        <f>IF(AND('Mapa final'!$AI$16="Muy Alta",'Mapa final'!$AK$16="Menor"),CONCATENATE("R2C",'Mapa final'!$Y$16),"")</f>
        <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final'!$AI$15="Muy Alta",'Mapa final'!$AK$15="Moderado"),CONCATENATE("R2C",'Mapa final'!$Y$15),"")</f>
        <v/>
      </c>
      <c r="W7" s="50" t="str">
        <f>IF(AND('Mapa final'!$AI$16="Muy Alta",'Mapa final'!$AK$16="Moderado"),CONCATENATE("R2C",'Mapa final'!$Y$16),"")</f>
        <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final'!$AI$15="Muy Alta",'Mapa final'!$AK$15="Mayor"),CONCATENATE("R2C",'Mapa final'!$Y$15),"")</f>
        <v/>
      </c>
      <c r="AC7" s="50" t="str">
        <f>IF(AND('Mapa final'!$AI$16="Muy Alta",'Mapa final'!$AK$16="Mayor"),CONCATENATE("R2C",'Mapa final'!$Y$16),"")</f>
        <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final'!$AI$15="Muy Alta",'Mapa final'!$AK$15="Catastrófico"),CONCATENATE("R2C",'Mapa final'!$Y$15),"")</f>
        <v/>
      </c>
      <c r="AI7" s="53" t="str">
        <f>IF(AND('Mapa final'!$AI$16="Muy Alta",'Mapa final'!$AK$16="Catastrófico"),CONCATENATE("R2C",'Mapa final'!$Y$16),"")</f>
        <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511"/>
      <c r="AP7" s="512"/>
      <c r="AQ7" s="512"/>
      <c r="AR7" s="512"/>
      <c r="AS7" s="512"/>
      <c r="AT7" s="513"/>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406"/>
      <c r="C8" s="406"/>
      <c r="D8" s="407"/>
      <c r="E8" s="505"/>
      <c r="F8" s="504"/>
      <c r="G8" s="504"/>
      <c r="H8" s="504"/>
      <c r="I8" s="520"/>
      <c r="J8" s="49" t="str">
        <f>IF(AND('Mapa final'!$AI$17="Muy Alta",'Mapa final'!$AK$17="Leve"),CONCATENATE("R3C",'Mapa final'!$Y$17),"")</f>
        <v/>
      </c>
      <c r="K8" s="50" t="str">
        <f>IF(AND('Mapa final'!$AI$18="Muy Alta",'Mapa final'!$AK$18="Leve"),CONCATENATE("R3C",'Mapa final'!$Y$18),"")</f>
        <v/>
      </c>
      <c r="L8" s="50" t="str">
        <f>IF(AND('Mapa final'!$AI$19="Muy Alta",'Mapa final'!$AK$19="Leve"),CONCATENATE("R3C",'Mapa final'!$Y$19),"")</f>
        <v/>
      </c>
      <c r="M8" s="50" t="str">
        <f>IF(AND('Mapa final'!$AI$20="Muy Alta",'Mapa final'!$AK$20="Leve"),CONCATENATE("R3C",'Mapa final'!$Y$20),"")</f>
        <v/>
      </c>
      <c r="N8" s="50" t="str">
        <f>IF(AND('Mapa final'!$AI$21="Muy Alta",'Mapa final'!$AK$21="Leve"),CONCATENATE("R3C",'Mapa final'!$Y$21),"")</f>
        <v/>
      </c>
      <c r="O8" s="51" t="str">
        <f>IF(AND('Mapa final'!$AI$22="Muy Alta",'Mapa final'!$AK$22="Leve"),CONCATENATE("R3C",'Mapa final'!$Y$22),"")</f>
        <v/>
      </c>
      <c r="P8" s="49" t="str">
        <f>IF(AND('Mapa final'!$AI$17="Muy Alta",'Mapa final'!$AK$17="Menor"),CONCATENATE("R3C",'Mapa final'!$Y$17),"")</f>
        <v/>
      </c>
      <c r="Q8" s="50" t="str">
        <f>IF(AND('Mapa final'!$AI$18="Muy Alta",'Mapa final'!$AK$18="Menor"),CONCATENATE("R3C",'Mapa final'!$Y$18),"")</f>
        <v/>
      </c>
      <c r="R8" s="50" t="str">
        <f>IF(AND('Mapa final'!$AI$19="Muy Alta",'Mapa final'!$AK$19="Menor"),CONCATENATE("R3C",'Mapa final'!$Y$19),"")</f>
        <v/>
      </c>
      <c r="S8" s="50" t="str">
        <f>IF(AND('Mapa final'!$AI$20="Muy Alta",'Mapa final'!$AK$20="Menor"),CONCATENATE("R3C",'Mapa final'!$Y$20),"")</f>
        <v/>
      </c>
      <c r="T8" s="50" t="str">
        <f>IF(AND('Mapa final'!$AI$21="Muy Alta",'Mapa final'!$AK$21="Menor"),CONCATENATE("R3C",'Mapa final'!$Y$21),"")</f>
        <v/>
      </c>
      <c r="U8" s="51" t="str">
        <f>IF(AND('Mapa final'!$AI$22="Muy Alta",'Mapa final'!$AK$22="Menor"),CONCATENATE("R3C",'Mapa final'!$Y$22),"")</f>
        <v/>
      </c>
      <c r="V8" s="49" t="str">
        <f>IF(AND('Mapa final'!$AI$17="Muy Alta",'Mapa final'!$AK$17="Moderado"),CONCATENATE("R3C",'Mapa final'!$Y$17),"")</f>
        <v/>
      </c>
      <c r="W8" s="50" t="str">
        <f>IF(AND('Mapa final'!$AI$18="Muy Alta",'Mapa final'!$AK$18="Moderado"),CONCATENATE("R3C",'Mapa final'!$Y$18),"")</f>
        <v/>
      </c>
      <c r="X8" s="50" t="str">
        <f>IF(AND('Mapa final'!$AI$19="Muy Alta",'Mapa final'!$AK$19="Moderado"),CONCATENATE("R3C",'Mapa final'!$Y$19),"")</f>
        <v/>
      </c>
      <c r="Y8" s="50" t="str">
        <f>IF(AND('Mapa final'!$AI$20="Muy Alta",'Mapa final'!$AK$20="Moderado"),CONCATENATE("R3C",'Mapa final'!$Y$20),"")</f>
        <v/>
      </c>
      <c r="Z8" s="50" t="str">
        <f>IF(AND('Mapa final'!$AI$21="Muy Alta",'Mapa final'!$AK$21="Moderado"),CONCATENATE("R3C",'Mapa final'!$Y$21),"")</f>
        <v/>
      </c>
      <c r="AA8" s="51" t="str">
        <f>IF(AND('Mapa final'!$AI$22="Muy Alta",'Mapa final'!$AK$22="Moderado"),CONCATENATE("R3C",'Mapa final'!$Y$22),"")</f>
        <v/>
      </c>
      <c r="AB8" s="49" t="str">
        <f>IF(AND('Mapa final'!$AI$17="Muy Alta",'Mapa final'!$AK$17="Mayor"),CONCATENATE("R3C",'Mapa final'!$Y$17),"")</f>
        <v/>
      </c>
      <c r="AC8" s="50" t="str">
        <f>IF(AND('Mapa final'!$AI$18="Muy Alta",'Mapa final'!$AK$18="Mayor"),CONCATENATE("R3C",'Mapa final'!$Y$18),"")</f>
        <v/>
      </c>
      <c r="AD8" s="50" t="str">
        <f>IF(AND('Mapa final'!$AI$19="Muy Alta",'Mapa final'!$AK$19="Mayor"),CONCATENATE("R3C",'Mapa final'!$Y$19),"")</f>
        <v/>
      </c>
      <c r="AE8" s="50" t="str">
        <f>IF(AND('Mapa final'!$AI$20="Muy Alta",'Mapa final'!$AK$20="Mayor"),CONCATENATE("R3C",'Mapa final'!$Y$20),"")</f>
        <v/>
      </c>
      <c r="AF8" s="50" t="str">
        <f>IF(AND('Mapa final'!$AI$21="Muy Alta",'Mapa final'!$AK$21="Mayor"),CONCATENATE("R3C",'Mapa final'!$Y$21),"")</f>
        <v/>
      </c>
      <c r="AG8" s="51" t="str">
        <f>IF(AND('Mapa final'!$AI$22="Muy Alta",'Mapa final'!$AK$22="Mayor"),CONCATENATE("R3C",'Mapa final'!$Y$22),"")</f>
        <v/>
      </c>
      <c r="AH8" s="52" t="str">
        <f>IF(AND('Mapa final'!$AI$17="Muy Alta",'Mapa final'!$AK$17="Catastrófico"),CONCATENATE("R3C",'Mapa final'!$Y$17),"")</f>
        <v/>
      </c>
      <c r="AI8" s="53" t="str">
        <f>IF(AND('Mapa final'!$AI$18="Muy Alta",'Mapa final'!$AK$18="Catastrófico"),CONCATENATE("R3C",'Mapa final'!$Y$18),"")</f>
        <v/>
      </c>
      <c r="AJ8" s="53" t="str">
        <f>IF(AND('Mapa final'!$AI$19="Muy Alta",'Mapa final'!$AK$19="Catastrófico"),CONCATENATE("R3C",'Mapa final'!$Y$19),"")</f>
        <v/>
      </c>
      <c r="AK8" s="53" t="str">
        <f>IF(AND('Mapa final'!$AI$20="Muy Alta",'Mapa final'!$AK$20="Catastrófico"),CONCATENATE("R3C",'Mapa final'!$Y$20),"")</f>
        <v/>
      </c>
      <c r="AL8" s="53" t="str">
        <f>IF(AND('Mapa final'!$AI$21="Muy Alta",'Mapa final'!$AK$21="Catastrófico"),CONCATENATE("R3C",'Mapa final'!$Y$21),"")</f>
        <v/>
      </c>
      <c r="AM8" s="54" t="str">
        <f>IF(AND('Mapa final'!$AI$22="Muy Alta",'Mapa final'!$AK$22="Catastrófico"),CONCATENATE("R3C",'Mapa final'!$Y$22),"")</f>
        <v/>
      </c>
      <c r="AN8" s="80"/>
      <c r="AO8" s="511"/>
      <c r="AP8" s="512"/>
      <c r="AQ8" s="512"/>
      <c r="AR8" s="512"/>
      <c r="AS8" s="512"/>
      <c r="AT8" s="513"/>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406"/>
      <c r="C9" s="406"/>
      <c r="D9" s="407"/>
      <c r="E9" s="505"/>
      <c r="F9" s="504"/>
      <c r="G9" s="504"/>
      <c r="H9" s="504"/>
      <c r="I9" s="520"/>
      <c r="J9" s="49" t="str">
        <f>IF(AND('Mapa final'!$AI$23="Muy Alta",'Mapa final'!$AK$23="Leve"),CONCATENATE("R4C",'Mapa final'!$Y$23),"")</f>
        <v/>
      </c>
      <c r="K9" s="50" t="str">
        <f>IF(AND('Mapa final'!$AI$24="Muy Alta",'Mapa final'!$AK$24="Leve"),CONCATENATE("R4C",'Mapa final'!$Y$24),"")</f>
        <v/>
      </c>
      <c r="L9" s="50" t="str">
        <f>IF(AND('Mapa final'!$AI$25="Muy Alta",'Mapa final'!$AK$25="Leve"),CONCATENATE("R4C",'Mapa final'!$Y$25),"")</f>
        <v/>
      </c>
      <c r="M9" s="50" t="str">
        <f>IF(AND('Mapa final'!$AI$26="Muy Alta",'Mapa final'!$AK$26="Leve"),CONCATENATE("R4C",'Mapa final'!$Y$26),"")</f>
        <v/>
      </c>
      <c r="N9" s="50" t="str">
        <f>IF(AND('Mapa final'!$AI$27="Muy Alta",'Mapa final'!$AK$27="Leve"),CONCATENATE("R4C",'Mapa final'!$Y$27),"")</f>
        <v/>
      </c>
      <c r="O9" s="51" t="str">
        <f>IF(AND('Mapa final'!$AI$28="Muy Alta",'Mapa final'!$AK$28="Leve"),CONCATENATE("R4C",'Mapa final'!$Y$28),"")</f>
        <v/>
      </c>
      <c r="P9" s="49" t="str">
        <f>IF(AND('Mapa final'!$AI$23="Muy Alta",'Mapa final'!$AK$23="Menor"),CONCATENATE("R4C",'Mapa final'!$Y$23),"")</f>
        <v/>
      </c>
      <c r="Q9" s="50" t="str">
        <f>IF(AND('Mapa final'!$AI$24="Muy Alta",'Mapa final'!$AK$24="Menor"),CONCATENATE("R4C",'Mapa final'!$Y$24),"")</f>
        <v/>
      </c>
      <c r="R9" s="50" t="str">
        <f>IF(AND('Mapa final'!$AI$25="Muy Alta",'Mapa final'!$AK$25="Menor"),CONCATENATE("R4C",'Mapa final'!$Y$25),"")</f>
        <v/>
      </c>
      <c r="S9" s="50" t="str">
        <f>IF(AND('Mapa final'!$AI$26="Muy Alta",'Mapa final'!$AK$26="Menor"),CONCATENATE("R4C",'Mapa final'!$Y$26),"")</f>
        <v/>
      </c>
      <c r="T9" s="50" t="str">
        <f>IF(AND('Mapa final'!$AI$27="Muy Alta",'Mapa final'!$AK$27="Menor"),CONCATENATE("R4C",'Mapa final'!$Y$27),"")</f>
        <v/>
      </c>
      <c r="U9" s="51" t="str">
        <f>IF(AND('Mapa final'!$AI$28="Muy Alta",'Mapa final'!$AK$28="Menor"),CONCATENATE("R4C",'Mapa final'!$Y$28),"")</f>
        <v/>
      </c>
      <c r="V9" s="49" t="str">
        <f>IF(AND('Mapa final'!$AI$23="Muy Alta",'Mapa final'!$AK$23="Moderado"),CONCATENATE("R4C",'Mapa final'!$Y$23),"")</f>
        <v/>
      </c>
      <c r="W9" s="50" t="str">
        <f>IF(AND('Mapa final'!$AI$24="Muy Alta",'Mapa final'!$AK$24="Moderado"),CONCATENATE("R4C",'Mapa final'!$Y$24),"")</f>
        <v/>
      </c>
      <c r="X9" s="50" t="str">
        <f>IF(AND('Mapa final'!$AI$25="Muy Alta",'Mapa final'!$AK$25="Moderado"),CONCATENATE("R4C",'Mapa final'!$Y$25),"")</f>
        <v/>
      </c>
      <c r="Y9" s="50" t="str">
        <f>IF(AND('Mapa final'!$AI$26="Muy Alta",'Mapa final'!$AK$26="Moderado"),CONCATENATE("R4C",'Mapa final'!$Y$26),"")</f>
        <v/>
      </c>
      <c r="Z9" s="50" t="str">
        <f>IF(AND('Mapa final'!$AI$27="Muy Alta",'Mapa final'!$AK$27="Moderado"),CONCATENATE("R4C",'Mapa final'!$Y$27),"")</f>
        <v/>
      </c>
      <c r="AA9" s="51" t="str">
        <f>IF(AND('Mapa final'!$AI$28="Muy Alta",'Mapa final'!$AK$28="Moderado"),CONCATENATE("R4C",'Mapa final'!$Y$28),"")</f>
        <v/>
      </c>
      <c r="AB9" s="49" t="str">
        <f>IF(AND('Mapa final'!$AI$23="Muy Alta",'Mapa final'!$AK$23="Mayor"),CONCATENATE("R4C",'Mapa final'!$Y$23),"")</f>
        <v/>
      </c>
      <c r="AC9" s="50" t="str">
        <f>IF(AND('Mapa final'!$AI$24="Muy Alta",'Mapa final'!$AK$24="Mayor"),CONCATENATE("R4C",'Mapa final'!$Y$24),"")</f>
        <v/>
      </c>
      <c r="AD9" s="50" t="str">
        <f>IF(AND('Mapa final'!$AI$25="Muy Alta",'Mapa final'!$AK$25="Mayor"),CONCATENATE("R4C",'Mapa final'!$Y$25),"")</f>
        <v/>
      </c>
      <c r="AE9" s="50" t="str">
        <f>IF(AND('Mapa final'!$AI$26="Muy Alta",'Mapa final'!$AK$26="Mayor"),CONCATENATE("R4C",'Mapa final'!$Y$26),"")</f>
        <v/>
      </c>
      <c r="AF9" s="50" t="str">
        <f>IF(AND('Mapa final'!$AI$27="Muy Alta",'Mapa final'!$AK$27="Mayor"),CONCATENATE("R4C",'Mapa final'!$Y$27),"")</f>
        <v/>
      </c>
      <c r="AG9" s="51" t="str">
        <f>IF(AND('Mapa final'!$AI$28="Muy Alta",'Mapa final'!$AK$28="Mayor"),CONCATENATE("R4C",'Mapa final'!$Y$28),"")</f>
        <v/>
      </c>
      <c r="AH9" s="52" t="str">
        <f>IF(AND('Mapa final'!$AI$23="Muy Alta",'Mapa final'!$AK$23="Catastrófico"),CONCATENATE("R4C",'Mapa final'!$Y$23),"")</f>
        <v/>
      </c>
      <c r="AI9" s="53" t="str">
        <f>IF(AND('Mapa final'!$AI$24="Muy Alta",'Mapa final'!$AK$24="Catastrófico"),CONCATENATE("R4C",'Mapa final'!$Y$24),"")</f>
        <v/>
      </c>
      <c r="AJ9" s="53" t="str">
        <f>IF(AND('Mapa final'!$AI$25="Muy Alta",'Mapa final'!$AK$25="Catastrófico"),CONCATENATE("R4C",'Mapa final'!$Y$25),"")</f>
        <v/>
      </c>
      <c r="AK9" s="53" t="str">
        <f>IF(AND('Mapa final'!$AI$26="Muy Alta",'Mapa final'!$AK$26="Catastrófico"),CONCATENATE("R4C",'Mapa final'!$Y$26),"")</f>
        <v/>
      </c>
      <c r="AL9" s="53" t="str">
        <f>IF(AND('Mapa final'!$AI$27="Muy Alta",'Mapa final'!$AK$27="Catastrófico"),CONCATENATE("R4C",'Mapa final'!$Y$27),"")</f>
        <v/>
      </c>
      <c r="AM9" s="54" t="str">
        <f>IF(AND('Mapa final'!$AI$28="Muy Alta",'Mapa final'!$AK$28="Catastrófico"),CONCATENATE("R4C",'Mapa final'!$Y$28),"")</f>
        <v/>
      </c>
      <c r="AN9" s="80"/>
      <c r="AO9" s="511"/>
      <c r="AP9" s="512"/>
      <c r="AQ9" s="512"/>
      <c r="AR9" s="512"/>
      <c r="AS9" s="512"/>
      <c r="AT9" s="513"/>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406"/>
      <c r="C10" s="406"/>
      <c r="D10" s="407"/>
      <c r="E10" s="505"/>
      <c r="F10" s="504"/>
      <c r="G10" s="504"/>
      <c r="H10" s="504"/>
      <c r="I10" s="520"/>
      <c r="J10" s="49" t="str">
        <f>IF(AND('Mapa final'!$AI$29="Muy Alta",'Mapa final'!$AK$29="Leve"),CONCATENATE("R5C",'Mapa final'!$Y$29),"")</f>
        <v/>
      </c>
      <c r="K10" s="50" t="str">
        <f>IF(AND('Mapa final'!$AI$30="Muy Alta",'Mapa final'!$AK$30="Leve"),CONCATENATE("R5C",'Mapa final'!$Y$30),"")</f>
        <v/>
      </c>
      <c r="L10" s="50" t="str">
        <f>IF(AND('Mapa final'!$AI$31="Muy Alta",'Mapa final'!$AK$31="Leve"),CONCATENATE("R5C",'Mapa final'!$Y$31),"")</f>
        <v/>
      </c>
      <c r="M10" s="50" t="str">
        <f>IF(AND('Mapa final'!$AI$32="Muy Alta",'Mapa final'!$AK$32="Leve"),CONCATENATE("R5C",'Mapa final'!$Y$32),"")</f>
        <v/>
      </c>
      <c r="N10" s="50" t="str">
        <f>IF(AND('Mapa final'!$AI$33="Muy Alta",'Mapa final'!$AK$33="Leve"),CONCATENATE("R5C",'Mapa final'!$Y$33),"")</f>
        <v/>
      </c>
      <c r="O10" s="51" t="str">
        <f>IF(AND('Mapa final'!$AI$34="Muy Alta",'Mapa final'!$AK$34="Leve"),CONCATENATE("R5C",'Mapa final'!$Y$34),"")</f>
        <v/>
      </c>
      <c r="P10" s="49" t="str">
        <f>IF(AND('Mapa final'!$AI$29="Muy Alta",'Mapa final'!$AK$29="Menor"),CONCATENATE("R5C",'Mapa final'!$Y$29),"")</f>
        <v/>
      </c>
      <c r="Q10" s="50" t="str">
        <f>IF(AND('Mapa final'!$AI$30="Muy Alta",'Mapa final'!$AK$30="Menor"),CONCATENATE("R5C",'Mapa final'!$Y$30),"")</f>
        <v/>
      </c>
      <c r="R10" s="50" t="str">
        <f>IF(AND('Mapa final'!$AI$31="Muy Alta",'Mapa final'!$AK$31="Menor"),CONCATENATE("R5C",'Mapa final'!$Y$31),"")</f>
        <v/>
      </c>
      <c r="S10" s="50" t="str">
        <f>IF(AND('Mapa final'!$AI$32="Muy Alta",'Mapa final'!$AK$32="Menor"),CONCATENATE("R5C",'Mapa final'!$Y$32),"")</f>
        <v/>
      </c>
      <c r="T10" s="50" t="str">
        <f>IF(AND('Mapa final'!$AI$33="Muy Alta",'Mapa final'!$AK$33="Menor"),CONCATENATE("R5C",'Mapa final'!$Y$33),"")</f>
        <v/>
      </c>
      <c r="U10" s="51" t="str">
        <f>IF(AND('Mapa final'!$AI$34="Muy Alta",'Mapa final'!$AK$34="Menor"),CONCATENATE("R5C",'Mapa final'!$Y$34),"")</f>
        <v/>
      </c>
      <c r="V10" s="49" t="str">
        <f>IF(AND('Mapa final'!$AI$29="Muy Alta",'Mapa final'!$AK$29="Moderado"),CONCATENATE("R5C",'Mapa final'!$Y$29),"")</f>
        <v/>
      </c>
      <c r="W10" s="50" t="str">
        <f>IF(AND('Mapa final'!$AI$30="Muy Alta",'Mapa final'!$AK$30="Moderado"),CONCATENATE("R5C",'Mapa final'!$Y$30),"")</f>
        <v/>
      </c>
      <c r="X10" s="50" t="str">
        <f>IF(AND('Mapa final'!$AI$31="Muy Alta",'Mapa final'!$AK$31="Moderado"),CONCATENATE("R5C",'Mapa final'!$Y$31),"")</f>
        <v/>
      </c>
      <c r="Y10" s="50" t="str">
        <f>IF(AND('Mapa final'!$AI$32="Muy Alta",'Mapa final'!$AK$32="Moderado"),CONCATENATE("R5C",'Mapa final'!$Y$32),"")</f>
        <v/>
      </c>
      <c r="Z10" s="50" t="str">
        <f>IF(AND('Mapa final'!$AI$33="Muy Alta",'Mapa final'!$AK$33="Moderado"),CONCATENATE("R5C",'Mapa final'!$Y$33),"")</f>
        <v/>
      </c>
      <c r="AA10" s="51" t="str">
        <f>IF(AND('Mapa final'!$AI$34="Muy Alta",'Mapa final'!$AK$34="Moderado"),CONCATENATE("R5C",'Mapa final'!$Y$34),"")</f>
        <v/>
      </c>
      <c r="AB10" s="49" t="str">
        <f>IF(AND('Mapa final'!$AI$29="Muy Alta",'Mapa final'!$AK$29="Mayor"),CONCATENATE("R5C",'Mapa final'!$Y$29),"")</f>
        <v/>
      </c>
      <c r="AC10" s="50" t="str">
        <f>IF(AND('Mapa final'!$AI$30="Muy Alta",'Mapa final'!$AK$30="Mayor"),CONCATENATE("R5C",'Mapa final'!$Y$30),"")</f>
        <v/>
      </c>
      <c r="AD10" s="50" t="str">
        <f>IF(AND('Mapa final'!$AI$31="Muy Alta",'Mapa final'!$AK$31="Mayor"),CONCATENATE("R5C",'Mapa final'!$Y$31),"")</f>
        <v/>
      </c>
      <c r="AE10" s="50" t="str">
        <f>IF(AND('Mapa final'!$AI$32="Muy Alta",'Mapa final'!$AK$32="Mayor"),CONCATENATE("R5C",'Mapa final'!$Y$32),"")</f>
        <v/>
      </c>
      <c r="AF10" s="50" t="str">
        <f>IF(AND('Mapa final'!$AI$33="Muy Alta",'Mapa final'!$AK$33="Mayor"),CONCATENATE("R5C",'Mapa final'!$Y$33),"")</f>
        <v/>
      </c>
      <c r="AG10" s="51" t="str">
        <f>IF(AND('Mapa final'!$AI$34="Muy Alta",'Mapa final'!$AK$34="Mayor"),CONCATENATE("R5C",'Mapa final'!$Y$34),"")</f>
        <v/>
      </c>
      <c r="AH10" s="52" t="str">
        <f>IF(AND('Mapa final'!$AI$29="Muy Alta",'Mapa final'!$AK$29="Catastrófico"),CONCATENATE("R5C",'Mapa final'!$Y$29),"")</f>
        <v/>
      </c>
      <c r="AI10" s="53" t="str">
        <f>IF(AND('Mapa final'!$AI$30="Muy Alta",'Mapa final'!$AK$30="Catastrófico"),CONCATENATE("R5C",'Mapa final'!$Y$30),"")</f>
        <v/>
      </c>
      <c r="AJ10" s="53" t="str">
        <f>IF(AND('Mapa final'!$AI$31="Muy Alta",'Mapa final'!$AK$31="Catastrófico"),CONCATENATE("R5C",'Mapa final'!$Y$31),"")</f>
        <v/>
      </c>
      <c r="AK10" s="53" t="str">
        <f>IF(AND('Mapa final'!$AI$32="Muy Alta",'Mapa final'!$AK$32="Catastrófico"),CONCATENATE("R5C",'Mapa final'!$Y$32),"")</f>
        <v/>
      </c>
      <c r="AL10" s="53" t="str">
        <f>IF(AND('Mapa final'!$AI$33="Muy Alta",'Mapa final'!$AK$33="Catastrófico"),CONCATENATE("R5C",'Mapa final'!$Y$33),"")</f>
        <v/>
      </c>
      <c r="AM10" s="54" t="str">
        <f>IF(AND('Mapa final'!$AI$34="Muy Alta",'Mapa final'!$AK$34="Catastrófico"),CONCATENATE("R5C",'Mapa final'!$Y$34),"")</f>
        <v/>
      </c>
      <c r="AN10" s="80"/>
      <c r="AO10" s="511"/>
      <c r="AP10" s="512"/>
      <c r="AQ10" s="512"/>
      <c r="AR10" s="512"/>
      <c r="AS10" s="512"/>
      <c r="AT10" s="513"/>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406"/>
      <c r="C11" s="406"/>
      <c r="D11" s="407"/>
      <c r="E11" s="505"/>
      <c r="F11" s="504"/>
      <c r="G11" s="504"/>
      <c r="H11" s="504"/>
      <c r="I11" s="520"/>
      <c r="J11" s="49" t="str">
        <f>IF(AND('Mapa final'!$AI$35="Muy Alta",'Mapa final'!$AK$35="Leve"),CONCATENATE("R6C",'Mapa final'!$Y$35),"")</f>
        <v/>
      </c>
      <c r="K11" s="50" t="str">
        <f>IF(AND('Mapa final'!$AI$36="Muy Alta",'Mapa final'!$AK$36="Leve"),CONCATENATE("R6C",'Mapa final'!$Y$36),"")</f>
        <v/>
      </c>
      <c r="L11" s="50" t="str">
        <f>IF(AND('Mapa final'!$AI$37="Muy Alta",'Mapa final'!$AK$37="Leve"),CONCATENATE("R6C",'Mapa final'!$Y$37),"")</f>
        <v/>
      </c>
      <c r="M11" s="50" t="str">
        <f>IF(AND('Mapa final'!$AI$38="Muy Alta",'Mapa final'!$AK$38="Leve"),CONCATENATE("R6C",'Mapa final'!$Y$38),"")</f>
        <v/>
      </c>
      <c r="N11" s="50" t="str">
        <f>IF(AND('Mapa final'!$AI$39="Muy Alta",'Mapa final'!$AK$39="Leve"),CONCATENATE("R6C",'Mapa final'!$Y$39),"")</f>
        <v/>
      </c>
      <c r="O11" s="51" t="str">
        <f>IF(AND('Mapa final'!$AI$40="Muy Alta",'Mapa final'!$AK$40="Leve"),CONCATENATE("R6C",'Mapa final'!$Y$40),"")</f>
        <v/>
      </c>
      <c r="P11" s="49" t="str">
        <f>IF(AND('Mapa final'!$AI$35="Muy Alta",'Mapa final'!$AK$35="Menor"),CONCATENATE("R6C",'Mapa final'!$Y$35),"")</f>
        <v/>
      </c>
      <c r="Q11" s="50" t="str">
        <f>IF(AND('Mapa final'!$AI$36="Muy Alta",'Mapa final'!$AK$36="Menor"),CONCATENATE("R6C",'Mapa final'!$Y$36),"")</f>
        <v/>
      </c>
      <c r="R11" s="50" t="str">
        <f>IF(AND('Mapa final'!$AI$37="Muy Alta",'Mapa final'!$AK$37="Menor"),CONCATENATE("R6C",'Mapa final'!$Y$37),"")</f>
        <v/>
      </c>
      <c r="S11" s="50" t="str">
        <f>IF(AND('Mapa final'!$AI$38="Muy Alta",'Mapa final'!$AK$38="Menor"),CONCATENATE("R6C",'Mapa final'!$Y$38),"")</f>
        <v/>
      </c>
      <c r="T11" s="50" t="str">
        <f>IF(AND('Mapa final'!$AI$39="Muy Alta",'Mapa final'!$AK$39="Menor"),CONCATENATE("R6C",'Mapa final'!$Y$39),"")</f>
        <v/>
      </c>
      <c r="U11" s="51" t="str">
        <f>IF(AND('Mapa final'!$AI$40="Muy Alta",'Mapa final'!$AK$40="Menor"),CONCATENATE("R6C",'Mapa final'!$Y$40),"")</f>
        <v/>
      </c>
      <c r="V11" s="49" t="str">
        <f>IF(AND('Mapa final'!$AI$35="Muy Alta",'Mapa final'!$AK$35="Moderado"),CONCATENATE("R6C",'Mapa final'!$Y$35),"")</f>
        <v/>
      </c>
      <c r="W11" s="50" t="str">
        <f>IF(AND('Mapa final'!$AI$36="Muy Alta",'Mapa final'!$AK$36="Moderado"),CONCATENATE("R6C",'Mapa final'!$Y$36),"")</f>
        <v/>
      </c>
      <c r="X11" s="50" t="str">
        <f>IF(AND('Mapa final'!$AI$37="Muy Alta",'Mapa final'!$AK$37="Moderado"),CONCATENATE("R6C",'Mapa final'!$Y$37),"")</f>
        <v/>
      </c>
      <c r="Y11" s="50" t="str">
        <f>IF(AND('Mapa final'!$AI$38="Muy Alta",'Mapa final'!$AK$38="Moderado"),CONCATENATE("R6C",'Mapa final'!$Y$38),"")</f>
        <v/>
      </c>
      <c r="Z11" s="50" t="str">
        <f>IF(AND('Mapa final'!$AI$39="Muy Alta",'Mapa final'!$AK$39="Moderado"),CONCATENATE("R6C",'Mapa final'!$Y$39),"")</f>
        <v/>
      </c>
      <c r="AA11" s="51" t="str">
        <f>IF(AND('Mapa final'!$AI$40="Muy Alta",'Mapa final'!$AK$40="Moderado"),CONCATENATE("R6C",'Mapa final'!$Y$40),"")</f>
        <v/>
      </c>
      <c r="AB11" s="49" t="str">
        <f>IF(AND('Mapa final'!$AI$35="Muy Alta",'Mapa final'!$AK$35="Mayor"),CONCATENATE("R6C",'Mapa final'!$Y$35),"")</f>
        <v/>
      </c>
      <c r="AC11" s="50" t="str">
        <f>IF(AND('Mapa final'!$AI$36="Muy Alta",'Mapa final'!$AK$36="Mayor"),CONCATENATE("R6C",'Mapa final'!$Y$36),"")</f>
        <v/>
      </c>
      <c r="AD11" s="50" t="str">
        <f>IF(AND('Mapa final'!$AI$37="Muy Alta",'Mapa final'!$AK$37="Mayor"),CONCATENATE("R6C",'Mapa final'!$Y$37),"")</f>
        <v/>
      </c>
      <c r="AE11" s="50" t="str">
        <f>IF(AND('Mapa final'!$AI$38="Muy Alta",'Mapa final'!$AK$38="Mayor"),CONCATENATE("R6C",'Mapa final'!$Y$38),"")</f>
        <v/>
      </c>
      <c r="AF11" s="50" t="str">
        <f>IF(AND('Mapa final'!$AI$39="Muy Alta",'Mapa final'!$AK$39="Mayor"),CONCATENATE("R6C",'Mapa final'!$Y$39),"")</f>
        <v/>
      </c>
      <c r="AG11" s="51" t="str">
        <f>IF(AND('Mapa final'!$AI$40="Muy Alta",'Mapa final'!$AK$40="Mayor"),CONCATENATE("R6C",'Mapa final'!$Y$40),"")</f>
        <v/>
      </c>
      <c r="AH11" s="52" t="str">
        <f>IF(AND('Mapa final'!$AI$35="Muy Alta",'Mapa final'!$AK$35="Catastrófico"),CONCATENATE("R6C",'Mapa final'!$Y$35),"")</f>
        <v/>
      </c>
      <c r="AI11" s="53" t="str">
        <f>IF(AND('Mapa final'!$AI$36="Muy Alta",'Mapa final'!$AK$36="Catastrófico"),CONCATENATE("R6C",'Mapa final'!$Y$36),"")</f>
        <v/>
      </c>
      <c r="AJ11" s="53" t="str">
        <f>IF(AND('Mapa final'!$AI$37="Muy Alta",'Mapa final'!$AK$37="Catastrófico"),CONCATENATE("R6C",'Mapa final'!$Y$37),"")</f>
        <v/>
      </c>
      <c r="AK11" s="53" t="str">
        <f>IF(AND('Mapa final'!$AI$38="Muy Alta",'Mapa final'!$AK$38="Catastrófico"),CONCATENATE("R6C",'Mapa final'!$Y$38),"")</f>
        <v/>
      </c>
      <c r="AL11" s="53" t="str">
        <f>IF(AND('Mapa final'!$AI$39="Muy Alta",'Mapa final'!$AK$39="Catastrófico"),CONCATENATE("R6C",'Mapa final'!$Y$39),"")</f>
        <v/>
      </c>
      <c r="AM11" s="54" t="str">
        <f>IF(AND('Mapa final'!$AI$40="Muy Alta",'Mapa final'!$AK$40="Catastrófico"),CONCATENATE("R6C",'Mapa final'!$Y$40),"")</f>
        <v/>
      </c>
      <c r="AN11" s="80"/>
      <c r="AO11" s="511"/>
      <c r="AP11" s="512"/>
      <c r="AQ11" s="512"/>
      <c r="AR11" s="512"/>
      <c r="AS11" s="512"/>
      <c r="AT11" s="513"/>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406"/>
      <c r="C12" s="406"/>
      <c r="D12" s="407"/>
      <c r="E12" s="505"/>
      <c r="F12" s="504"/>
      <c r="G12" s="504"/>
      <c r="H12" s="504"/>
      <c r="I12" s="520"/>
      <c r="J12" s="49" t="str">
        <f>IF(AND('Mapa final'!$AI$41="Muy Alta",'Mapa final'!$AK$41="Leve"),CONCATENATE("R7C",'Mapa final'!$Y$41),"")</f>
        <v/>
      </c>
      <c r="K12" s="50" t="str">
        <f>IF(AND('Mapa final'!$AI$42="Muy Alta",'Mapa final'!$AK$42="Leve"),CONCATENATE("R7C",'Mapa final'!$Y$42),"")</f>
        <v/>
      </c>
      <c r="L12" s="50" t="str">
        <f>IF(AND('Mapa final'!$AI$43="Muy Alta",'Mapa final'!$AK$43="Leve"),CONCATENATE("R7C",'Mapa final'!$Y$43),"")</f>
        <v/>
      </c>
      <c r="M12" s="50" t="str">
        <f>IF(AND('Mapa final'!$AI$44="Muy Alta",'Mapa final'!$AK$44="Leve"),CONCATENATE("R7C",'Mapa final'!$Y$44),"")</f>
        <v/>
      </c>
      <c r="N12" s="50" t="str">
        <f>IF(AND('Mapa final'!$AI$45="Muy Alta",'Mapa final'!$AK$45="Leve"),CONCATENATE("R7C",'Mapa final'!$Y$45),"")</f>
        <v/>
      </c>
      <c r="O12" s="51" t="str">
        <f>IF(AND('Mapa final'!$AI$46="Muy Alta",'Mapa final'!$AK$46="Leve"),CONCATENATE("R7C",'Mapa final'!$Y$46),"")</f>
        <v/>
      </c>
      <c r="P12" s="49" t="str">
        <f>IF(AND('Mapa final'!$AI$41="Muy Alta",'Mapa final'!$AK$41="Menor"),CONCATENATE("R7C",'Mapa final'!$Y$41),"")</f>
        <v/>
      </c>
      <c r="Q12" s="50" t="str">
        <f>IF(AND('Mapa final'!$AI$42="Muy Alta",'Mapa final'!$AK$42="Menor"),CONCATENATE("R7C",'Mapa final'!$Y$42),"")</f>
        <v/>
      </c>
      <c r="R12" s="50" t="str">
        <f>IF(AND('Mapa final'!$AI$43="Muy Alta",'Mapa final'!$AK$43="Menor"),CONCATENATE("R7C",'Mapa final'!$Y$43),"")</f>
        <v/>
      </c>
      <c r="S12" s="50" t="str">
        <f>IF(AND('Mapa final'!$AI$44="Muy Alta",'Mapa final'!$AK$44="Menor"),CONCATENATE("R7C",'Mapa final'!$Y$44),"")</f>
        <v/>
      </c>
      <c r="T12" s="50" t="str">
        <f>IF(AND('Mapa final'!$AI$45="Muy Alta",'Mapa final'!$AK$45="Menor"),CONCATENATE("R7C",'Mapa final'!$Y$45),"")</f>
        <v/>
      </c>
      <c r="U12" s="51" t="str">
        <f>IF(AND('Mapa final'!$AI$46="Muy Alta",'Mapa final'!$AK$46="Menor"),CONCATENATE("R7C",'Mapa final'!$Y$46),"")</f>
        <v/>
      </c>
      <c r="V12" s="49" t="str">
        <f>IF(AND('Mapa final'!$AI$41="Muy Alta",'Mapa final'!$AK$41="Moderado"),CONCATENATE("R7C",'Mapa final'!$Y$41),"")</f>
        <v/>
      </c>
      <c r="W12" s="50" t="str">
        <f>IF(AND('Mapa final'!$AI$42="Muy Alta",'Mapa final'!$AK$42="Moderado"),CONCATENATE("R7C",'Mapa final'!$Y$42),"")</f>
        <v/>
      </c>
      <c r="X12" s="50" t="str">
        <f>IF(AND('Mapa final'!$AI$43="Muy Alta",'Mapa final'!$AK$43="Moderado"),CONCATENATE("R7C",'Mapa final'!$Y$43),"")</f>
        <v/>
      </c>
      <c r="Y12" s="50" t="str">
        <f>IF(AND('Mapa final'!$AI$44="Muy Alta",'Mapa final'!$AK$44="Moderado"),CONCATENATE("R7C",'Mapa final'!$Y$44),"")</f>
        <v/>
      </c>
      <c r="Z12" s="50" t="str">
        <f>IF(AND('Mapa final'!$AI$45="Muy Alta",'Mapa final'!$AK$45="Moderado"),CONCATENATE("R7C",'Mapa final'!$Y$45),"")</f>
        <v/>
      </c>
      <c r="AA12" s="51" t="str">
        <f>IF(AND('Mapa final'!$AI$46="Muy Alta",'Mapa final'!$AK$46="Moderado"),CONCATENATE("R7C",'Mapa final'!$Y$46),"")</f>
        <v/>
      </c>
      <c r="AB12" s="49" t="str">
        <f>IF(AND('Mapa final'!$AI$41="Muy Alta",'Mapa final'!$AK$41="Mayor"),CONCATENATE("R7C",'Mapa final'!$Y$41),"")</f>
        <v/>
      </c>
      <c r="AC12" s="50" t="str">
        <f>IF(AND('Mapa final'!$AI$42="Muy Alta",'Mapa final'!$AK$42="Mayor"),CONCATENATE("R7C",'Mapa final'!$Y$42),"")</f>
        <v/>
      </c>
      <c r="AD12" s="50" t="str">
        <f>IF(AND('Mapa final'!$AI$43="Muy Alta",'Mapa final'!$AK$43="Mayor"),CONCATENATE("R7C",'Mapa final'!$Y$43),"")</f>
        <v/>
      </c>
      <c r="AE12" s="50" t="str">
        <f>IF(AND('Mapa final'!$AI$44="Muy Alta",'Mapa final'!$AK$44="Mayor"),CONCATENATE("R7C",'Mapa final'!$Y$44),"")</f>
        <v/>
      </c>
      <c r="AF12" s="50" t="str">
        <f>IF(AND('Mapa final'!$AI$45="Muy Alta",'Mapa final'!$AK$45="Mayor"),CONCATENATE("R7C",'Mapa final'!$Y$45),"")</f>
        <v/>
      </c>
      <c r="AG12" s="51" t="str">
        <f>IF(AND('Mapa final'!$AI$46="Muy Alta",'Mapa final'!$AK$46="Mayor"),CONCATENATE("R7C",'Mapa final'!$Y$46),"")</f>
        <v/>
      </c>
      <c r="AH12" s="52" t="str">
        <f>IF(AND('Mapa final'!$AI$41="Muy Alta",'Mapa final'!$AK$41="Catastrófico"),CONCATENATE("R7C",'Mapa final'!$Y$41),"")</f>
        <v/>
      </c>
      <c r="AI12" s="53" t="str">
        <f>IF(AND('Mapa final'!$AI$42="Muy Alta",'Mapa final'!$AK$42="Catastrófico"),CONCATENATE("R7C",'Mapa final'!$Y$42),"")</f>
        <v/>
      </c>
      <c r="AJ12" s="53" t="str">
        <f>IF(AND('Mapa final'!$AI$43="Muy Alta",'Mapa final'!$AK$43="Catastrófico"),CONCATENATE("R7C",'Mapa final'!$Y$43),"")</f>
        <v/>
      </c>
      <c r="AK12" s="53" t="str">
        <f>IF(AND('Mapa final'!$AI$44="Muy Alta",'Mapa final'!$AK$44="Catastrófico"),CONCATENATE("R7C",'Mapa final'!$Y$44),"")</f>
        <v/>
      </c>
      <c r="AL12" s="53" t="str">
        <f>IF(AND('Mapa final'!$AI$45="Muy Alta",'Mapa final'!$AK$45="Catastrófico"),CONCATENATE("R7C",'Mapa final'!$Y$45),"")</f>
        <v/>
      </c>
      <c r="AM12" s="54" t="str">
        <f>IF(AND('Mapa final'!$AI$46="Muy Alta",'Mapa final'!$AK$46="Catastrófico"),CONCATENATE("R7C",'Mapa final'!$Y$46),"")</f>
        <v/>
      </c>
      <c r="AN12" s="80"/>
      <c r="AO12" s="511"/>
      <c r="AP12" s="512"/>
      <c r="AQ12" s="512"/>
      <c r="AR12" s="512"/>
      <c r="AS12" s="512"/>
      <c r="AT12" s="513"/>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406"/>
      <c r="C13" s="406"/>
      <c r="D13" s="407"/>
      <c r="E13" s="505"/>
      <c r="F13" s="504"/>
      <c r="G13" s="504"/>
      <c r="H13" s="504"/>
      <c r="I13" s="520"/>
      <c r="J13" s="49" t="str">
        <f>IF(AND('Mapa final'!$AI$47="Muy Alta",'Mapa final'!$AK$47="Leve"),CONCATENATE("R8C",'Mapa final'!$Y$47),"")</f>
        <v/>
      </c>
      <c r="K13" s="50" t="str">
        <f>IF(AND('Mapa final'!$AI$48="Muy Alta",'Mapa final'!$AK$48="Leve"),CONCATENATE("R8C",'Mapa final'!$Y$48),"")</f>
        <v/>
      </c>
      <c r="L13" s="50" t="str">
        <f>IF(AND('Mapa final'!$AI$49="Muy Alta",'Mapa final'!$AK$49="Leve"),CONCATENATE("R8C",'Mapa final'!$Y$49),"")</f>
        <v/>
      </c>
      <c r="M13" s="50" t="str">
        <f>IF(AND('Mapa final'!$AI$50="Muy Alta",'Mapa final'!$AK$50="Leve"),CONCATENATE("R8C",'Mapa final'!$Y$50),"")</f>
        <v/>
      </c>
      <c r="N13" s="50" t="str">
        <f>IF(AND('Mapa final'!$AI$51="Muy Alta",'Mapa final'!$AK$51="Leve"),CONCATENATE("R8C",'Mapa final'!$Y$51),"")</f>
        <v/>
      </c>
      <c r="O13" s="51" t="str">
        <f>IF(AND('Mapa final'!$AI$52="Muy Alta",'Mapa final'!$AK$52="Leve"),CONCATENATE("R8C",'Mapa final'!$Y$52),"")</f>
        <v/>
      </c>
      <c r="P13" s="49" t="str">
        <f>IF(AND('Mapa final'!$AI$47="Muy Alta",'Mapa final'!$AK$47="Menor"),CONCATENATE("R8C",'Mapa final'!$Y$47),"")</f>
        <v/>
      </c>
      <c r="Q13" s="50" t="str">
        <f>IF(AND('Mapa final'!$AI$48="Muy Alta",'Mapa final'!$AK$48="Menor"),CONCATENATE("R8C",'Mapa final'!$Y$48),"")</f>
        <v/>
      </c>
      <c r="R13" s="50" t="str">
        <f>IF(AND('Mapa final'!$AI$49="Muy Alta",'Mapa final'!$AK$49="Menor"),CONCATENATE("R8C",'Mapa final'!$Y$49),"")</f>
        <v/>
      </c>
      <c r="S13" s="50" t="str">
        <f>IF(AND('Mapa final'!$AI$50="Muy Alta",'Mapa final'!$AK$50="Menor"),CONCATENATE("R8C",'Mapa final'!$Y$50),"")</f>
        <v/>
      </c>
      <c r="T13" s="50" t="str">
        <f>IF(AND('Mapa final'!$AI$51="Muy Alta",'Mapa final'!$AK$51="Menor"),CONCATENATE("R8C",'Mapa final'!$Y$51),"")</f>
        <v/>
      </c>
      <c r="U13" s="51" t="str">
        <f>IF(AND('Mapa final'!$AI$52="Muy Alta",'Mapa final'!$AK$52="Menor"),CONCATENATE("R8C",'Mapa final'!$Y$52),"")</f>
        <v/>
      </c>
      <c r="V13" s="49" t="str">
        <f>IF(AND('Mapa final'!$AI$47="Muy Alta",'Mapa final'!$AK$47="Moderado"),CONCATENATE("R8C",'Mapa final'!$Y$47),"")</f>
        <v/>
      </c>
      <c r="W13" s="50" t="str">
        <f>IF(AND('Mapa final'!$AI$48="Muy Alta",'Mapa final'!$AK$48="Moderado"),CONCATENATE("R8C",'Mapa final'!$Y$48),"")</f>
        <v/>
      </c>
      <c r="X13" s="50" t="str">
        <f>IF(AND('Mapa final'!$AI$49="Muy Alta",'Mapa final'!$AK$49="Moderado"),CONCATENATE("R8C",'Mapa final'!$Y$49),"")</f>
        <v/>
      </c>
      <c r="Y13" s="50" t="str">
        <f>IF(AND('Mapa final'!$AI$50="Muy Alta",'Mapa final'!$AK$50="Moderado"),CONCATENATE("R8C",'Mapa final'!$Y$50),"")</f>
        <v/>
      </c>
      <c r="Z13" s="50" t="str">
        <f>IF(AND('Mapa final'!$AI$51="Muy Alta",'Mapa final'!$AK$51="Moderado"),CONCATENATE("R8C",'Mapa final'!$Y$51),"")</f>
        <v/>
      </c>
      <c r="AA13" s="51" t="str">
        <f>IF(AND('Mapa final'!$AI$52="Muy Alta",'Mapa final'!$AK$52="Moderado"),CONCATENATE("R8C",'Mapa final'!$Y$52),"")</f>
        <v/>
      </c>
      <c r="AB13" s="49" t="str">
        <f>IF(AND('Mapa final'!$AI$47="Muy Alta",'Mapa final'!$AK$47="Mayor"),CONCATENATE("R8C",'Mapa final'!$Y$47),"")</f>
        <v/>
      </c>
      <c r="AC13" s="50" t="str">
        <f>IF(AND('Mapa final'!$AI$48="Muy Alta",'Mapa final'!$AK$48="Mayor"),CONCATENATE("R8C",'Mapa final'!$Y$48),"")</f>
        <v/>
      </c>
      <c r="AD13" s="50" t="str">
        <f>IF(AND('Mapa final'!$AI$49="Muy Alta",'Mapa final'!$AK$49="Mayor"),CONCATENATE("R8C",'Mapa final'!$Y$49),"")</f>
        <v/>
      </c>
      <c r="AE13" s="50" t="str">
        <f>IF(AND('Mapa final'!$AI$50="Muy Alta",'Mapa final'!$AK$50="Mayor"),CONCATENATE("R8C",'Mapa final'!$Y$50),"")</f>
        <v/>
      </c>
      <c r="AF13" s="50" t="str">
        <f>IF(AND('Mapa final'!$AI$51="Muy Alta",'Mapa final'!$AK$51="Mayor"),CONCATENATE("R8C",'Mapa final'!$Y$51),"")</f>
        <v/>
      </c>
      <c r="AG13" s="51" t="str">
        <f>IF(AND('Mapa final'!$AI$52="Muy Alta",'Mapa final'!$AK$52="Mayor"),CONCATENATE("R8C",'Mapa final'!$Y$52),"")</f>
        <v/>
      </c>
      <c r="AH13" s="52" t="str">
        <f>IF(AND('Mapa final'!$AI$47="Muy Alta",'Mapa final'!$AK$47="Catastrófico"),CONCATENATE("R8C",'Mapa final'!$Y$47),"")</f>
        <v/>
      </c>
      <c r="AI13" s="53" t="str">
        <f>IF(AND('Mapa final'!$AI$48="Muy Alta",'Mapa final'!$AK$48="Catastrófico"),CONCATENATE("R8C",'Mapa final'!$Y$48),"")</f>
        <v/>
      </c>
      <c r="AJ13" s="53" t="str">
        <f>IF(AND('Mapa final'!$AI$49="Muy Alta",'Mapa final'!$AK$49="Catastrófico"),CONCATENATE("R8C",'Mapa final'!$Y$49),"")</f>
        <v/>
      </c>
      <c r="AK13" s="53" t="str">
        <f>IF(AND('Mapa final'!$AI$50="Muy Alta",'Mapa final'!$AK$50="Catastrófico"),CONCATENATE("R8C",'Mapa final'!$Y$50),"")</f>
        <v/>
      </c>
      <c r="AL13" s="53" t="str">
        <f>IF(AND('Mapa final'!$AI$51="Muy Alta",'Mapa final'!$AK$51="Catastrófico"),CONCATENATE("R8C",'Mapa final'!$Y$51),"")</f>
        <v/>
      </c>
      <c r="AM13" s="54" t="str">
        <f>IF(AND('Mapa final'!$AI$52="Muy Alta",'Mapa final'!$AK$52="Catastrófico"),CONCATENATE("R8C",'Mapa final'!$Y$52),"")</f>
        <v/>
      </c>
      <c r="AN13" s="80"/>
      <c r="AO13" s="511"/>
      <c r="AP13" s="512"/>
      <c r="AQ13" s="512"/>
      <c r="AR13" s="512"/>
      <c r="AS13" s="512"/>
      <c r="AT13" s="513"/>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406"/>
      <c r="C14" s="406"/>
      <c r="D14" s="407"/>
      <c r="E14" s="505"/>
      <c r="F14" s="504"/>
      <c r="G14" s="504"/>
      <c r="H14" s="504"/>
      <c r="I14" s="520"/>
      <c r="J14" s="49" t="str">
        <f>IF(AND('Mapa final'!$AI$53="Muy Alta",'Mapa final'!$AK$53="Leve"),CONCATENATE("R9C",'Mapa final'!$Y$53),"")</f>
        <v/>
      </c>
      <c r="K14" s="50" t="str">
        <f>IF(AND('Mapa final'!$AI$54="Muy Alta",'Mapa final'!$AK$54="Leve"),CONCATENATE("R9C",'Mapa final'!$Y$54),"")</f>
        <v/>
      </c>
      <c r="L14" s="50" t="str">
        <f>IF(AND('Mapa final'!$AI$55="Muy Alta",'Mapa final'!$AK$55="Leve"),CONCATENATE("R9C",'Mapa final'!$Y$55),"")</f>
        <v/>
      </c>
      <c r="M14" s="50" t="str">
        <f>IF(AND('Mapa final'!$AI$56="Muy Alta",'Mapa final'!$AK$56="Leve"),CONCATENATE("R9C",'Mapa final'!$Y$56),"")</f>
        <v/>
      </c>
      <c r="N14" s="50" t="str">
        <f>IF(AND('Mapa final'!$AI$57="Muy Alta",'Mapa final'!$AK$57="Leve"),CONCATENATE("R9C",'Mapa final'!$Y$57),"")</f>
        <v/>
      </c>
      <c r="O14" s="51" t="str">
        <f>IF(AND('Mapa final'!$AI$58="Muy Alta",'Mapa final'!$AK$58="Leve"),CONCATENATE("R9C",'Mapa final'!$Y$58),"")</f>
        <v/>
      </c>
      <c r="P14" s="49" t="str">
        <f>IF(AND('Mapa final'!$AI$53="Muy Alta",'Mapa final'!$AK$53="Menor"),CONCATENATE("R9C",'Mapa final'!$Y$53),"")</f>
        <v/>
      </c>
      <c r="Q14" s="50" t="str">
        <f>IF(AND('Mapa final'!$AI$54="Muy Alta",'Mapa final'!$AK$54="Menor"),CONCATENATE("R9C",'Mapa final'!$Y$54),"")</f>
        <v/>
      </c>
      <c r="R14" s="50" t="str">
        <f>IF(AND('Mapa final'!$AI$55="Muy Alta",'Mapa final'!$AK$55="Menor"),CONCATENATE("R9C",'Mapa final'!$Y$55),"")</f>
        <v/>
      </c>
      <c r="S14" s="50" t="str">
        <f>IF(AND('Mapa final'!$AI$56="Muy Alta",'Mapa final'!$AK$56="Menor"),CONCATENATE("R9C",'Mapa final'!$Y$56),"")</f>
        <v/>
      </c>
      <c r="T14" s="50" t="str">
        <f>IF(AND('Mapa final'!$AI$57="Muy Alta",'Mapa final'!$AK$57="Menor"),CONCATENATE("R9C",'Mapa final'!$Y$57),"")</f>
        <v/>
      </c>
      <c r="U14" s="51" t="str">
        <f>IF(AND('Mapa final'!$AI$58="Muy Alta",'Mapa final'!$AK$58="Menor"),CONCATENATE("R9C",'Mapa final'!$Y$58),"")</f>
        <v/>
      </c>
      <c r="V14" s="49" t="str">
        <f>IF(AND('Mapa final'!$AI$53="Muy Alta",'Mapa final'!$AK$53="Moderado"),CONCATENATE("R9C",'Mapa final'!$Y$53),"")</f>
        <v/>
      </c>
      <c r="W14" s="50" t="str">
        <f>IF(AND('Mapa final'!$AI$54="Muy Alta",'Mapa final'!$AK$54="Moderado"),CONCATENATE("R9C",'Mapa final'!$Y$54),"")</f>
        <v/>
      </c>
      <c r="X14" s="50" t="str">
        <f>IF(AND('Mapa final'!$AI$55="Muy Alta",'Mapa final'!$AK$55="Moderado"),CONCATENATE("R9C",'Mapa final'!$Y$55),"")</f>
        <v/>
      </c>
      <c r="Y14" s="50" t="str">
        <f>IF(AND('Mapa final'!$AI$56="Muy Alta",'Mapa final'!$AK$56="Moderado"),CONCATENATE("R9C",'Mapa final'!$Y$56),"")</f>
        <v/>
      </c>
      <c r="Z14" s="50" t="str">
        <f>IF(AND('Mapa final'!$AI$57="Muy Alta",'Mapa final'!$AK$57="Moderado"),CONCATENATE("R9C",'Mapa final'!$Y$57),"")</f>
        <v/>
      </c>
      <c r="AA14" s="51" t="str">
        <f>IF(AND('Mapa final'!$AI$58="Muy Alta",'Mapa final'!$AK$58="Moderado"),CONCATENATE("R9C",'Mapa final'!$Y$58),"")</f>
        <v/>
      </c>
      <c r="AB14" s="49" t="str">
        <f>IF(AND('Mapa final'!$AI$53="Muy Alta",'Mapa final'!$AK$53="Mayor"),CONCATENATE("R9C",'Mapa final'!$Y$53),"")</f>
        <v/>
      </c>
      <c r="AC14" s="50" t="str">
        <f>IF(AND('Mapa final'!$AI$54="Muy Alta",'Mapa final'!$AK$54="Mayor"),CONCATENATE("R9C",'Mapa final'!$Y$54),"")</f>
        <v/>
      </c>
      <c r="AD14" s="50" t="str">
        <f>IF(AND('Mapa final'!$AI$55="Muy Alta",'Mapa final'!$AK$55="Mayor"),CONCATENATE("R9C",'Mapa final'!$Y$55),"")</f>
        <v/>
      </c>
      <c r="AE14" s="50" t="str">
        <f>IF(AND('Mapa final'!$AI$56="Muy Alta",'Mapa final'!$AK$56="Mayor"),CONCATENATE("R9C",'Mapa final'!$Y$56),"")</f>
        <v/>
      </c>
      <c r="AF14" s="50" t="str">
        <f>IF(AND('Mapa final'!$AI$57="Muy Alta",'Mapa final'!$AK$57="Mayor"),CONCATENATE("R9C",'Mapa final'!$Y$57),"")</f>
        <v/>
      </c>
      <c r="AG14" s="51" t="str">
        <f>IF(AND('Mapa final'!$AI$58="Muy Alta",'Mapa final'!$AK$58="Mayor"),CONCATENATE("R9C",'Mapa final'!$Y$58),"")</f>
        <v/>
      </c>
      <c r="AH14" s="52" t="str">
        <f>IF(AND('Mapa final'!$AI$53="Muy Alta",'Mapa final'!$AK$53="Catastrófico"),CONCATENATE("R9C",'Mapa final'!$Y$53),"")</f>
        <v/>
      </c>
      <c r="AI14" s="53" t="str">
        <f>IF(AND('Mapa final'!$AI$54="Muy Alta",'Mapa final'!$AK$54="Catastrófico"),CONCATENATE("R9C",'Mapa final'!$Y$54),"")</f>
        <v/>
      </c>
      <c r="AJ14" s="53" t="str">
        <f>IF(AND('Mapa final'!$AI$55="Muy Alta",'Mapa final'!$AK$55="Catastrófico"),CONCATENATE("R9C",'Mapa final'!$Y$55),"")</f>
        <v/>
      </c>
      <c r="AK14" s="53" t="str">
        <f>IF(AND('Mapa final'!$AI$56="Muy Alta",'Mapa final'!$AK$56="Catastrófico"),CONCATENATE("R9C",'Mapa final'!$Y$56),"")</f>
        <v/>
      </c>
      <c r="AL14" s="53" t="str">
        <f>IF(AND('Mapa final'!$AI$57="Muy Alta",'Mapa final'!$AK$57="Catastrófico"),CONCATENATE("R9C",'Mapa final'!$Y$57),"")</f>
        <v/>
      </c>
      <c r="AM14" s="54" t="str">
        <f>IF(AND('Mapa final'!$AI$58="Muy Alta",'Mapa final'!$AK$58="Catastrófico"),CONCATENATE("R9C",'Mapa final'!$Y$58),"")</f>
        <v/>
      </c>
      <c r="AN14" s="80"/>
      <c r="AO14" s="511"/>
      <c r="AP14" s="512"/>
      <c r="AQ14" s="512"/>
      <c r="AR14" s="512"/>
      <c r="AS14" s="512"/>
      <c r="AT14" s="513"/>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406"/>
      <c r="C15" s="406"/>
      <c r="D15" s="407"/>
      <c r="E15" s="506"/>
      <c r="F15" s="507"/>
      <c r="G15" s="507"/>
      <c r="H15" s="507"/>
      <c r="I15" s="521"/>
      <c r="J15" s="55" t="str">
        <f>IF(AND('Mapa final'!$AI$59="Muy Alta",'Mapa final'!$AK$59="Leve"),CONCATENATE("R10C",'Mapa final'!$Y$59),"")</f>
        <v/>
      </c>
      <c r="K15" s="56" t="str">
        <f>IF(AND('Mapa final'!$AI$60="Muy Alta",'Mapa final'!$AK$60="Leve"),CONCATENATE("R10C",'Mapa final'!$Y$60),"")</f>
        <v/>
      </c>
      <c r="L15" s="56" t="str">
        <f>IF(AND('Mapa final'!$AI$61="Muy Alta",'Mapa final'!$AK$61="Leve"),CONCATENATE("R10C",'Mapa final'!$Y$61),"")</f>
        <v/>
      </c>
      <c r="M15" s="56" t="str">
        <f>IF(AND('Mapa final'!$AI$62="Muy Alta",'Mapa final'!$AK$62="Leve"),CONCATENATE("R10C",'Mapa final'!$Y$62),"")</f>
        <v/>
      </c>
      <c r="N15" s="56" t="str">
        <f>IF(AND('Mapa final'!$AI$63="Muy Alta",'Mapa final'!$AK$63="Leve"),CONCATENATE("R10C",'Mapa final'!$Y$63),"")</f>
        <v/>
      </c>
      <c r="O15" s="57" t="str">
        <f>IF(AND('Mapa final'!$AI$64="Muy Alta",'Mapa final'!$AK$64="Leve"),CONCATENATE("R10C",'Mapa final'!$Y$64),"")</f>
        <v/>
      </c>
      <c r="P15" s="49" t="str">
        <f>IF(AND('Mapa final'!$AI$59="Muy Alta",'Mapa final'!$AK$59="Menor"),CONCATENATE("R10C",'Mapa final'!$Y$59),"")</f>
        <v/>
      </c>
      <c r="Q15" s="50" t="str">
        <f>IF(AND('Mapa final'!$AI$60="Muy Alta",'Mapa final'!$AK$60="Menor"),CONCATENATE("R10C",'Mapa final'!$Y$60),"")</f>
        <v/>
      </c>
      <c r="R15" s="50" t="str">
        <f>IF(AND('Mapa final'!$AI$61="Muy Alta",'Mapa final'!$AK$61="Menor"),CONCATENATE("R10C",'Mapa final'!$Y$61),"")</f>
        <v/>
      </c>
      <c r="S15" s="50" t="str">
        <f>IF(AND('Mapa final'!$AI$62="Muy Alta",'Mapa final'!$AK$62="Menor"),CONCATENATE("R10C",'Mapa final'!$Y$62),"")</f>
        <v/>
      </c>
      <c r="T15" s="50" t="str">
        <f>IF(AND('Mapa final'!$AI$63="Muy Alta",'Mapa final'!$AK$63="Menor"),CONCATENATE("R10C",'Mapa final'!$Y$63),"")</f>
        <v/>
      </c>
      <c r="U15" s="51" t="str">
        <f>IF(AND('Mapa final'!$AI$64="Muy Alta",'Mapa final'!$AK$64="Menor"),CONCATENATE("R10C",'Mapa final'!$Y$64),"")</f>
        <v/>
      </c>
      <c r="V15" s="55" t="str">
        <f>IF(AND('Mapa final'!$AI$59="Muy Alta",'Mapa final'!$AK$59="Moderado"),CONCATENATE("R10C",'Mapa final'!$Y$59),"")</f>
        <v/>
      </c>
      <c r="W15" s="56" t="str">
        <f>IF(AND('Mapa final'!$AI$60="Muy Alta",'Mapa final'!$AK$60="Moderado"),CONCATENATE("R10C",'Mapa final'!$Y$60),"")</f>
        <v/>
      </c>
      <c r="X15" s="56" t="str">
        <f>IF(AND('Mapa final'!$AI$61="Muy Alta",'Mapa final'!$AK$61="Moderado"),CONCATENATE("R10C",'Mapa final'!$Y$61),"")</f>
        <v/>
      </c>
      <c r="Y15" s="56" t="str">
        <f>IF(AND('Mapa final'!$AI$62="Muy Alta",'Mapa final'!$AK$62="Moderado"),CONCATENATE("R10C",'Mapa final'!$Y$62),"")</f>
        <v/>
      </c>
      <c r="Z15" s="56" t="str">
        <f>IF(AND('Mapa final'!$AI$63="Muy Alta",'Mapa final'!$AK$63="Moderado"),CONCATENATE("R10C",'Mapa final'!$Y$63),"")</f>
        <v/>
      </c>
      <c r="AA15" s="57" t="str">
        <f>IF(AND('Mapa final'!$AI$64="Muy Alta",'Mapa final'!$AK$64="Moderado"),CONCATENATE("R10C",'Mapa final'!$Y$64),"")</f>
        <v/>
      </c>
      <c r="AB15" s="49" t="str">
        <f>IF(AND('Mapa final'!$AI$59="Muy Alta",'Mapa final'!$AK$59="Mayor"),CONCATENATE("R10C",'Mapa final'!$Y$59),"")</f>
        <v/>
      </c>
      <c r="AC15" s="50" t="str">
        <f>IF(AND('Mapa final'!$AI$60="Muy Alta",'Mapa final'!$AK$60="Mayor"),CONCATENATE("R10C",'Mapa final'!$Y$60),"")</f>
        <v/>
      </c>
      <c r="AD15" s="50" t="str">
        <f>IF(AND('Mapa final'!$AI$61="Muy Alta",'Mapa final'!$AK$61="Mayor"),CONCATENATE("R10C",'Mapa final'!$Y$61),"")</f>
        <v/>
      </c>
      <c r="AE15" s="50" t="str">
        <f>IF(AND('Mapa final'!$AI$62="Muy Alta",'Mapa final'!$AK$62="Mayor"),CONCATENATE("R10C",'Mapa final'!$Y$62),"")</f>
        <v/>
      </c>
      <c r="AF15" s="50" t="str">
        <f>IF(AND('Mapa final'!$AI$63="Muy Alta",'Mapa final'!$AK$63="Mayor"),CONCATENATE("R10C",'Mapa final'!$Y$63),"")</f>
        <v/>
      </c>
      <c r="AG15" s="51" t="str">
        <f>IF(AND('Mapa final'!$AI$64="Muy Alta",'Mapa final'!$AK$64="Mayor"),CONCATENATE("R10C",'Mapa final'!$Y$64),"")</f>
        <v/>
      </c>
      <c r="AH15" s="58" t="str">
        <f>IF(AND('Mapa final'!$AI$59="Muy Alta",'Mapa final'!$AK$59="Catastrófico"),CONCATENATE("R10C",'Mapa final'!$Y$59),"")</f>
        <v/>
      </c>
      <c r="AI15" s="59" t="str">
        <f>IF(AND('Mapa final'!$AI$60="Muy Alta",'Mapa final'!$AK$60="Catastrófico"),CONCATENATE("R10C",'Mapa final'!$Y$60),"")</f>
        <v/>
      </c>
      <c r="AJ15" s="59" t="str">
        <f>IF(AND('Mapa final'!$AI$61="Muy Alta",'Mapa final'!$AK$61="Catastrófico"),CONCATENATE("R10C",'Mapa final'!$Y$61),"")</f>
        <v/>
      </c>
      <c r="AK15" s="59" t="str">
        <f>IF(AND('Mapa final'!$AI$62="Muy Alta",'Mapa final'!$AK$62="Catastrófico"),CONCATENATE("R10C",'Mapa final'!$Y$62),"")</f>
        <v/>
      </c>
      <c r="AL15" s="59" t="str">
        <f>IF(AND('Mapa final'!$AI$63="Muy Alta",'Mapa final'!$AK$63="Catastrófico"),CONCATENATE("R10C",'Mapa final'!$Y$63),"")</f>
        <v/>
      </c>
      <c r="AM15" s="60" t="str">
        <f>IF(AND('Mapa final'!$AI$64="Muy Alta",'Mapa final'!$AK$64="Catastrófico"),CONCATENATE("R10C",'Mapa final'!$Y$64),"")</f>
        <v/>
      </c>
      <c r="AN15" s="80"/>
      <c r="AO15" s="514"/>
      <c r="AP15" s="515"/>
      <c r="AQ15" s="515"/>
      <c r="AR15" s="515"/>
      <c r="AS15" s="515"/>
      <c r="AT15" s="516"/>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406"/>
      <c r="C16" s="406"/>
      <c r="D16" s="407"/>
      <c r="E16" s="501" t="s">
        <v>135</v>
      </c>
      <c r="F16" s="502"/>
      <c r="G16" s="502"/>
      <c r="H16" s="502"/>
      <c r="I16" s="502"/>
      <c r="J16" s="61" t="str">
        <f>IF(AND('Mapa final'!$AI$11="Alta",'Mapa final'!$AK$11="Leve"),CONCATENATE("R1C",'Mapa final'!$Y$11),"")</f>
        <v/>
      </c>
      <c r="K16" s="62" t="str">
        <f>IF(AND('Mapa final'!$AI$13="Alta",'Mapa final'!$AK$13="Leve"),CONCATENATE("R1C",'Mapa final'!$Y$13),"")</f>
        <v/>
      </c>
      <c r="L16" s="62" t="str">
        <f>IF(AND('Mapa final'!$AI$14="Alta",'Mapa final'!$AK$14="Leve"),CONCATENATE("R1C",'Mapa final'!$Y$14),"")</f>
        <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final'!$AI$13="Alta",'Mapa final'!$AK$13="Menor"),CONCATENATE("R1C",'Mapa final'!$Y$13),"")</f>
        <v/>
      </c>
      <c r="R16" s="62" t="str">
        <f>IF(AND('Mapa final'!$AI$14="Alta",'Mapa final'!$AK$14="Menor"),CONCATENATE("R1C",'Mapa final'!$Y$14),"")</f>
        <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final'!$AI$13="Alta",'Mapa final'!$AK$13="Moderado"),CONCATENATE("R1C",'Mapa final'!$Y$13),"")</f>
        <v/>
      </c>
      <c r="X16" s="44" t="str">
        <f>IF(AND('Mapa final'!$AI$14="Alta",'Mapa final'!$AK$14="Moderado"),CONCATENATE("R1C",'Mapa final'!$Y$14),"")</f>
        <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final'!$AI$13="Alta",'Mapa final'!$AK$13="Mayor"),CONCATENATE("R1C",'Mapa final'!$Y$13),"")</f>
        <v/>
      </c>
      <c r="AD16" s="44" t="str">
        <f>IF(AND('Mapa final'!$AI$14="Alta",'Mapa final'!$AK$14="Mayor"),CONCATENATE("R1C",'Mapa final'!$Y$14),"")</f>
        <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final'!$AI$13="Alta",'Mapa final'!$AK$13="Catastrófico"),CONCATENATE("R1C",'Mapa final'!$Y$13),"")</f>
        <v/>
      </c>
      <c r="AJ16" s="47" t="str">
        <f>IF(AND('Mapa final'!$AI$14="Alta",'Mapa final'!$AK$14="Catastrófico"),CONCATENATE("R1C",'Mapa final'!$Y$14),"")</f>
        <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92" t="s">
        <v>136</v>
      </c>
      <c r="AP16" s="493"/>
      <c r="AQ16" s="493"/>
      <c r="AR16" s="493"/>
      <c r="AS16" s="493"/>
      <c r="AT16" s="494"/>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406"/>
      <c r="C17" s="406"/>
      <c r="D17" s="407"/>
      <c r="E17" s="503"/>
      <c r="F17" s="504"/>
      <c r="G17" s="504"/>
      <c r="H17" s="504"/>
      <c r="I17" s="504"/>
      <c r="J17" s="64" t="str">
        <f>IF(AND('Mapa final'!$AI$15="Alta",'Mapa final'!$AK$15="Leve"),CONCATENATE("R2C",'Mapa final'!$Y$15),"")</f>
        <v/>
      </c>
      <c r="K17" s="65" t="str">
        <f>IF(AND('Mapa final'!$AI$16="Alta",'Mapa final'!$AK$16="Leve"),CONCATENATE("R2C",'Mapa final'!$Y$16),"")</f>
        <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final'!$AI$15="Alta",'Mapa final'!$AK$15="Menor"),CONCATENATE("R2C",'Mapa final'!$Y$15),"")</f>
        <v/>
      </c>
      <c r="Q17" s="65" t="str">
        <f>IF(AND('Mapa final'!$AI$16="Alta",'Mapa final'!$AK$16="Menor"),CONCATENATE("R2C",'Mapa final'!$Y$16),"")</f>
        <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final'!$AI$15="Alta",'Mapa final'!$AK$15="Moderado"),CONCATENATE("R2C",'Mapa final'!$Y$15),"")</f>
        <v/>
      </c>
      <c r="W17" s="50" t="str">
        <f>IF(AND('Mapa final'!$AI$16="Alta",'Mapa final'!$AK$16="Moderado"),CONCATENATE("R2C",'Mapa final'!$Y$16),"")</f>
        <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final'!$AI$15="Alta",'Mapa final'!$AK$15="Mayor"),CONCATENATE("R2C",'Mapa final'!$Y$15),"")</f>
        <v/>
      </c>
      <c r="AC17" s="50" t="str">
        <f>IF(AND('Mapa final'!$AI$16="Alta",'Mapa final'!$AK$16="Mayor"),CONCATENATE("R2C",'Mapa final'!$Y$16),"")</f>
        <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final'!$AI$15="Alta",'Mapa final'!$AK$15="Catastrófico"),CONCATENATE("R2C",'Mapa final'!$Y$15),"")</f>
        <v/>
      </c>
      <c r="AI17" s="53" t="str">
        <f>IF(AND('Mapa final'!$AI$16="Alta",'Mapa final'!$AK$16="Catastrófico"),CONCATENATE("R2C",'Mapa final'!$Y$16),"")</f>
        <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95"/>
      <c r="AP17" s="496"/>
      <c r="AQ17" s="496"/>
      <c r="AR17" s="496"/>
      <c r="AS17" s="496"/>
      <c r="AT17" s="497"/>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406"/>
      <c r="C18" s="406"/>
      <c r="D18" s="407"/>
      <c r="E18" s="505"/>
      <c r="F18" s="504"/>
      <c r="G18" s="504"/>
      <c r="H18" s="504"/>
      <c r="I18" s="504"/>
      <c r="J18" s="64" t="str">
        <f>IF(AND('Mapa final'!$AI$17="Alta",'Mapa final'!$AK$17="Leve"),CONCATENATE("R3C",'Mapa final'!$Y$17),"")</f>
        <v/>
      </c>
      <c r="K18" s="65" t="str">
        <f>IF(AND('Mapa final'!$AI$18="Alta",'Mapa final'!$AK$18="Leve"),CONCATENATE("R3C",'Mapa final'!$Y$18),"")</f>
        <v/>
      </c>
      <c r="L18" s="65" t="str">
        <f>IF(AND('Mapa final'!$AI$19="Alta",'Mapa final'!$AK$19="Leve"),CONCATENATE("R3C",'Mapa final'!$Y$19),"")</f>
        <v/>
      </c>
      <c r="M18" s="65" t="str">
        <f>IF(AND('Mapa final'!$AI$20="Alta",'Mapa final'!$AK$20="Leve"),CONCATENATE("R3C",'Mapa final'!$Y$20),"")</f>
        <v/>
      </c>
      <c r="N18" s="65" t="str">
        <f>IF(AND('Mapa final'!$AI$21="Alta",'Mapa final'!$AK$21="Leve"),CONCATENATE("R3C",'Mapa final'!$Y$21),"")</f>
        <v/>
      </c>
      <c r="O18" s="66" t="str">
        <f>IF(AND('Mapa final'!$AI$22="Alta",'Mapa final'!$AK$22="Leve"),CONCATENATE("R3C",'Mapa final'!$Y$22),"")</f>
        <v/>
      </c>
      <c r="P18" s="64" t="str">
        <f>IF(AND('Mapa final'!$AI$17="Alta",'Mapa final'!$AK$17="Menor"),CONCATENATE("R3C",'Mapa final'!$Y$17),"")</f>
        <v/>
      </c>
      <c r="Q18" s="65" t="str">
        <f>IF(AND('Mapa final'!$AI$18="Alta",'Mapa final'!$AK$18="Menor"),CONCATENATE("R3C",'Mapa final'!$Y$18),"")</f>
        <v/>
      </c>
      <c r="R18" s="65" t="str">
        <f>IF(AND('Mapa final'!$AI$19="Alta",'Mapa final'!$AK$19="Menor"),CONCATENATE("R3C",'Mapa final'!$Y$19),"")</f>
        <v/>
      </c>
      <c r="S18" s="65" t="str">
        <f>IF(AND('Mapa final'!$AI$20="Alta",'Mapa final'!$AK$20="Menor"),CONCATENATE("R3C",'Mapa final'!$Y$20),"")</f>
        <v/>
      </c>
      <c r="T18" s="65" t="str">
        <f>IF(AND('Mapa final'!$AI$21="Alta",'Mapa final'!$AK$21="Menor"),CONCATENATE("R3C",'Mapa final'!$Y$21),"")</f>
        <v/>
      </c>
      <c r="U18" s="66" t="str">
        <f>IF(AND('Mapa final'!$AI$22="Alta",'Mapa final'!$AK$22="Menor"),CONCATENATE("R3C",'Mapa final'!$Y$22),"")</f>
        <v/>
      </c>
      <c r="V18" s="49" t="str">
        <f>IF(AND('Mapa final'!$AI$17="Alta",'Mapa final'!$AK$17="Moderado"),CONCATENATE("R3C",'Mapa final'!$Y$17),"")</f>
        <v/>
      </c>
      <c r="W18" s="50" t="str">
        <f>IF(AND('Mapa final'!$AI$18="Alta",'Mapa final'!$AK$18="Moderado"),CONCATENATE("R3C",'Mapa final'!$Y$18),"")</f>
        <v/>
      </c>
      <c r="X18" s="50" t="str">
        <f>IF(AND('Mapa final'!$AI$19="Alta",'Mapa final'!$AK$19="Moderado"),CONCATENATE("R3C",'Mapa final'!$Y$19),"")</f>
        <v/>
      </c>
      <c r="Y18" s="50" t="str">
        <f>IF(AND('Mapa final'!$AI$20="Alta",'Mapa final'!$AK$20="Moderado"),CONCATENATE("R3C",'Mapa final'!$Y$20),"")</f>
        <v/>
      </c>
      <c r="Z18" s="50" t="str">
        <f>IF(AND('Mapa final'!$AI$21="Alta",'Mapa final'!$AK$21="Moderado"),CONCATENATE("R3C",'Mapa final'!$Y$21),"")</f>
        <v/>
      </c>
      <c r="AA18" s="51" t="str">
        <f>IF(AND('Mapa final'!$AI$22="Alta",'Mapa final'!$AK$22="Moderado"),CONCATENATE("R3C",'Mapa final'!$Y$22),"")</f>
        <v/>
      </c>
      <c r="AB18" s="49" t="str">
        <f>IF(AND('Mapa final'!$AI$17="Alta",'Mapa final'!$AK$17="Mayor"),CONCATENATE("R3C",'Mapa final'!$Y$17),"")</f>
        <v/>
      </c>
      <c r="AC18" s="50" t="str">
        <f>IF(AND('Mapa final'!$AI$18="Alta",'Mapa final'!$AK$18="Mayor"),CONCATENATE("R3C",'Mapa final'!$Y$18),"")</f>
        <v/>
      </c>
      <c r="AD18" s="50" t="str">
        <f>IF(AND('Mapa final'!$AI$19="Alta",'Mapa final'!$AK$19="Mayor"),CONCATENATE("R3C",'Mapa final'!$Y$19),"")</f>
        <v/>
      </c>
      <c r="AE18" s="50" t="str">
        <f>IF(AND('Mapa final'!$AI$20="Alta",'Mapa final'!$AK$20="Mayor"),CONCATENATE("R3C",'Mapa final'!$Y$20),"")</f>
        <v/>
      </c>
      <c r="AF18" s="50" t="str">
        <f>IF(AND('Mapa final'!$AI$21="Alta",'Mapa final'!$AK$21="Mayor"),CONCATENATE("R3C",'Mapa final'!$Y$21),"")</f>
        <v/>
      </c>
      <c r="AG18" s="51" t="str">
        <f>IF(AND('Mapa final'!$AI$22="Alta",'Mapa final'!$AK$22="Mayor"),CONCATENATE("R3C",'Mapa final'!$Y$22),"")</f>
        <v/>
      </c>
      <c r="AH18" s="52" t="str">
        <f>IF(AND('Mapa final'!$AI$17="Alta",'Mapa final'!$AK$17="Catastrófico"),CONCATENATE("R3C",'Mapa final'!$Y$17),"")</f>
        <v/>
      </c>
      <c r="AI18" s="53" t="str">
        <f>IF(AND('Mapa final'!$AI$18="Alta",'Mapa final'!$AK$18="Catastrófico"),CONCATENATE("R3C",'Mapa final'!$Y$18),"")</f>
        <v/>
      </c>
      <c r="AJ18" s="53" t="str">
        <f>IF(AND('Mapa final'!$AI$19="Alta",'Mapa final'!$AK$19="Catastrófico"),CONCATENATE("R3C",'Mapa final'!$Y$19),"")</f>
        <v/>
      </c>
      <c r="AK18" s="53" t="str">
        <f>IF(AND('Mapa final'!$AI$20="Alta",'Mapa final'!$AK$20="Catastrófico"),CONCATENATE("R3C",'Mapa final'!$Y$20),"")</f>
        <v/>
      </c>
      <c r="AL18" s="53" t="str">
        <f>IF(AND('Mapa final'!$AI$21="Alta",'Mapa final'!$AK$21="Catastrófico"),CONCATENATE("R3C",'Mapa final'!$Y$21),"")</f>
        <v/>
      </c>
      <c r="AM18" s="54" t="str">
        <f>IF(AND('Mapa final'!$AI$22="Alta",'Mapa final'!$AK$22="Catastrófico"),CONCATENATE("R3C",'Mapa final'!$Y$22),"")</f>
        <v/>
      </c>
      <c r="AN18" s="80"/>
      <c r="AO18" s="495"/>
      <c r="AP18" s="496"/>
      <c r="AQ18" s="496"/>
      <c r="AR18" s="496"/>
      <c r="AS18" s="496"/>
      <c r="AT18" s="497"/>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406"/>
      <c r="C19" s="406"/>
      <c r="D19" s="407"/>
      <c r="E19" s="505"/>
      <c r="F19" s="504"/>
      <c r="G19" s="504"/>
      <c r="H19" s="504"/>
      <c r="I19" s="504"/>
      <c r="J19" s="64" t="str">
        <f>IF(AND('Mapa final'!$AI$23="Alta",'Mapa final'!$AK$23="Leve"),CONCATENATE("R4C",'Mapa final'!$Y$23),"")</f>
        <v/>
      </c>
      <c r="K19" s="65" t="str">
        <f>IF(AND('Mapa final'!$AI$24="Alta",'Mapa final'!$AK$24="Leve"),CONCATENATE("R4C",'Mapa final'!$Y$24),"")</f>
        <v/>
      </c>
      <c r="L19" s="65" t="str">
        <f>IF(AND('Mapa final'!$AI$25="Alta",'Mapa final'!$AK$25="Leve"),CONCATENATE("R4C",'Mapa final'!$Y$25),"")</f>
        <v/>
      </c>
      <c r="M19" s="65" t="str">
        <f>IF(AND('Mapa final'!$AI$26="Alta",'Mapa final'!$AK$26="Leve"),CONCATENATE("R4C",'Mapa final'!$Y$26),"")</f>
        <v/>
      </c>
      <c r="N19" s="65" t="str">
        <f>IF(AND('Mapa final'!$AI$27="Alta",'Mapa final'!$AK$27="Leve"),CONCATENATE("R4C",'Mapa final'!$Y$27),"")</f>
        <v/>
      </c>
      <c r="O19" s="66" t="str">
        <f>IF(AND('Mapa final'!$AI$28="Alta",'Mapa final'!$AK$28="Leve"),CONCATENATE("R4C",'Mapa final'!$Y$28),"")</f>
        <v/>
      </c>
      <c r="P19" s="64" t="str">
        <f>IF(AND('Mapa final'!$AI$23="Alta",'Mapa final'!$AK$23="Menor"),CONCATENATE("R4C",'Mapa final'!$Y$23),"")</f>
        <v/>
      </c>
      <c r="Q19" s="65" t="str">
        <f>IF(AND('Mapa final'!$AI$24="Alta",'Mapa final'!$AK$24="Menor"),CONCATENATE("R4C",'Mapa final'!$Y$24),"")</f>
        <v/>
      </c>
      <c r="R19" s="65" t="str">
        <f>IF(AND('Mapa final'!$AI$25="Alta",'Mapa final'!$AK$25="Menor"),CONCATENATE("R4C",'Mapa final'!$Y$25),"")</f>
        <v/>
      </c>
      <c r="S19" s="65" t="str">
        <f>IF(AND('Mapa final'!$AI$26="Alta",'Mapa final'!$AK$26="Menor"),CONCATENATE("R4C",'Mapa final'!$Y$26),"")</f>
        <v/>
      </c>
      <c r="T19" s="65" t="str">
        <f>IF(AND('Mapa final'!$AI$27="Alta",'Mapa final'!$AK$27="Menor"),CONCATENATE("R4C",'Mapa final'!$Y$27),"")</f>
        <v/>
      </c>
      <c r="U19" s="66" t="str">
        <f>IF(AND('Mapa final'!$AI$28="Alta",'Mapa final'!$AK$28="Menor"),CONCATENATE("R4C",'Mapa final'!$Y$28),"")</f>
        <v/>
      </c>
      <c r="V19" s="49" t="str">
        <f>IF(AND('Mapa final'!$AI$23="Alta",'Mapa final'!$AK$23="Moderado"),CONCATENATE("R4C",'Mapa final'!$Y$23),"")</f>
        <v/>
      </c>
      <c r="W19" s="50" t="str">
        <f>IF(AND('Mapa final'!$AI$24="Alta",'Mapa final'!$AK$24="Moderado"),CONCATENATE("R4C",'Mapa final'!$Y$24),"")</f>
        <v/>
      </c>
      <c r="X19" s="50" t="str">
        <f>IF(AND('Mapa final'!$AI$25="Alta",'Mapa final'!$AK$25="Moderado"),CONCATENATE("R4C",'Mapa final'!$Y$25),"")</f>
        <v/>
      </c>
      <c r="Y19" s="50" t="str">
        <f>IF(AND('Mapa final'!$AI$26="Alta",'Mapa final'!$AK$26="Moderado"),CONCATENATE("R4C",'Mapa final'!$Y$26),"")</f>
        <v/>
      </c>
      <c r="Z19" s="50" t="str">
        <f>IF(AND('Mapa final'!$AI$27="Alta",'Mapa final'!$AK$27="Moderado"),CONCATENATE("R4C",'Mapa final'!$Y$27),"")</f>
        <v/>
      </c>
      <c r="AA19" s="51" t="str">
        <f>IF(AND('Mapa final'!$AI$28="Alta",'Mapa final'!$AK$28="Moderado"),CONCATENATE("R4C",'Mapa final'!$Y$28),"")</f>
        <v/>
      </c>
      <c r="AB19" s="49" t="str">
        <f>IF(AND('Mapa final'!$AI$23="Alta",'Mapa final'!$AK$23="Mayor"),CONCATENATE("R4C",'Mapa final'!$Y$23),"")</f>
        <v/>
      </c>
      <c r="AC19" s="50" t="str">
        <f>IF(AND('Mapa final'!$AI$24="Alta",'Mapa final'!$AK$24="Mayor"),CONCATENATE("R4C",'Mapa final'!$Y$24),"")</f>
        <v/>
      </c>
      <c r="AD19" s="50" t="str">
        <f>IF(AND('Mapa final'!$AI$25="Alta",'Mapa final'!$AK$25="Mayor"),CONCATENATE("R4C",'Mapa final'!$Y$25),"")</f>
        <v/>
      </c>
      <c r="AE19" s="50" t="str">
        <f>IF(AND('Mapa final'!$AI$26="Alta",'Mapa final'!$AK$26="Mayor"),CONCATENATE("R4C",'Mapa final'!$Y$26),"")</f>
        <v/>
      </c>
      <c r="AF19" s="50" t="str">
        <f>IF(AND('Mapa final'!$AI$27="Alta",'Mapa final'!$AK$27="Mayor"),CONCATENATE("R4C",'Mapa final'!$Y$27),"")</f>
        <v/>
      </c>
      <c r="AG19" s="51" t="str">
        <f>IF(AND('Mapa final'!$AI$28="Alta",'Mapa final'!$AK$28="Mayor"),CONCATENATE("R4C",'Mapa final'!$Y$28),"")</f>
        <v/>
      </c>
      <c r="AH19" s="52" t="str">
        <f>IF(AND('Mapa final'!$AI$23="Alta",'Mapa final'!$AK$23="Catastrófico"),CONCATENATE("R4C",'Mapa final'!$Y$23),"")</f>
        <v/>
      </c>
      <c r="AI19" s="53" t="str">
        <f>IF(AND('Mapa final'!$AI$24="Alta",'Mapa final'!$AK$24="Catastrófico"),CONCATENATE("R4C",'Mapa final'!$Y$24),"")</f>
        <v/>
      </c>
      <c r="AJ19" s="53" t="str">
        <f>IF(AND('Mapa final'!$AI$25="Alta",'Mapa final'!$AK$25="Catastrófico"),CONCATENATE("R4C",'Mapa final'!$Y$25),"")</f>
        <v/>
      </c>
      <c r="AK19" s="53" t="str">
        <f>IF(AND('Mapa final'!$AI$26="Alta",'Mapa final'!$AK$26="Catastrófico"),CONCATENATE("R4C",'Mapa final'!$Y$26),"")</f>
        <v/>
      </c>
      <c r="AL19" s="53" t="str">
        <f>IF(AND('Mapa final'!$AI$27="Alta",'Mapa final'!$AK$27="Catastrófico"),CONCATENATE("R4C",'Mapa final'!$Y$27),"")</f>
        <v/>
      </c>
      <c r="AM19" s="54" t="str">
        <f>IF(AND('Mapa final'!$AI$28="Alta",'Mapa final'!$AK$28="Catastrófico"),CONCATENATE("R4C",'Mapa final'!$Y$28),"")</f>
        <v/>
      </c>
      <c r="AN19" s="80"/>
      <c r="AO19" s="495"/>
      <c r="AP19" s="496"/>
      <c r="AQ19" s="496"/>
      <c r="AR19" s="496"/>
      <c r="AS19" s="496"/>
      <c r="AT19" s="497"/>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406"/>
      <c r="C20" s="406"/>
      <c r="D20" s="407"/>
      <c r="E20" s="505"/>
      <c r="F20" s="504"/>
      <c r="G20" s="504"/>
      <c r="H20" s="504"/>
      <c r="I20" s="504"/>
      <c r="J20" s="64" t="str">
        <f>IF(AND('Mapa final'!$AI$29="Alta",'Mapa final'!$AK$29="Leve"),CONCATENATE("R5C",'Mapa final'!$Y$29),"")</f>
        <v/>
      </c>
      <c r="K20" s="65" t="str">
        <f>IF(AND('Mapa final'!$AI$30="Alta",'Mapa final'!$AK$30="Leve"),CONCATENATE("R5C",'Mapa final'!$Y$30),"")</f>
        <v/>
      </c>
      <c r="L20" s="65" t="str">
        <f>IF(AND('Mapa final'!$AI$31="Alta",'Mapa final'!$AK$31="Leve"),CONCATENATE("R5C",'Mapa final'!$Y$31),"")</f>
        <v/>
      </c>
      <c r="M20" s="65" t="str">
        <f>IF(AND('Mapa final'!$AI$32="Alta",'Mapa final'!$AK$32="Leve"),CONCATENATE("R5C",'Mapa final'!$Y$32),"")</f>
        <v/>
      </c>
      <c r="N20" s="65" t="str">
        <f>IF(AND('Mapa final'!$AI$33="Alta",'Mapa final'!$AK$33="Leve"),CONCATENATE("R5C",'Mapa final'!$Y$33),"")</f>
        <v/>
      </c>
      <c r="O20" s="66" t="str">
        <f>IF(AND('Mapa final'!$AI$34="Alta",'Mapa final'!$AK$34="Leve"),CONCATENATE("R5C",'Mapa final'!$Y$34),"")</f>
        <v/>
      </c>
      <c r="P20" s="64" t="str">
        <f>IF(AND('Mapa final'!$AI$29="Alta",'Mapa final'!$AK$29="Menor"),CONCATENATE("R5C",'Mapa final'!$Y$29),"")</f>
        <v/>
      </c>
      <c r="Q20" s="65" t="str">
        <f>IF(AND('Mapa final'!$AI$30="Alta",'Mapa final'!$AK$30="Menor"),CONCATENATE("R5C",'Mapa final'!$Y$30),"")</f>
        <v/>
      </c>
      <c r="R20" s="65" t="str">
        <f>IF(AND('Mapa final'!$AI$31="Alta",'Mapa final'!$AK$31="Menor"),CONCATENATE("R5C",'Mapa final'!$Y$31),"")</f>
        <v/>
      </c>
      <c r="S20" s="65" t="str">
        <f>IF(AND('Mapa final'!$AI$32="Alta",'Mapa final'!$AK$32="Menor"),CONCATENATE("R5C",'Mapa final'!$Y$32),"")</f>
        <v/>
      </c>
      <c r="T20" s="65" t="str">
        <f>IF(AND('Mapa final'!$AI$33="Alta",'Mapa final'!$AK$33="Menor"),CONCATENATE("R5C",'Mapa final'!$Y$33),"")</f>
        <v/>
      </c>
      <c r="U20" s="66" t="str">
        <f>IF(AND('Mapa final'!$AI$34="Alta",'Mapa final'!$AK$34="Menor"),CONCATENATE("R5C",'Mapa final'!$Y$34),"")</f>
        <v/>
      </c>
      <c r="V20" s="49" t="str">
        <f>IF(AND('Mapa final'!$AI$29="Alta",'Mapa final'!$AK$29="Moderado"),CONCATENATE("R5C",'Mapa final'!$Y$29),"")</f>
        <v/>
      </c>
      <c r="W20" s="50" t="str">
        <f>IF(AND('Mapa final'!$AI$30="Alta",'Mapa final'!$AK$30="Moderado"),CONCATENATE("R5C",'Mapa final'!$Y$30),"")</f>
        <v/>
      </c>
      <c r="X20" s="50" t="str">
        <f>IF(AND('Mapa final'!$AI$31="Alta",'Mapa final'!$AK$31="Moderado"),CONCATENATE("R5C",'Mapa final'!$Y$31),"")</f>
        <v/>
      </c>
      <c r="Y20" s="50" t="str">
        <f>IF(AND('Mapa final'!$AI$32="Alta",'Mapa final'!$AK$32="Moderado"),CONCATENATE("R5C",'Mapa final'!$Y$32),"")</f>
        <v/>
      </c>
      <c r="Z20" s="50" t="str">
        <f>IF(AND('Mapa final'!$AI$33="Alta",'Mapa final'!$AK$33="Moderado"),CONCATENATE("R5C",'Mapa final'!$Y$33),"")</f>
        <v/>
      </c>
      <c r="AA20" s="51" t="str">
        <f>IF(AND('Mapa final'!$AI$34="Alta",'Mapa final'!$AK$34="Moderado"),CONCATENATE("R5C",'Mapa final'!$Y$34),"")</f>
        <v/>
      </c>
      <c r="AB20" s="49" t="str">
        <f>IF(AND('Mapa final'!$AI$29="Alta",'Mapa final'!$AK$29="Mayor"),CONCATENATE("R5C",'Mapa final'!$Y$29),"")</f>
        <v/>
      </c>
      <c r="AC20" s="50" t="str">
        <f>IF(AND('Mapa final'!$AI$30="Alta",'Mapa final'!$AK$30="Mayor"),CONCATENATE("R5C",'Mapa final'!$Y$30),"")</f>
        <v/>
      </c>
      <c r="AD20" s="50" t="str">
        <f>IF(AND('Mapa final'!$AI$31="Alta",'Mapa final'!$AK$31="Mayor"),CONCATENATE("R5C",'Mapa final'!$Y$31),"")</f>
        <v/>
      </c>
      <c r="AE20" s="50" t="str">
        <f>IF(AND('Mapa final'!$AI$32="Alta",'Mapa final'!$AK$32="Mayor"),CONCATENATE("R5C",'Mapa final'!$Y$32),"")</f>
        <v/>
      </c>
      <c r="AF20" s="50" t="str">
        <f>IF(AND('Mapa final'!$AI$33="Alta",'Mapa final'!$AK$33="Mayor"),CONCATENATE("R5C",'Mapa final'!$Y$33),"")</f>
        <v/>
      </c>
      <c r="AG20" s="51" t="str">
        <f>IF(AND('Mapa final'!$AI$34="Alta",'Mapa final'!$AK$34="Mayor"),CONCATENATE("R5C",'Mapa final'!$Y$34),"")</f>
        <v/>
      </c>
      <c r="AH20" s="52" t="str">
        <f>IF(AND('Mapa final'!$AI$29="Alta",'Mapa final'!$AK$29="Catastrófico"),CONCATENATE("R5C",'Mapa final'!$Y$29),"")</f>
        <v/>
      </c>
      <c r="AI20" s="53" t="str">
        <f>IF(AND('Mapa final'!$AI$30="Alta",'Mapa final'!$AK$30="Catastrófico"),CONCATENATE("R5C",'Mapa final'!$Y$30),"")</f>
        <v/>
      </c>
      <c r="AJ20" s="53" t="str">
        <f>IF(AND('Mapa final'!$AI$31="Alta",'Mapa final'!$AK$31="Catastrófico"),CONCATENATE("R5C",'Mapa final'!$Y$31),"")</f>
        <v/>
      </c>
      <c r="AK20" s="53" t="str">
        <f>IF(AND('Mapa final'!$AI$32="Alta",'Mapa final'!$AK$32="Catastrófico"),CONCATENATE("R5C",'Mapa final'!$Y$32),"")</f>
        <v/>
      </c>
      <c r="AL20" s="53" t="str">
        <f>IF(AND('Mapa final'!$AI$33="Alta",'Mapa final'!$AK$33="Catastrófico"),CONCATENATE("R5C",'Mapa final'!$Y$33),"")</f>
        <v/>
      </c>
      <c r="AM20" s="54" t="str">
        <f>IF(AND('Mapa final'!$AI$34="Alta",'Mapa final'!$AK$34="Catastrófico"),CONCATENATE("R5C",'Mapa final'!$Y$34),"")</f>
        <v/>
      </c>
      <c r="AN20" s="80"/>
      <c r="AO20" s="495"/>
      <c r="AP20" s="496"/>
      <c r="AQ20" s="496"/>
      <c r="AR20" s="496"/>
      <c r="AS20" s="496"/>
      <c r="AT20" s="497"/>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406"/>
      <c r="C21" s="406"/>
      <c r="D21" s="407"/>
      <c r="E21" s="505"/>
      <c r="F21" s="504"/>
      <c r="G21" s="504"/>
      <c r="H21" s="504"/>
      <c r="I21" s="504"/>
      <c r="J21" s="64" t="str">
        <f>IF(AND('Mapa final'!$AI$35="Alta",'Mapa final'!$AK$35="Leve"),CONCATENATE("R6C",'Mapa final'!$Y$35),"")</f>
        <v/>
      </c>
      <c r="K21" s="65" t="str">
        <f>IF(AND('Mapa final'!$AI$36="Alta",'Mapa final'!$AK$36="Leve"),CONCATENATE("R6C",'Mapa final'!$Y$36),"")</f>
        <v/>
      </c>
      <c r="L21" s="65" t="str">
        <f>IF(AND('Mapa final'!$AI$37="Alta",'Mapa final'!$AK$37="Leve"),CONCATENATE("R6C",'Mapa final'!$Y$37),"")</f>
        <v/>
      </c>
      <c r="M21" s="65" t="str">
        <f>IF(AND('Mapa final'!$AI$38="Alta",'Mapa final'!$AK$38="Leve"),CONCATENATE("R6C",'Mapa final'!$Y$38),"")</f>
        <v/>
      </c>
      <c r="N21" s="65" t="str">
        <f>IF(AND('Mapa final'!$AI$39="Alta",'Mapa final'!$AK$39="Leve"),CONCATENATE("R6C",'Mapa final'!$Y$39),"")</f>
        <v/>
      </c>
      <c r="O21" s="66" t="str">
        <f>IF(AND('Mapa final'!$AI$40="Alta",'Mapa final'!$AK$40="Leve"),CONCATENATE("R6C",'Mapa final'!$Y$40),"")</f>
        <v/>
      </c>
      <c r="P21" s="64" t="str">
        <f>IF(AND('Mapa final'!$AI$35="Alta",'Mapa final'!$AK$35="Menor"),CONCATENATE("R6C",'Mapa final'!$Y$35),"")</f>
        <v/>
      </c>
      <c r="Q21" s="65" t="str">
        <f>IF(AND('Mapa final'!$AI$36="Alta",'Mapa final'!$AK$36="Menor"),CONCATENATE("R6C",'Mapa final'!$Y$36),"")</f>
        <v/>
      </c>
      <c r="R21" s="65" t="str">
        <f>IF(AND('Mapa final'!$AI$37="Alta",'Mapa final'!$AK$37="Menor"),CONCATENATE("R6C",'Mapa final'!$Y$37),"")</f>
        <v/>
      </c>
      <c r="S21" s="65" t="str">
        <f>IF(AND('Mapa final'!$AI$38="Alta",'Mapa final'!$AK$38="Menor"),CONCATENATE("R6C",'Mapa final'!$Y$38),"")</f>
        <v/>
      </c>
      <c r="T21" s="65" t="str">
        <f>IF(AND('Mapa final'!$AI$39="Alta",'Mapa final'!$AK$39="Menor"),CONCATENATE("R6C",'Mapa final'!$Y$39),"")</f>
        <v/>
      </c>
      <c r="U21" s="66" t="str">
        <f>IF(AND('Mapa final'!$AI$40="Alta",'Mapa final'!$AK$40="Menor"),CONCATENATE("R6C",'Mapa final'!$Y$40),"")</f>
        <v/>
      </c>
      <c r="V21" s="49" t="str">
        <f>IF(AND('Mapa final'!$AI$35="Alta",'Mapa final'!$AK$35="Moderado"),CONCATENATE("R6C",'Mapa final'!$Y$35),"")</f>
        <v/>
      </c>
      <c r="W21" s="50" t="str">
        <f>IF(AND('Mapa final'!$AI$36="Alta",'Mapa final'!$AK$36="Moderado"),CONCATENATE("R6C",'Mapa final'!$Y$36),"")</f>
        <v/>
      </c>
      <c r="X21" s="50" t="str">
        <f>IF(AND('Mapa final'!$AI$37="Alta",'Mapa final'!$AK$37="Moderado"),CONCATENATE("R6C",'Mapa final'!$Y$37),"")</f>
        <v/>
      </c>
      <c r="Y21" s="50" t="str">
        <f>IF(AND('Mapa final'!$AI$38="Alta",'Mapa final'!$AK$38="Moderado"),CONCATENATE("R6C",'Mapa final'!$Y$38),"")</f>
        <v/>
      </c>
      <c r="Z21" s="50" t="str">
        <f>IF(AND('Mapa final'!$AI$39="Alta",'Mapa final'!$AK$39="Moderado"),CONCATENATE("R6C",'Mapa final'!$Y$39),"")</f>
        <v/>
      </c>
      <c r="AA21" s="51" t="str">
        <f>IF(AND('Mapa final'!$AI$40="Alta",'Mapa final'!$AK$40="Moderado"),CONCATENATE("R6C",'Mapa final'!$Y$40),"")</f>
        <v/>
      </c>
      <c r="AB21" s="49" t="str">
        <f>IF(AND('Mapa final'!$AI$35="Alta",'Mapa final'!$AK$35="Mayor"),CONCATENATE("R6C",'Mapa final'!$Y$35),"")</f>
        <v/>
      </c>
      <c r="AC21" s="50" t="str">
        <f>IF(AND('Mapa final'!$AI$36="Alta",'Mapa final'!$AK$36="Mayor"),CONCATENATE("R6C",'Mapa final'!$Y$36),"")</f>
        <v/>
      </c>
      <c r="AD21" s="50" t="str">
        <f>IF(AND('Mapa final'!$AI$37="Alta",'Mapa final'!$AK$37="Mayor"),CONCATENATE("R6C",'Mapa final'!$Y$37),"")</f>
        <v/>
      </c>
      <c r="AE21" s="50" t="str">
        <f>IF(AND('Mapa final'!$AI$38="Alta",'Mapa final'!$AK$38="Mayor"),CONCATENATE("R6C",'Mapa final'!$Y$38),"")</f>
        <v/>
      </c>
      <c r="AF21" s="50" t="str">
        <f>IF(AND('Mapa final'!$AI$39="Alta",'Mapa final'!$AK$39="Mayor"),CONCATENATE("R6C",'Mapa final'!$Y$39),"")</f>
        <v/>
      </c>
      <c r="AG21" s="51" t="str">
        <f>IF(AND('Mapa final'!$AI$40="Alta",'Mapa final'!$AK$40="Mayor"),CONCATENATE("R6C",'Mapa final'!$Y$40),"")</f>
        <v/>
      </c>
      <c r="AH21" s="52" t="str">
        <f>IF(AND('Mapa final'!$AI$35="Alta",'Mapa final'!$AK$35="Catastrófico"),CONCATENATE("R6C",'Mapa final'!$Y$35),"")</f>
        <v/>
      </c>
      <c r="AI21" s="53" t="str">
        <f>IF(AND('Mapa final'!$AI$36="Alta",'Mapa final'!$AK$36="Catastrófico"),CONCATENATE("R6C",'Mapa final'!$Y$36),"")</f>
        <v/>
      </c>
      <c r="AJ21" s="53" t="str">
        <f>IF(AND('Mapa final'!$AI$37="Alta",'Mapa final'!$AK$37="Catastrófico"),CONCATENATE("R6C",'Mapa final'!$Y$37),"")</f>
        <v/>
      </c>
      <c r="AK21" s="53" t="str">
        <f>IF(AND('Mapa final'!$AI$38="Alta",'Mapa final'!$AK$38="Catastrófico"),CONCATENATE("R6C",'Mapa final'!$Y$38),"")</f>
        <v/>
      </c>
      <c r="AL21" s="53" t="str">
        <f>IF(AND('Mapa final'!$AI$39="Alta",'Mapa final'!$AK$39="Catastrófico"),CONCATENATE("R6C",'Mapa final'!$Y$39),"")</f>
        <v/>
      </c>
      <c r="AM21" s="54" t="str">
        <f>IF(AND('Mapa final'!$AI$40="Alta",'Mapa final'!$AK$40="Catastrófico"),CONCATENATE("R6C",'Mapa final'!$Y$40),"")</f>
        <v/>
      </c>
      <c r="AN21" s="80"/>
      <c r="AO21" s="495"/>
      <c r="AP21" s="496"/>
      <c r="AQ21" s="496"/>
      <c r="AR21" s="496"/>
      <c r="AS21" s="496"/>
      <c r="AT21" s="497"/>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406"/>
      <c r="C22" s="406"/>
      <c r="D22" s="407"/>
      <c r="E22" s="505"/>
      <c r="F22" s="504"/>
      <c r="G22" s="504"/>
      <c r="H22" s="504"/>
      <c r="I22" s="504"/>
      <c r="J22" s="64" t="str">
        <f>IF(AND('Mapa final'!$AI$41="Alta",'Mapa final'!$AK$41="Leve"),CONCATENATE("R7C",'Mapa final'!$Y$41),"")</f>
        <v/>
      </c>
      <c r="K22" s="65" t="str">
        <f>IF(AND('Mapa final'!$AI$42="Alta",'Mapa final'!$AK$42="Leve"),CONCATENATE("R7C",'Mapa final'!$Y$42),"")</f>
        <v/>
      </c>
      <c r="L22" s="65" t="str">
        <f>IF(AND('Mapa final'!$AI$43="Alta",'Mapa final'!$AK$43="Leve"),CONCATENATE("R7C",'Mapa final'!$Y$43),"")</f>
        <v/>
      </c>
      <c r="M22" s="65" t="str">
        <f>IF(AND('Mapa final'!$AI$44="Alta",'Mapa final'!$AK$44="Leve"),CONCATENATE("R7C",'Mapa final'!$Y$44),"")</f>
        <v/>
      </c>
      <c r="N22" s="65" t="str">
        <f>IF(AND('Mapa final'!$AI$45="Alta",'Mapa final'!$AK$45="Leve"),CONCATENATE("R7C",'Mapa final'!$Y$45),"")</f>
        <v/>
      </c>
      <c r="O22" s="66" t="str">
        <f>IF(AND('Mapa final'!$AI$46="Alta",'Mapa final'!$AK$46="Leve"),CONCATENATE("R7C",'Mapa final'!$Y$46),"")</f>
        <v/>
      </c>
      <c r="P22" s="64" t="str">
        <f>IF(AND('Mapa final'!$AI$41="Alta",'Mapa final'!$AK$41="Menor"),CONCATENATE("R7C",'Mapa final'!$Y$41),"")</f>
        <v/>
      </c>
      <c r="Q22" s="65" t="str">
        <f>IF(AND('Mapa final'!$AI$42="Alta",'Mapa final'!$AK$42="Menor"),CONCATENATE("R7C",'Mapa final'!$Y$42),"")</f>
        <v/>
      </c>
      <c r="R22" s="65" t="str">
        <f>IF(AND('Mapa final'!$AI$43="Alta",'Mapa final'!$AK$43="Menor"),CONCATENATE("R7C",'Mapa final'!$Y$43),"")</f>
        <v/>
      </c>
      <c r="S22" s="65" t="str">
        <f>IF(AND('Mapa final'!$AI$44="Alta",'Mapa final'!$AK$44="Menor"),CONCATENATE("R7C",'Mapa final'!$Y$44),"")</f>
        <v/>
      </c>
      <c r="T22" s="65" t="str">
        <f>IF(AND('Mapa final'!$AI$45="Alta",'Mapa final'!$AK$45="Menor"),CONCATENATE("R7C",'Mapa final'!$Y$45),"")</f>
        <v/>
      </c>
      <c r="U22" s="66" t="str">
        <f>IF(AND('Mapa final'!$AI$46="Alta",'Mapa final'!$AK$46="Menor"),CONCATENATE("R7C",'Mapa final'!$Y$46),"")</f>
        <v/>
      </c>
      <c r="V22" s="49" t="str">
        <f>IF(AND('Mapa final'!$AI$41="Alta",'Mapa final'!$AK$41="Moderado"),CONCATENATE("R7C",'Mapa final'!$Y$41),"")</f>
        <v/>
      </c>
      <c r="W22" s="50" t="str">
        <f>IF(AND('Mapa final'!$AI$42="Alta",'Mapa final'!$AK$42="Moderado"),CONCATENATE("R7C",'Mapa final'!$Y$42),"")</f>
        <v/>
      </c>
      <c r="X22" s="50" t="str">
        <f>IF(AND('Mapa final'!$AI$43="Alta",'Mapa final'!$AK$43="Moderado"),CONCATENATE("R7C",'Mapa final'!$Y$43),"")</f>
        <v/>
      </c>
      <c r="Y22" s="50" t="str">
        <f>IF(AND('Mapa final'!$AI$44="Alta",'Mapa final'!$AK$44="Moderado"),CONCATENATE("R7C",'Mapa final'!$Y$44),"")</f>
        <v/>
      </c>
      <c r="Z22" s="50" t="str">
        <f>IF(AND('Mapa final'!$AI$45="Alta",'Mapa final'!$AK$45="Moderado"),CONCATENATE("R7C",'Mapa final'!$Y$45),"")</f>
        <v/>
      </c>
      <c r="AA22" s="51" t="str">
        <f>IF(AND('Mapa final'!$AI$46="Alta",'Mapa final'!$AK$46="Moderado"),CONCATENATE("R7C",'Mapa final'!$Y$46),"")</f>
        <v/>
      </c>
      <c r="AB22" s="49" t="str">
        <f>IF(AND('Mapa final'!$AI$41="Alta",'Mapa final'!$AK$41="Mayor"),CONCATENATE("R7C",'Mapa final'!$Y$41),"")</f>
        <v/>
      </c>
      <c r="AC22" s="50" t="str">
        <f>IF(AND('Mapa final'!$AI$42="Alta",'Mapa final'!$AK$42="Mayor"),CONCATENATE("R7C",'Mapa final'!$Y$42),"")</f>
        <v/>
      </c>
      <c r="AD22" s="50" t="str">
        <f>IF(AND('Mapa final'!$AI$43="Alta",'Mapa final'!$AK$43="Mayor"),CONCATENATE("R7C",'Mapa final'!$Y$43),"")</f>
        <v/>
      </c>
      <c r="AE22" s="50" t="str">
        <f>IF(AND('Mapa final'!$AI$44="Alta",'Mapa final'!$AK$44="Mayor"),CONCATENATE("R7C",'Mapa final'!$Y$44),"")</f>
        <v/>
      </c>
      <c r="AF22" s="50" t="str">
        <f>IF(AND('Mapa final'!$AI$45="Alta",'Mapa final'!$AK$45="Mayor"),CONCATENATE("R7C",'Mapa final'!$Y$45),"")</f>
        <v/>
      </c>
      <c r="AG22" s="51" t="str">
        <f>IF(AND('Mapa final'!$AI$46="Alta",'Mapa final'!$AK$46="Mayor"),CONCATENATE("R7C",'Mapa final'!$Y$46),"")</f>
        <v/>
      </c>
      <c r="AH22" s="52" t="str">
        <f>IF(AND('Mapa final'!$AI$41="Alta",'Mapa final'!$AK$41="Catastrófico"),CONCATENATE("R7C",'Mapa final'!$Y$41),"")</f>
        <v/>
      </c>
      <c r="AI22" s="53" t="str">
        <f>IF(AND('Mapa final'!$AI$42="Alta",'Mapa final'!$AK$42="Catastrófico"),CONCATENATE("R7C",'Mapa final'!$Y$42),"")</f>
        <v/>
      </c>
      <c r="AJ22" s="53" t="str">
        <f>IF(AND('Mapa final'!$AI$43="Alta",'Mapa final'!$AK$43="Catastrófico"),CONCATENATE("R7C",'Mapa final'!$Y$43),"")</f>
        <v/>
      </c>
      <c r="AK22" s="53" t="str">
        <f>IF(AND('Mapa final'!$AI$44="Alta",'Mapa final'!$AK$44="Catastrófico"),CONCATENATE("R7C",'Mapa final'!$Y$44),"")</f>
        <v/>
      </c>
      <c r="AL22" s="53" t="str">
        <f>IF(AND('Mapa final'!$AI$45="Alta",'Mapa final'!$AK$45="Catastrófico"),CONCATENATE("R7C",'Mapa final'!$Y$45),"")</f>
        <v/>
      </c>
      <c r="AM22" s="54" t="str">
        <f>IF(AND('Mapa final'!$AI$46="Alta",'Mapa final'!$AK$46="Catastrófico"),CONCATENATE("R7C",'Mapa final'!$Y$46),"")</f>
        <v/>
      </c>
      <c r="AN22" s="80"/>
      <c r="AO22" s="495"/>
      <c r="AP22" s="496"/>
      <c r="AQ22" s="496"/>
      <c r="AR22" s="496"/>
      <c r="AS22" s="496"/>
      <c r="AT22" s="497"/>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406"/>
      <c r="C23" s="406"/>
      <c r="D23" s="407"/>
      <c r="E23" s="505"/>
      <c r="F23" s="504"/>
      <c r="G23" s="504"/>
      <c r="H23" s="504"/>
      <c r="I23" s="504"/>
      <c r="J23" s="64" t="str">
        <f>IF(AND('Mapa final'!$AI$47="Alta",'Mapa final'!$AK$47="Leve"),CONCATENATE("R8C",'Mapa final'!$Y$47),"")</f>
        <v/>
      </c>
      <c r="K23" s="65" t="str">
        <f>IF(AND('Mapa final'!$AI$48="Alta",'Mapa final'!$AK$48="Leve"),CONCATENATE("R8C",'Mapa final'!$Y$48),"")</f>
        <v/>
      </c>
      <c r="L23" s="65" t="str">
        <f>IF(AND('Mapa final'!$AI$49="Alta",'Mapa final'!$AK$49="Leve"),CONCATENATE("R8C",'Mapa final'!$Y$49),"")</f>
        <v/>
      </c>
      <c r="M23" s="65" t="str">
        <f>IF(AND('Mapa final'!$AI$50="Alta",'Mapa final'!$AK$50="Leve"),CONCATENATE("R8C",'Mapa final'!$Y$50),"")</f>
        <v/>
      </c>
      <c r="N23" s="65" t="str">
        <f>IF(AND('Mapa final'!$AI$51="Alta",'Mapa final'!$AK$51="Leve"),CONCATENATE("R8C",'Mapa final'!$Y$51),"")</f>
        <v/>
      </c>
      <c r="O23" s="66" t="str">
        <f>IF(AND('Mapa final'!$AI$52="Alta",'Mapa final'!$AK$52="Leve"),CONCATENATE("R8C",'Mapa final'!$Y$52),"")</f>
        <v/>
      </c>
      <c r="P23" s="64" t="str">
        <f>IF(AND('Mapa final'!$AI$47="Alta",'Mapa final'!$AK$47="Menor"),CONCATENATE("R8C",'Mapa final'!$Y$47),"")</f>
        <v/>
      </c>
      <c r="Q23" s="65" t="str">
        <f>IF(AND('Mapa final'!$AI$48="Alta",'Mapa final'!$AK$48="Menor"),CONCATENATE("R8C",'Mapa final'!$Y$48),"")</f>
        <v/>
      </c>
      <c r="R23" s="65" t="str">
        <f>IF(AND('Mapa final'!$AI$49="Alta",'Mapa final'!$AK$49="Menor"),CONCATENATE("R8C",'Mapa final'!$Y$49),"")</f>
        <v/>
      </c>
      <c r="S23" s="65" t="str">
        <f>IF(AND('Mapa final'!$AI$50="Alta",'Mapa final'!$AK$50="Menor"),CONCATENATE("R8C",'Mapa final'!$Y$50),"")</f>
        <v/>
      </c>
      <c r="T23" s="65" t="str">
        <f>IF(AND('Mapa final'!$AI$51="Alta",'Mapa final'!$AK$51="Menor"),CONCATENATE("R8C",'Mapa final'!$Y$51),"")</f>
        <v/>
      </c>
      <c r="U23" s="66" t="str">
        <f>IF(AND('Mapa final'!$AI$52="Alta",'Mapa final'!$AK$52="Menor"),CONCATENATE("R8C",'Mapa final'!$Y$52),"")</f>
        <v/>
      </c>
      <c r="V23" s="49" t="str">
        <f>IF(AND('Mapa final'!$AI$47="Alta",'Mapa final'!$AK$47="Moderado"),CONCATENATE("R8C",'Mapa final'!$Y$47),"")</f>
        <v/>
      </c>
      <c r="W23" s="50" t="str">
        <f>IF(AND('Mapa final'!$AI$48="Alta",'Mapa final'!$AK$48="Moderado"),CONCATENATE("R8C",'Mapa final'!$Y$48),"")</f>
        <v/>
      </c>
      <c r="X23" s="50" t="str">
        <f>IF(AND('Mapa final'!$AI$49="Alta",'Mapa final'!$AK$49="Moderado"),CONCATENATE("R8C",'Mapa final'!$Y$49),"")</f>
        <v/>
      </c>
      <c r="Y23" s="50" t="str">
        <f>IF(AND('Mapa final'!$AI$50="Alta",'Mapa final'!$AK$50="Moderado"),CONCATENATE("R8C",'Mapa final'!$Y$50),"")</f>
        <v/>
      </c>
      <c r="Z23" s="50" t="str">
        <f>IF(AND('Mapa final'!$AI$51="Alta",'Mapa final'!$AK$51="Moderado"),CONCATENATE("R8C",'Mapa final'!$Y$51),"")</f>
        <v/>
      </c>
      <c r="AA23" s="51" t="str">
        <f>IF(AND('Mapa final'!$AI$52="Alta",'Mapa final'!$AK$52="Moderado"),CONCATENATE("R8C",'Mapa final'!$Y$52),"")</f>
        <v/>
      </c>
      <c r="AB23" s="49" t="str">
        <f>IF(AND('Mapa final'!$AI$47="Alta",'Mapa final'!$AK$47="Mayor"),CONCATENATE("R8C",'Mapa final'!$Y$47),"")</f>
        <v/>
      </c>
      <c r="AC23" s="50" t="str">
        <f>IF(AND('Mapa final'!$AI$48="Alta",'Mapa final'!$AK$48="Mayor"),CONCATENATE("R8C",'Mapa final'!$Y$48),"")</f>
        <v/>
      </c>
      <c r="AD23" s="50" t="str">
        <f>IF(AND('Mapa final'!$AI$49="Alta",'Mapa final'!$AK$49="Mayor"),CONCATENATE("R8C",'Mapa final'!$Y$49),"")</f>
        <v/>
      </c>
      <c r="AE23" s="50" t="str">
        <f>IF(AND('Mapa final'!$AI$50="Alta",'Mapa final'!$AK$50="Mayor"),CONCATENATE("R8C",'Mapa final'!$Y$50),"")</f>
        <v/>
      </c>
      <c r="AF23" s="50" t="str">
        <f>IF(AND('Mapa final'!$AI$51="Alta",'Mapa final'!$AK$51="Mayor"),CONCATENATE("R8C",'Mapa final'!$Y$51),"")</f>
        <v/>
      </c>
      <c r="AG23" s="51" t="str">
        <f>IF(AND('Mapa final'!$AI$52="Alta",'Mapa final'!$AK$52="Mayor"),CONCATENATE("R8C",'Mapa final'!$Y$52),"")</f>
        <v/>
      </c>
      <c r="AH23" s="52" t="str">
        <f>IF(AND('Mapa final'!$AI$47="Alta",'Mapa final'!$AK$47="Catastrófico"),CONCATENATE("R8C",'Mapa final'!$Y$47),"")</f>
        <v/>
      </c>
      <c r="AI23" s="53" t="str">
        <f>IF(AND('Mapa final'!$AI$48="Alta",'Mapa final'!$AK$48="Catastrófico"),CONCATENATE("R8C",'Mapa final'!$Y$48),"")</f>
        <v/>
      </c>
      <c r="AJ23" s="53" t="str">
        <f>IF(AND('Mapa final'!$AI$49="Alta",'Mapa final'!$AK$49="Catastrófico"),CONCATENATE("R8C",'Mapa final'!$Y$49),"")</f>
        <v/>
      </c>
      <c r="AK23" s="53" t="str">
        <f>IF(AND('Mapa final'!$AI$50="Alta",'Mapa final'!$AK$50="Catastrófico"),CONCATENATE("R8C",'Mapa final'!$Y$50),"")</f>
        <v/>
      </c>
      <c r="AL23" s="53" t="str">
        <f>IF(AND('Mapa final'!$AI$51="Alta",'Mapa final'!$AK$51="Catastrófico"),CONCATENATE("R8C",'Mapa final'!$Y$51),"")</f>
        <v/>
      </c>
      <c r="AM23" s="54" t="str">
        <f>IF(AND('Mapa final'!$AI$52="Alta",'Mapa final'!$AK$52="Catastrófico"),CONCATENATE("R8C",'Mapa final'!$Y$52),"")</f>
        <v/>
      </c>
      <c r="AN23" s="80"/>
      <c r="AO23" s="495"/>
      <c r="AP23" s="496"/>
      <c r="AQ23" s="496"/>
      <c r="AR23" s="496"/>
      <c r="AS23" s="496"/>
      <c r="AT23" s="497"/>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406"/>
      <c r="C24" s="406"/>
      <c r="D24" s="407"/>
      <c r="E24" s="505"/>
      <c r="F24" s="504"/>
      <c r="G24" s="504"/>
      <c r="H24" s="504"/>
      <c r="I24" s="504"/>
      <c r="J24" s="64" t="str">
        <f>IF(AND('Mapa final'!$AI$53="Alta",'Mapa final'!$AK$53="Leve"),CONCATENATE("R9C",'Mapa final'!$Y$53),"")</f>
        <v/>
      </c>
      <c r="K24" s="65" t="str">
        <f>IF(AND('Mapa final'!$AI$54="Alta",'Mapa final'!$AK$54="Leve"),CONCATENATE("R9C",'Mapa final'!$Y$54),"")</f>
        <v/>
      </c>
      <c r="L24" s="65" t="str">
        <f>IF(AND('Mapa final'!$AI$55="Alta",'Mapa final'!$AK$55="Leve"),CONCATENATE("R9C",'Mapa final'!$Y$55),"")</f>
        <v/>
      </c>
      <c r="M24" s="65" t="str">
        <f>IF(AND('Mapa final'!$AI$56="Alta",'Mapa final'!$AK$56="Leve"),CONCATENATE("R9C",'Mapa final'!$Y$56),"")</f>
        <v/>
      </c>
      <c r="N24" s="65" t="str">
        <f>IF(AND('Mapa final'!$AI$57="Alta",'Mapa final'!$AK$57="Leve"),CONCATENATE("R9C",'Mapa final'!$Y$57),"")</f>
        <v/>
      </c>
      <c r="O24" s="66" t="str">
        <f>IF(AND('Mapa final'!$AI$58="Alta",'Mapa final'!$AK$58="Leve"),CONCATENATE("R9C",'Mapa final'!$Y$58),"")</f>
        <v/>
      </c>
      <c r="P24" s="64" t="str">
        <f>IF(AND('Mapa final'!$AI$53="Alta",'Mapa final'!$AK$53="Menor"),CONCATENATE("R9C",'Mapa final'!$Y$53),"")</f>
        <v/>
      </c>
      <c r="Q24" s="65" t="str">
        <f>IF(AND('Mapa final'!$AI$54="Alta",'Mapa final'!$AK$54="Menor"),CONCATENATE("R9C",'Mapa final'!$Y$54),"")</f>
        <v/>
      </c>
      <c r="R24" s="65" t="str">
        <f>IF(AND('Mapa final'!$AI$55="Alta",'Mapa final'!$AK$55="Menor"),CONCATENATE("R9C",'Mapa final'!$Y$55),"")</f>
        <v/>
      </c>
      <c r="S24" s="65" t="str">
        <f>IF(AND('Mapa final'!$AI$56="Alta",'Mapa final'!$AK$56="Menor"),CONCATENATE("R9C",'Mapa final'!$Y$56),"")</f>
        <v/>
      </c>
      <c r="T24" s="65" t="str">
        <f>IF(AND('Mapa final'!$AI$57="Alta",'Mapa final'!$AK$57="Menor"),CONCATENATE("R9C",'Mapa final'!$Y$57),"")</f>
        <v/>
      </c>
      <c r="U24" s="66" t="str">
        <f>IF(AND('Mapa final'!$AI$58="Alta",'Mapa final'!$AK$58="Menor"),CONCATENATE("R9C",'Mapa final'!$Y$58),"")</f>
        <v/>
      </c>
      <c r="V24" s="49" t="str">
        <f>IF(AND('Mapa final'!$AI$53="Alta",'Mapa final'!$AK$53="Moderado"),CONCATENATE("R9C",'Mapa final'!$Y$53),"")</f>
        <v/>
      </c>
      <c r="W24" s="50" t="str">
        <f>IF(AND('Mapa final'!$AI$54="Alta",'Mapa final'!$AK$54="Moderado"),CONCATENATE("R9C",'Mapa final'!$Y$54),"")</f>
        <v/>
      </c>
      <c r="X24" s="50" t="str">
        <f>IF(AND('Mapa final'!$AI$55="Alta",'Mapa final'!$AK$55="Moderado"),CONCATENATE("R9C",'Mapa final'!$Y$55),"")</f>
        <v/>
      </c>
      <c r="Y24" s="50" t="str">
        <f>IF(AND('Mapa final'!$AI$56="Alta",'Mapa final'!$AK$56="Moderado"),CONCATENATE("R9C",'Mapa final'!$Y$56),"")</f>
        <v/>
      </c>
      <c r="Z24" s="50" t="str">
        <f>IF(AND('Mapa final'!$AI$57="Alta",'Mapa final'!$AK$57="Moderado"),CONCATENATE("R9C",'Mapa final'!$Y$57),"")</f>
        <v/>
      </c>
      <c r="AA24" s="51" t="str">
        <f>IF(AND('Mapa final'!$AI$58="Alta",'Mapa final'!$AK$58="Moderado"),CONCATENATE("R9C",'Mapa final'!$Y$58),"")</f>
        <v/>
      </c>
      <c r="AB24" s="49" t="str">
        <f>IF(AND('Mapa final'!$AI$53="Alta",'Mapa final'!$AK$53="Mayor"),CONCATENATE("R9C",'Mapa final'!$Y$53),"")</f>
        <v/>
      </c>
      <c r="AC24" s="50" t="str">
        <f>IF(AND('Mapa final'!$AI$54="Alta",'Mapa final'!$AK$54="Mayor"),CONCATENATE("R9C",'Mapa final'!$Y$54),"")</f>
        <v/>
      </c>
      <c r="AD24" s="50" t="str">
        <f>IF(AND('Mapa final'!$AI$55="Alta",'Mapa final'!$AK$55="Mayor"),CONCATENATE("R9C",'Mapa final'!$Y$55),"")</f>
        <v/>
      </c>
      <c r="AE24" s="50" t="str">
        <f>IF(AND('Mapa final'!$AI$56="Alta",'Mapa final'!$AK$56="Mayor"),CONCATENATE("R9C",'Mapa final'!$Y$56),"")</f>
        <v/>
      </c>
      <c r="AF24" s="50" t="str">
        <f>IF(AND('Mapa final'!$AI$57="Alta",'Mapa final'!$AK$57="Mayor"),CONCATENATE("R9C",'Mapa final'!$Y$57),"")</f>
        <v/>
      </c>
      <c r="AG24" s="51" t="str">
        <f>IF(AND('Mapa final'!$AI$58="Alta",'Mapa final'!$AK$58="Mayor"),CONCATENATE("R9C",'Mapa final'!$Y$58),"")</f>
        <v/>
      </c>
      <c r="AH24" s="52" t="str">
        <f>IF(AND('Mapa final'!$AI$53="Alta",'Mapa final'!$AK$53="Catastrófico"),CONCATENATE("R9C",'Mapa final'!$Y$53),"")</f>
        <v/>
      </c>
      <c r="AI24" s="53" t="str">
        <f>IF(AND('Mapa final'!$AI$54="Alta",'Mapa final'!$AK$54="Catastrófico"),CONCATENATE("R9C",'Mapa final'!$Y$54),"")</f>
        <v/>
      </c>
      <c r="AJ24" s="53" t="str">
        <f>IF(AND('Mapa final'!$AI$55="Alta",'Mapa final'!$AK$55="Catastrófico"),CONCATENATE("R9C",'Mapa final'!$Y$55),"")</f>
        <v/>
      </c>
      <c r="AK24" s="53" t="str">
        <f>IF(AND('Mapa final'!$AI$56="Alta",'Mapa final'!$AK$56="Catastrófico"),CONCATENATE("R9C",'Mapa final'!$Y$56),"")</f>
        <v/>
      </c>
      <c r="AL24" s="53" t="str">
        <f>IF(AND('Mapa final'!$AI$57="Alta",'Mapa final'!$AK$57="Catastrófico"),CONCATENATE("R9C",'Mapa final'!$Y$57),"")</f>
        <v/>
      </c>
      <c r="AM24" s="54" t="str">
        <f>IF(AND('Mapa final'!$AI$58="Alta",'Mapa final'!$AK$58="Catastrófico"),CONCATENATE("R9C",'Mapa final'!$Y$58),"")</f>
        <v/>
      </c>
      <c r="AN24" s="80"/>
      <c r="AO24" s="495"/>
      <c r="AP24" s="496"/>
      <c r="AQ24" s="496"/>
      <c r="AR24" s="496"/>
      <c r="AS24" s="496"/>
      <c r="AT24" s="497"/>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406"/>
      <c r="C25" s="406"/>
      <c r="D25" s="407"/>
      <c r="E25" s="506"/>
      <c r="F25" s="507"/>
      <c r="G25" s="507"/>
      <c r="H25" s="507"/>
      <c r="I25" s="507"/>
      <c r="J25" s="67" t="str">
        <f>IF(AND('Mapa final'!$AI$59="Alta",'Mapa final'!$AK$59="Leve"),CONCATENATE("R10C",'Mapa final'!$Y$59),"")</f>
        <v/>
      </c>
      <c r="K25" s="68" t="str">
        <f>IF(AND('Mapa final'!$AI$60="Alta",'Mapa final'!$AK$60="Leve"),CONCATENATE("R10C",'Mapa final'!$Y$60),"")</f>
        <v/>
      </c>
      <c r="L25" s="68" t="str">
        <f>IF(AND('Mapa final'!$AI$61="Alta",'Mapa final'!$AK$61="Leve"),CONCATENATE("R10C",'Mapa final'!$Y$61),"")</f>
        <v/>
      </c>
      <c r="M25" s="68" t="str">
        <f>IF(AND('Mapa final'!$AI$62="Alta",'Mapa final'!$AK$62="Leve"),CONCATENATE("R10C",'Mapa final'!$Y$62),"")</f>
        <v/>
      </c>
      <c r="N25" s="68" t="str">
        <f>IF(AND('Mapa final'!$AI$63="Alta",'Mapa final'!$AK$63="Leve"),CONCATENATE("R10C",'Mapa final'!$Y$63),"")</f>
        <v/>
      </c>
      <c r="O25" s="69" t="str">
        <f>IF(AND('Mapa final'!$AI$64="Alta",'Mapa final'!$AK$64="Leve"),CONCATENATE("R10C",'Mapa final'!$Y$64),"")</f>
        <v/>
      </c>
      <c r="P25" s="67" t="str">
        <f>IF(AND('Mapa final'!$AI$59="Alta",'Mapa final'!$AK$59="Menor"),CONCATENATE("R10C",'Mapa final'!$Y$59),"")</f>
        <v/>
      </c>
      <c r="Q25" s="68" t="str">
        <f>IF(AND('Mapa final'!$AI$60="Alta",'Mapa final'!$AK$60="Menor"),CONCATENATE("R10C",'Mapa final'!$Y$60),"")</f>
        <v/>
      </c>
      <c r="R25" s="68" t="str">
        <f>IF(AND('Mapa final'!$AI$61="Alta",'Mapa final'!$AK$61="Menor"),CONCATENATE("R10C",'Mapa final'!$Y$61),"")</f>
        <v/>
      </c>
      <c r="S25" s="68" t="str">
        <f>IF(AND('Mapa final'!$AI$62="Alta",'Mapa final'!$AK$62="Menor"),CONCATENATE("R10C",'Mapa final'!$Y$62),"")</f>
        <v/>
      </c>
      <c r="T25" s="68" t="str">
        <f>IF(AND('Mapa final'!$AI$63="Alta",'Mapa final'!$AK$63="Menor"),CONCATENATE("R10C",'Mapa final'!$Y$63),"")</f>
        <v/>
      </c>
      <c r="U25" s="69" t="str">
        <f>IF(AND('Mapa final'!$AI$64="Alta",'Mapa final'!$AK$64="Menor"),CONCATENATE("R10C",'Mapa final'!$Y$64),"")</f>
        <v/>
      </c>
      <c r="V25" s="55" t="str">
        <f>IF(AND('Mapa final'!$AI$59="Alta",'Mapa final'!$AK$59="Moderado"),CONCATENATE("R10C",'Mapa final'!$Y$59),"")</f>
        <v/>
      </c>
      <c r="W25" s="56" t="str">
        <f>IF(AND('Mapa final'!$AI$60="Alta",'Mapa final'!$AK$60="Moderado"),CONCATENATE("R10C",'Mapa final'!$Y$60),"")</f>
        <v/>
      </c>
      <c r="X25" s="56" t="str">
        <f>IF(AND('Mapa final'!$AI$61="Alta",'Mapa final'!$AK$61="Moderado"),CONCATENATE("R10C",'Mapa final'!$Y$61),"")</f>
        <v/>
      </c>
      <c r="Y25" s="56" t="str">
        <f>IF(AND('Mapa final'!$AI$62="Alta",'Mapa final'!$AK$62="Moderado"),CONCATENATE("R10C",'Mapa final'!$Y$62),"")</f>
        <v/>
      </c>
      <c r="Z25" s="56" t="str">
        <f>IF(AND('Mapa final'!$AI$63="Alta",'Mapa final'!$AK$63="Moderado"),CONCATENATE("R10C",'Mapa final'!$Y$63),"")</f>
        <v/>
      </c>
      <c r="AA25" s="57" t="str">
        <f>IF(AND('Mapa final'!$AI$64="Alta",'Mapa final'!$AK$64="Moderado"),CONCATENATE("R10C",'Mapa final'!$Y$64),"")</f>
        <v/>
      </c>
      <c r="AB25" s="55" t="str">
        <f>IF(AND('Mapa final'!$AI$59="Alta",'Mapa final'!$AK$59="Mayor"),CONCATENATE("R10C",'Mapa final'!$Y$59),"")</f>
        <v/>
      </c>
      <c r="AC25" s="56" t="str">
        <f>IF(AND('Mapa final'!$AI$60="Alta",'Mapa final'!$AK$60="Mayor"),CONCATENATE("R10C",'Mapa final'!$Y$60),"")</f>
        <v/>
      </c>
      <c r="AD25" s="56" t="str">
        <f>IF(AND('Mapa final'!$AI$61="Alta",'Mapa final'!$AK$61="Mayor"),CONCATENATE("R10C",'Mapa final'!$Y$61),"")</f>
        <v/>
      </c>
      <c r="AE25" s="56" t="str">
        <f>IF(AND('Mapa final'!$AI$62="Alta",'Mapa final'!$AK$62="Mayor"),CONCATENATE("R10C",'Mapa final'!$Y$62),"")</f>
        <v/>
      </c>
      <c r="AF25" s="56" t="str">
        <f>IF(AND('Mapa final'!$AI$63="Alta",'Mapa final'!$AK$63="Mayor"),CONCATENATE("R10C",'Mapa final'!$Y$63),"")</f>
        <v/>
      </c>
      <c r="AG25" s="57" t="str">
        <f>IF(AND('Mapa final'!$AI$64="Alta",'Mapa final'!$AK$64="Mayor"),CONCATENATE("R10C",'Mapa final'!$Y$64),"")</f>
        <v/>
      </c>
      <c r="AH25" s="58" t="str">
        <f>IF(AND('Mapa final'!$AI$59="Alta",'Mapa final'!$AK$59="Catastrófico"),CONCATENATE("R10C",'Mapa final'!$Y$59),"")</f>
        <v/>
      </c>
      <c r="AI25" s="59" t="str">
        <f>IF(AND('Mapa final'!$AI$60="Alta",'Mapa final'!$AK$60="Catastrófico"),CONCATENATE("R10C",'Mapa final'!$Y$60),"")</f>
        <v/>
      </c>
      <c r="AJ25" s="59" t="str">
        <f>IF(AND('Mapa final'!$AI$61="Alta",'Mapa final'!$AK$61="Catastrófico"),CONCATENATE("R10C",'Mapa final'!$Y$61),"")</f>
        <v/>
      </c>
      <c r="AK25" s="59" t="str">
        <f>IF(AND('Mapa final'!$AI$62="Alta",'Mapa final'!$AK$62="Catastrófico"),CONCATENATE("R10C",'Mapa final'!$Y$62),"")</f>
        <v/>
      </c>
      <c r="AL25" s="59" t="str">
        <f>IF(AND('Mapa final'!$AI$63="Alta",'Mapa final'!$AK$63="Catastrófico"),CONCATENATE("R10C",'Mapa final'!$Y$63),"")</f>
        <v/>
      </c>
      <c r="AM25" s="60" t="str">
        <f>IF(AND('Mapa final'!$AI$64="Alta",'Mapa final'!$AK$64="Catastrófico"),CONCATENATE("R10C",'Mapa final'!$Y$64),"")</f>
        <v/>
      </c>
      <c r="AN25" s="80"/>
      <c r="AO25" s="498"/>
      <c r="AP25" s="499"/>
      <c r="AQ25" s="499"/>
      <c r="AR25" s="499"/>
      <c r="AS25" s="499"/>
      <c r="AT25" s="50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406"/>
      <c r="C26" s="406"/>
      <c r="D26" s="407"/>
      <c r="E26" s="501" t="s">
        <v>137</v>
      </c>
      <c r="F26" s="502"/>
      <c r="G26" s="502"/>
      <c r="H26" s="502"/>
      <c r="I26" s="519"/>
      <c r="J26" s="61" t="str">
        <f>IF(AND('Mapa final'!$AI$11="Media",'Mapa final'!$AK$11="Leve"),CONCATENATE("R1C",'Mapa final'!$Y$11),"")</f>
        <v/>
      </c>
      <c r="K26" s="62" t="str">
        <f>IF(AND('Mapa final'!$AI$13="Media",'Mapa final'!$AK$13="Leve"),CONCATENATE("R1C",'Mapa final'!$Y$13),"")</f>
        <v/>
      </c>
      <c r="L26" s="62" t="str">
        <f>IF(AND('Mapa final'!$AI$14="Media",'Mapa final'!$AK$14="Leve"),CONCATENATE("R1C",'Mapa final'!$Y$14),"")</f>
        <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str">
        <f>IF(AND('Mapa final'!$AI$13="Media",'Mapa final'!$AK$13="Menor"),CONCATENATE("R1C",'Mapa final'!$Y$13),"")</f>
        <v/>
      </c>
      <c r="R26" s="62" t="str">
        <f>IF(AND('Mapa final'!$AI$14="Media",'Mapa final'!$AK$14="Menor"),CONCATENATE("R1C",'Mapa final'!$Y$14),"")</f>
        <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final'!$AI$13="Media",'Mapa final'!$AK$13="Moderado"),CONCATENATE("R1C",'Mapa final'!$Y$13),"")</f>
        <v/>
      </c>
      <c r="X26" s="62" t="str">
        <f>IF(AND('Mapa final'!$AI$14="Media",'Mapa final'!$AK$14="Moderado"),CONCATENATE("R1C",'Mapa final'!$Y$14),"")</f>
        <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R1C1</v>
      </c>
      <c r="AC26" s="44" t="str">
        <f>IF(AND('Mapa final'!$AI$13="Media",'Mapa final'!$AK$13="Mayor"),CONCATENATE("R1C",'Mapa final'!$Y$13),"")</f>
        <v>R1C2</v>
      </c>
      <c r="AD26" s="44" t="str">
        <f>IF(AND('Mapa final'!$AI$14="Media",'Mapa final'!$AK$14="Mayor"),CONCATENATE("R1C",'Mapa final'!$Y$14),"")</f>
        <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final'!$AI$13="Media",'Mapa final'!$AK$13="Catastrófico"),CONCATENATE("R1C",'Mapa final'!$Y$13),"")</f>
        <v/>
      </c>
      <c r="AJ26" s="47" t="str">
        <f>IF(AND('Mapa final'!$AI$14="Media",'Mapa final'!$AK$14="Catastrófico"),CONCATENATE("R1C",'Mapa final'!$Y$14),"")</f>
        <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531" t="s">
        <v>138</v>
      </c>
      <c r="AP26" s="532"/>
      <c r="AQ26" s="532"/>
      <c r="AR26" s="532"/>
      <c r="AS26" s="532"/>
      <c r="AT26" s="533"/>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406"/>
      <c r="C27" s="406"/>
      <c r="D27" s="407"/>
      <c r="E27" s="503"/>
      <c r="F27" s="504"/>
      <c r="G27" s="504"/>
      <c r="H27" s="504"/>
      <c r="I27" s="520"/>
      <c r="J27" s="64" t="str">
        <f>IF(AND('Mapa final'!$AI$15="Media",'Mapa final'!$AK$15="Leve"),CONCATENATE("R2C",'Mapa final'!$Y$15),"")</f>
        <v/>
      </c>
      <c r="K27" s="65" t="str">
        <f>IF(AND('Mapa final'!$AI$16="Media",'Mapa final'!$AK$16="Leve"),CONCATENATE("R2C",'Mapa final'!$Y$16),"")</f>
        <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final'!$AI$15="Media",'Mapa final'!$AK$15="Menor"),CONCATENATE("R2C",'Mapa final'!$Y$15),"")</f>
        <v/>
      </c>
      <c r="Q27" s="65" t="str">
        <f>IF(AND('Mapa final'!$AI$16="Media",'Mapa final'!$AK$16="Menor"),CONCATENATE("R2C",'Mapa final'!$Y$16),"")</f>
        <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final'!$AI$15="Media",'Mapa final'!$AK$15="Moderado"),CONCATENATE("R2C",'Mapa final'!$Y$15),"")</f>
        <v/>
      </c>
      <c r="W27" s="65" t="str">
        <f>IF(AND('Mapa final'!$AI$16="Media",'Mapa final'!$AK$16="Moderado"),CONCATENATE("R2C",'Mapa final'!$Y$16),"")</f>
        <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final'!$AI$15="Media",'Mapa final'!$AK$15="Mayor"),CONCATENATE("R2C",'Mapa final'!$Y$15),"")</f>
        <v/>
      </c>
      <c r="AC27" s="50" t="str">
        <f>IF(AND('Mapa final'!$AI$16="Media",'Mapa final'!$AK$16="Mayor"),CONCATENATE("R2C",'Mapa final'!$Y$16),"")</f>
        <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final'!$AI$15="Media",'Mapa final'!$AK$15="Catastrófico"),CONCATENATE("R2C",'Mapa final'!$Y$15),"")</f>
        <v/>
      </c>
      <c r="AI27" s="53" t="str">
        <f>IF(AND('Mapa final'!$AI$16="Media",'Mapa final'!$AK$16="Catastrófico"),CONCATENATE("R2C",'Mapa final'!$Y$16),"")</f>
        <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534"/>
      <c r="AP27" s="535"/>
      <c r="AQ27" s="535"/>
      <c r="AR27" s="535"/>
      <c r="AS27" s="535"/>
      <c r="AT27" s="536"/>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406"/>
      <c r="C28" s="406"/>
      <c r="D28" s="407"/>
      <c r="E28" s="505"/>
      <c r="F28" s="504"/>
      <c r="G28" s="504"/>
      <c r="H28" s="504"/>
      <c r="I28" s="520"/>
      <c r="J28" s="64" t="str">
        <f>IF(AND('Mapa final'!$AI$17="Media",'Mapa final'!$AK$17="Leve"),CONCATENATE("R3C",'Mapa final'!$Y$17),"")</f>
        <v/>
      </c>
      <c r="K28" s="65" t="str">
        <f>IF(AND('Mapa final'!$AI$18="Media",'Mapa final'!$AK$18="Leve"),CONCATENATE("R3C",'Mapa final'!$Y$18),"")</f>
        <v/>
      </c>
      <c r="L28" s="65" t="str">
        <f>IF(AND('Mapa final'!$AI$19="Media",'Mapa final'!$AK$19="Leve"),CONCATENATE("R3C",'Mapa final'!$Y$19),"")</f>
        <v/>
      </c>
      <c r="M28" s="65" t="str">
        <f>IF(AND('Mapa final'!$AI$20="Media",'Mapa final'!$AK$20="Leve"),CONCATENATE("R3C",'Mapa final'!$Y$20),"")</f>
        <v/>
      </c>
      <c r="N28" s="65" t="str">
        <f>IF(AND('Mapa final'!$AI$21="Media",'Mapa final'!$AK$21="Leve"),CONCATENATE("R3C",'Mapa final'!$Y$21),"")</f>
        <v/>
      </c>
      <c r="O28" s="66" t="str">
        <f>IF(AND('Mapa final'!$AI$22="Media",'Mapa final'!$AK$22="Leve"),CONCATENATE("R3C",'Mapa final'!$Y$22),"")</f>
        <v/>
      </c>
      <c r="P28" s="64" t="str">
        <f>IF(AND('Mapa final'!$AI$17="Media",'Mapa final'!$AK$17="Menor"),CONCATENATE("R3C",'Mapa final'!$Y$17),"")</f>
        <v/>
      </c>
      <c r="Q28" s="65" t="str">
        <f>IF(AND('Mapa final'!$AI$18="Media",'Mapa final'!$AK$18="Menor"),CONCATENATE("R3C",'Mapa final'!$Y$18),"")</f>
        <v/>
      </c>
      <c r="R28" s="65" t="str">
        <f>IF(AND('Mapa final'!$AI$19="Media",'Mapa final'!$AK$19="Menor"),CONCATENATE("R3C",'Mapa final'!$Y$19),"")</f>
        <v/>
      </c>
      <c r="S28" s="65" t="str">
        <f>IF(AND('Mapa final'!$AI$20="Media",'Mapa final'!$AK$20="Menor"),CONCATENATE("R3C",'Mapa final'!$Y$20),"")</f>
        <v/>
      </c>
      <c r="T28" s="65" t="str">
        <f>IF(AND('Mapa final'!$AI$21="Media",'Mapa final'!$AK$21="Menor"),CONCATENATE("R3C",'Mapa final'!$Y$21),"")</f>
        <v/>
      </c>
      <c r="U28" s="66" t="str">
        <f>IF(AND('Mapa final'!$AI$22="Media",'Mapa final'!$AK$22="Menor"),CONCATENATE("R3C",'Mapa final'!$Y$22),"")</f>
        <v/>
      </c>
      <c r="V28" s="64" t="str">
        <f>IF(AND('Mapa final'!$AI$17="Media",'Mapa final'!$AK$17="Moderado"),CONCATENATE("R3C",'Mapa final'!$Y$17),"")</f>
        <v/>
      </c>
      <c r="W28" s="65" t="str">
        <f>IF(AND('Mapa final'!$AI$18="Media",'Mapa final'!$AK$18="Moderado"),CONCATENATE("R3C",'Mapa final'!$Y$18),"")</f>
        <v/>
      </c>
      <c r="X28" s="65" t="str">
        <f>IF(AND('Mapa final'!$AI$19="Media",'Mapa final'!$AK$19="Moderado"),CONCATENATE("R3C",'Mapa final'!$Y$19),"")</f>
        <v/>
      </c>
      <c r="Y28" s="65" t="str">
        <f>IF(AND('Mapa final'!$AI$20="Media",'Mapa final'!$AK$20="Moderado"),CONCATENATE("R3C",'Mapa final'!$Y$20),"")</f>
        <v/>
      </c>
      <c r="Z28" s="65" t="str">
        <f>IF(AND('Mapa final'!$AI$21="Media",'Mapa final'!$AK$21="Moderado"),CONCATENATE("R3C",'Mapa final'!$Y$21),"")</f>
        <v/>
      </c>
      <c r="AA28" s="66" t="str">
        <f>IF(AND('Mapa final'!$AI$22="Media",'Mapa final'!$AK$22="Moderado"),CONCATENATE("R3C",'Mapa final'!$Y$22),"")</f>
        <v/>
      </c>
      <c r="AB28" s="49" t="str">
        <f>IF(AND('Mapa final'!$AI$17="Media",'Mapa final'!$AK$17="Mayor"),CONCATENATE("R3C",'Mapa final'!$Y$17),"")</f>
        <v/>
      </c>
      <c r="AC28" s="50" t="str">
        <f>IF(AND('Mapa final'!$AI$18="Media",'Mapa final'!$AK$18="Mayor"),CONCATENATE("R3C",'Mapa final'!$Y$18),"")</f>
        <v/>
      </c>
      <c r="AD28" s="50" t="str">
        <f>IF(AND('Mapa final'!$AI$19="Media",'Mapa final'!$AK$19="Mayor"),CONCATENATE("R3C",'Mapa final'!$Y$19),"")</f>
        <v/>
      </c>
      <c r="AE28" s="50" t="str">
        <f>IF(AND('Mapa final'!$AI$20="Media",'Mapa final'!$AK$20="Mayor"),CONCATENATE("R3C",'Mapa final'!$Y$20),"")</f>
        <v/>
      </c>
      <c r="AF28" s="50" t="str">
        <f>IF(AND('Mapa final'!$AI$21="Media",'Mapa final'!$AK$21="Mayor"),CONCATENATE("R3C",'Mapa final'!$Y$21),"")</f>
        <v/>
      </c>
      <c r="AG28" s="51" t="str">
        <f>IF(AND('Mapa final'!$AI$22="Media",'Mapa final'!$AK$22="Mayor"),CONCATENATE("R3C",'Mapa final'!$Y$22),"")</f>
        <v/>
      </c>
      <c r="AH28" s="52" t="str">
        <f>IF(AND('Mapa final'!$AI$17="Media",'Mapa final'!$AK$17="Catastrófico"),CONCATENATE("R3C",'Mapa final'!$Y$17),"")</f>
        <v/>
      </c>
      <c r="AI28" s="53" t="str">
        <f>IF(AND('Mapa final'!$AI$18="Media",'Mapa final'!$AK$18="Catastrófico"),CONCATENATE("R3C",'Mapa final'!$Y$18),"")</f>
        <v/>
      </c>
      <c r="AJ28" s="53" t="str">
        <f>IF(AND('Mapa final'!$AI$19="Media",'Mapa final'!$AK$19="Catastrófico"),CONCATENATE("R3C",'Mapa final'!$Y$19),"")</f>
        <v/>
      </c>
      <c r="AK28" s="53" t="str">
        <f>IF(AND('Mapa final'!$AI$20="Media",'Mapa final'!$AK$20="Catastrófico"),CONCATENATE("R3C",'Mapa final'!$Y$20),"")</f>
        <v/>
      </c>
      <c r="AL28" s="53" t="str">
        <f>IF(AND('Mapa final'!$AI$21="Media",'Mapa final'!$AK$21="Catastrófico"),CONCATENATE("R3C",'Mapa final'!$Y$21),"")</f>
        <v/>
      </c>
      <c r="AM28" s="54" t="str">
        <f>IF(AND('Mapa final'!$AI$22="Media",'Mapa final'!$AK$22="Catastrófico"),CONCATENATE("R3C",'Mapa final'!$Y$22),"")</f>
        <v/>
      </c>
      <c r="AN28" s="80"/>
      <c r="AO28" s="534"/>
      <c r="AP28" s="535"/>
      <c r="AQ28" s="535"/>
      <c r="AR28" s="535"/>
      <c r="AS28" s="535"/>
      <c r="AT28" s="536"/>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406"/>
      <c r="C29" s="406"/>
      <c r="D29" s="407"/>
      <c r="E29" s="505"/>
      <c r="F29" s="504"/>
      <c r="G29" s="504"/>
      <c r="H29" s="504"/>
      <c r="I29" s="520"/>
      <c r="J29" s="64" t="str">
        <f>IF(AND('Mapa final'!$AI$23="Media",'Mapa final'!$AK$23="Leve"),CONCATENATE("R4C",'Mapa final'!$Y$23),"")</f>
        <v/>
      </c>
      <c r="K29" s="65" t="str">
        <f>IF(AND('Mapa final'!$AI$24="Media",'Mapa final'!$AK$24="Leve"),CONCATENATE("R4C",'Mapa final'!$Y$24),"")</f>
        <v/>
      </c>
      <c r="L29" s="65" t="str">
        <f>IF(AND('Mapa final'!$AI$25="Media",'Mapa final'!$AK$25="Leve"),CONCATENATE("R4C",'Mapa final'!$Y$25),"")</f>
        <v/>
      </c>
      <c r="M29" s="65" t="str">
        <f>IF(AND('Mapa final'!$AI$26="Media",'Mapa final'!$AK$26="Leve"),CONCATENATE("R4C",'Mapa final'!$Y$26),"")</f>
        <v/>
      </c>
      <c r="N29" s="65" t="str">
        <f>IF(AND('Mapa final'!$AI$27="Media",'Mapa final'!$AK$27="Leve"),CONCATENATE("R4C",'Mapa final'!$Y$27),"")</f>
        <v/>
      </c>
      <c r="O29" s="66" t="str">
        <f>IF(AND('Mapa final'!$AI$28="Media",'Mapa final'!$AK$28="Leve"),CONCATENATE("R4C",'Mapa final'!$Y$28),"")</f>
        <v/>
      </c>
      <c r="P29" s="64" t="str">
        <f>IF(AND('Mapa final'!$AI$23="Media",'Mapa final'!$AK$23="Menor"),CONCATENATE("R4C",'Mapa final'!$Y$23),"")</f>
        <v/>
      </c>
      <c r="Q29" s="65" t="str">
        <f>IF(AND('Mapa final'!$AI$24="Media",'Mapa final'!$AK$24="Menor"),CONCATENATE("R4C",'Mapa final'!$Y$24),"")</f>
        <v/>
      </c>
      <c r="R29" s="65" t="str">
        <f>IF(AND('Mapa final'!$AI$25="Media",'Mapa final'!$AK$25="Menor"),CONCATENATE("R4C",'Mapa final'!$Y$25),"")</f>
        <v/>
      </c>
      <c r="S29" s="65" t="str">
        <f>IF(AND('Mapa final'!$AI$26="Media",'Mapa final'!$AK$26="Menor"),CONCATENATE("R4C",'Mapa final'!$Y$26),"")</f>
        <v/>
      </c>
      <c r="T29" s="65" t="str">
        <f>IF(AND('Mapa final'!$AI$27="Media",'Mapa final'!$AK$27="Menor"),CONCATENATE("R4C",'Mapa final'!$Y$27),"")</f>
        <v/>
      </c>
      <c r="U29" s="66" t="str">
        <f>IF(AND('Mapa final'!$AI$28="Media",'Mapa final'!$AK$28="Menor"),CONCATENATE("R4C",'Mapa final'!$Y$28),"")</f>
        <v/>
      </c>
      <c r="V29" s="64" t="str">
        <f>IF(AND('Mapa final'!$AI$23="Media",'Mapa final'!$AK$23="Moderado"),CONCATENATE("R4C",'Mapa final'!$Y$23),"")</f>
        <v/>
      </c>
      <c r="W29" s="65" t="str">
        <f>IF(AND('Mapa final'!$AI$24="Media",'Mapa final'!$AK$24="Moderado"),CONCATENATE("R4C",'Mapa final'!$Y$24),"")</f>
        <v/>
      </c>
      <c r="X29" s="65" t="str">
        <f>IF(AND('Mapa final'!$AI$25="Media",'Mapa final'!$AK$25="Moderado"),CONCATENATE("R4C",'Mapa final'!$Y$25),"")</f>
        <v/>
      </c>
      <c r="Y29" s="65" t="str">
        <f>IF(AND('Mapa final'!$AI$26="Media",'Mapa final'!$AK$26="Moderado"),CONCATENATE("R4C",'Mapa final'!$Y$26),"")</f>
        <v/>
      </c>
      <c r="Z29" s="65" t="str">
        <f>IF(AND('Mapa final'!$AI$27="Media",'Mapa final'!$AK$27="Moderado"),CONCATENATE("R4C",'Mapa final'!$Y$27),"")</f>
        <v/>
      </c>
      <c r="AA29" s="66" t="str">
        <f>IF(AND('Mapa final'!$AI$28="Media",'Mapa final'!$AK$28="Moderado"),CONCATENATE("R4C",'Mapa final'!$Y$28),"")</f>
        <v/>
      </c>
      <c r="AB29" s="49" t="str">
        <f>IF(AND('Mapa final'!$AI$23="Media",'Mapa final'!$AK$23="Mayor"),CONCATENATE("R4C",'Mapa final'!$Y$23),"")</f>
        <v/>
      </c>
      <c r="AC29" s="50" t="str">
        <f>IF(AND('Mapa final'!$AI$24="Media",'Mapa final'!$AK$24="Mayor"),CONCATENATE("R4C",'Mapa final'!$Y$24),"")</f>
        <v/>
      </c>
      <c r="AD29" s="50" t="str">
        <f>IF(AND('Mapa final'!$AI$25="Media",'Mapa final'!$AK$25="Mayor"),CONCATENATE("R4C",'Mapa final'!$Y$25),"")</f>
        <v/>
      </c>
      <c r="AE29" s="50" t="str">
        <f>IF(AND('Mapa final'!$AI$26="Media",'Mapa final'!$AK$26="Mayor"),CONCATENATE("R4C",'Mapa final'!$Y$26),"")</f>
        <v/>
      </c>
      <c r="AF29" s="50" t="str">
        <f>IF(AND('Mapa final'!$AI$27="Media",'Mapa final'!$AK$27="Mayor"),CONCATENATE("R4C",'Mapa final'!$Y$27),"")</f>
        <v/>
      </c>
      <c r="AG29" s="51" t="str">
        <f>IF(AND('Mapa final'!$AI$28="Media",'Mapa final'!$AK$28="Mayor"),CONCATENATE("R4C",'Mapa final'!$Y$28),"")</f>
        <v/>
      </c>
      <c r="AH29" s="52" t="str">
        <f>IF(AND('Mapa final'!$AI$23="Media",'Mapa final'!$AK$23="Catastrófico"),CONCATENATE("R4C",'Mapa final'!$Y$23),"")</f>
        <v/>
      </c>
      <c r="AI29" s="53" t="str">
        <f>IF(AND('Mapa final'!$AI$24="Media",'Mapa final'!$AK$24="Catastrófico"),CONCATENATE("R4C",'Mapa final'!$Y$24),"")</f>
        <v/>
      </c>
      <c r="AJ29" s="53" t="str">
        <f>IF(AND('Mapa final'!$AI$25="Media",'Mapa final'!$AK$25="Catastrófico"),CONCATENATE("R4C",'Mapa final'!$Y$25),"")</f>
        <v/>
      </c>
      <c r="AK29" s="53" t="str">
        <f>IF(AND('Mapa final'!$AI$26="Media",'Mapa final'!$AK$26="Catastrófico"),CONCATENATE("R4C",'Mapa final'!$Y$26),"")</f>
        <v/>
      </c>
      <c r="AL29" s="53" t="str">
        <f>IF(AND('Mapa final'!$AI$27="Media",'Mapa final'!$AK$27="Catastrófico"),CONCATENATE("R4C",'Mapa final'!$Y$27),"")</f>
        <v/>
      </c>
      <c r="AM29" s="54" t="str">
        <f>IF(AND('Mapa final'!$AI$28="Media",'Mapa final'!$AK$28="Catastrófico"),CONCATENATE("R4C",'Mapa final'!$Y$28),"")</f>
        <v/>
      </c>
      <c r="AN29" s="80"/>
      <c r="AO29" s="534"/>
      <c r="AP29" s="535"/>
      <c r="AQ29" s="535"/>
      <c r="AR29" s="535"/>
      <c r="AS29" s="535"/>
      <c r="AT29" s="536"/>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406"/>
      <c r="C30" s="406"/>
      <c r="D30" s="407"/>
      <c r="E30" s="505"/>
      <c r="F30" s="504"/>
      <c r="G30" s="504"/>
      <c r="H30" s="504"/>
      <c r="I30" s="520"/>
      <c r="J30" s="64" t="str">
        <f>IF(AND('Mapa final'!$AI$29="Media",'Mapa final'!$AK$29="Leve"),CONCATENATE("R5C",'Mapa final'!$Y$29),"")</f>
        <v/>
      </c>
      <c r="K30" s="65" t="str">
        <f>IF(AND('Mapa final'!$AI$30="Media",'Mapa final'!$AK$30="Leve"),CONCATENATE("R5C",'Mapa final'!$Y$30),"")</f>
        <v/>
      </c>
      <c r="L30" s="65" t="str">
        <f>IF(AND('Mapa final'!$AI$31="Media",'Mapa final'!$AK$31="Leve"),CONCATENATE("R5C",'Mapa final'!$Y$31),"")</f>
        <v/>
      </c>
      <c r="M30" s="65" t="str">
        <f>IF(AND('Mapa final'!$AI$32="Media",'Mapa final'!$AK$32="Leve"),CONCATENATE("R5C",'Mapa final'!$Y$32),"")</f>
        <v/>
      </c>
      <c r="N30" s="65" t="str">
        <f>IF(AND('Mapa final'!$AI$33="Media",'Mapa final'!$AK$33="Leve"),CONCATENATE("R5C",'Mapa final'!$Y$33),"")</f>
        <v/>
      </c>
      <c r="O30" s="66" t="str">
        <f>IF(AND('Mapa final'!$AI$34="Media",'Mapa final'!$AK$34="Leve"),CONCATENATE("R5C",'Mapa final'!$Y$34),"")</f>
        <v/>
      </c>
      <c r="P30" s="64" t="str">
        <f>IF(AND('Mapa final'!$AI$29="Media",'Mapa final'!$AK$29="Menor"),CONCATENATE("R5C",'Mapa final'!$Y$29),"")</f>
        <v/>
      </c>
      <c r="Q30" s="65" t="str">
        <f>IF(AND('Mapa final'!$AI$30="Media",'Mapa final'!$AK$30="Menor"),CONCATENATE("R5C",'Mapa final'!$Y$30),"")</f>
        <v/>
      </c>
      <c r="R30" s="65" t="str">
        <f>IF(AND('Mapa final'!$AI$31="Media",'Mapa final'!$AK$31="Menor"),CONCATENATE("R5C",'Mapa final'!$Y$31),"")</f>
        <v/>
      </c>
      <c r="S30" s="65" t="str">
        <f>IF(AND('Mapa final'!$AI$32="Media",'Mapa final'!$AK$32="Menor"),CONCATENATE("R5C",'Mapa final'!$Y$32),"")</f>
        <v/>
      </c>
      <c r="T30" s="65" t="str">
        <f>IF(AND('Mapa final'!$AI$33="Media",'Mapa final'!$AK$33="Menor"),CONCATENATE("R5C",'Mapa final'!$Y$33),"")</f>
        <v/>
      </c>
      <c r="U30" s="66" t="str">
        <f>IF(AND('Mapa final'!$AI$34="Media",'Mapa final'!$AK$34="Menor"),CONCATENATE("R5C",'Mapa final'!$Y$34),"")</f>
        <v/>
      </c>
      <c r="V30" s="64" t="str">
        <f>IF(AND('Mapa final'!$AI$29="Media",'Mapa final'!$AK$29="Moderado"),CONCATENATE("R5C",'Mapa final'!$Y$29),"")</f>
        <v/>
      </c>
      <c r="W30" s="65" t="str">
        <f>IF(AND('Mapa final'!$AI$30="Media",'Mapa final'!$AK$30="Moderado"),CONCATENATE("R5C",'Mapa final'!$Y$30),"")</f>
        <v/>
      </c>
      <c r="X30" s="65" t="str">
        <f>IF(AND('Mapa final'!$AI$31="Media",'Mapa final'!$AK$31="Moderado"),CONCATENATE("R5C",'Mapa final'!$Y$31),"")</f>
        <v/>
      </c>
      <c r="Y30" s="65" t="str">
        <f>IF(AND('Mapa final'!$AI$32="Media",'Mapa final'!$AK$32="Moderado"),CONCATENATE("R5C",'Mapa final'!$Y$32),"")</f>
        <v/>
      </c>
      <c r="Z30" s="65" t="str">
        <f>IF(AND('Mapa final'!$AI$33="Media",'Mapa final'!$AK$33="Moderado"),CONCATENATE("R5C",'Mapa final'!$Y$33),"")</f>
        <v/>
      </c>
      <c r="AA30" s="66" t="str">
        <f>IF(AND('Mapa final'!$AI$34="Media",'Mapa final'!$AK$34="Moderado"),CONCATENATE("R5C",'Mapa final'!$Y$34),"")</f>
        <v/>
      </c>
      <c r="AB30" s="49" t="str">
        <f>IF(AND('Mapa final'!$AI$29="Media",'Mapa final'!$AK$29="Mayor"),CONCATENATE("R5C",'Mapa final'!$Y$29),"")</f>
        <v/>
      </c>
      <c r="AC30" s="50" t="str">
        <f>IF(AND('Mapa final'!$AI$30="Media",'Mapa final'!$AK$30="Mayor"),CONCATENATE("R5C",'Mapa final'!$Y$30),"")</f>
        <v/>
      </c>
      <c r="AD30" s="50" t="str">
        <f>IF(AND('Mapa final'!$AI$31="Media",'Mapa final'!$AK$31="Mayor"),CONCATENATE("R5C",'Mapa final'!$Y$31),"")</f>
        <v/>
      </c>
      <c r="AE30" s="50" t="str">
        <f>IF(AND('Mapa final'!$AI$32="Media",'Mapa final'!$AK$32="Mayor"),CONCATENATE("R5C",'Mapa final'!$Y$32),"")</f>
        <v/>
      </c>
      <c r="AF30" s="50" t="str">
        <f>IF(AND('Mapa final'!$AI$33="Media",'Mapa final'!$AK$33="Mayor"),CONCATENATE("R5C",'Mapa final'!$Y$33),"")</f>
        <v/>
      </c>
      <c r="AG30" s="51" t="str">
        <f>IF(AND('Mapa final'!$AI$34="Media",'Mapa final'!$AK$34="Mayor"),CONCATENATE("R5C",'Mapa final'!$Y$34),"")</f>
        <v/>
      </c>
      <c r="AH30" s="52" t="str">
        <f>IF(AND('Mapa final'!$AI$29="Media",'Mapa final'!$AK$29="Catastrófico"),CONCATENATE("R5C",'Mapa final'!$Y$29),"")</f>
        <v/>
      </c>
      <c r="AI30" s="53" t="str">
        <f>IF(AND('Mapa final'!$AI$30="Media",'Mapa final'!$AK$30="Catastrófico"),CONCATENATE("R5C",'Mapa final'!$Y$30),"")</f>
        <v/>
      </c>
      <c r="AJ30" s="53" t="str">
        <f>IF(AND('Mapa final'!$AI$31="Media",'Mapa final'!$AK$31="Catastrófico"),CONCATENATE("R5C",'Mapa final'!$Y$31),"")</f>
        <v/>
      </c>
      <c r="AK30" s="53" t="str">
        <f>IF(AND('Mapa final'!$AI$32="Media",'Mapa final'!$AK$32="Catastrófico"),CONCATENATE("R5C",'Mapa final'!$Y$32),"")</f>
        <v/>
      </c>
      <c r="AL30" s="53" t="str">
        <f>IF(AND('Mapa final'!$AI$33="Media",'Mapa final'!$AK$33="Catastrófico"),CONCATENATE("R5C",'Mapa final'!$Y$33),"")</f>
        <v/>
      </c>
      <c r="AM30" s="54" t="str">
        <f>IF(AND('Mapa final'!$AI$34="Media",'Mapa final'!$AK$34="Catastrófico"),CONCATENATE("R5C",'Mapa final'!$Y$34),"")</f>
        <v/>
      </c>
      <c r="AN30" s="80"/>
      <c r="AO30" s="534"/>
      <c r="AP30" s="535"/>
      <c r="AQ30" s="535"/>
      <c r="AR30" s="535"/>
      <c r="AS30" s="535"/>
      <c r="AT30" s="536"/>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406"/>
      <c r="C31" s="406"/>
      <c r="D31" s="407"/>
      <c r="E31" s="505"/>
      <c r="F31" s="504"/>
      <c r="G31" s="504"/>
      <c r="H31" s="504"/>
      <c r="I31" s="520"/>
      <c r="J31" s="64" t="str">
        <f>IF(AND('Mapa final'!$AI$35="Media",'Mapa final'!$AK$35="Leve"),CONCATENATE("R6C",'Mapa final'!$Y$35),"")</f>
        <v/>
      </c>
      <c r="K31" s="65" t="str">
        <f>IF(AND('Mapa final'!$AI$36="Media",'Mapa final'!$AK$36="Leve"),CONCATENATE("R6C",'Mapa final'!$Y$36),"")</f>
        <v/>
      </c>
      <c r="L31" s="65" t="str">
        <f>IF(AND('Mapa final'!$AI$37="Media",'Mapa final'!$AK$37="Leve"),CONCATENATE("R6C",'Mapa final'!$Y$37),"")</f>
        <v/>
      </c>
      <c r="M31" s="65" t="str">
        <f>IF(AND('Mapa final'!$AI$38="Media",'Mapa final'!$AK$38="Leve"),CONCATENATE("R6C",'Mapa final'!$Y$38),"")</f>
        <v/>
      </c>
      <c r="N31" s="65" t="str">
        <f>IF(AND('Mapa final'!$AI$39="Media",'Mapa final'!$AK$39="Leve"),CONCATENATE("R6C",'Mapa final'!$Y$39),"")</f>
        <v/>
      </c>
      <c r="O31" s="66" t="str">
        <f>IF(AND('Mapa final'!$AI$40="Media",'Mapa final'!$AK$40="Leve"),CONCATENATE("R6C",'Mapa final'!$Y$40),"")</f>
        <v/>
      </c>
      <c r="P31" s="64" t="str">
        <f>IF(AND('Mapa final'!$AI$35="Media",'Mapa final'!$AK$35="Menor"),CONCATENATE("R6C",'Mapa final'!$Y$35),"")</f>
        <v/>
      </c>
      <c r="Q31" s="65" t="str">
        <f>IF(AND('Mapa final'!$AI$36="Media",'Mapa final'!$AK$36="Menor"),CONCATENATE("R6C",'Mapa final'!$Y$36),"")</f>
        <v/>
      </c>
      <c r="R31" s="65" t="str">
        <f>IF(AND('Mapa final'!$AI$37="Media",'Mapa final'!$AK$37="Menor"),CONCATENATE("R6C",'Mapa final'!$Y$37),"")</f>
        <v/>
      </c>
      <c r="S31" s="65" t="str">
        <f>IF(AND('Mapa final'!$AI$38="Media",'Mapa final'!$AK$38="Menor"),CONCATENATE("R6C",'Mapa final'!$Y$38),"")</f>
        <v/>
      </c>
      <c r="T31" s="65" t="str">
        <f>IF(AND('Mapa final'!$AI$39="Media",'Mapa final'!$AK$39="Menor"),CONCATENATE("R6C",'Mapa final'!$Y$39),"")</f>
        <v/>
      </c>
      <c r="U31" s="66" t="str">
        <f>IF(AND('Mapa final'!$AI$40="Media",'Mapa final'!$AK$40="Menor"),CONCATENATE("R6C",'Mapa final'!$Y$40),"")</f>
        <v/>
      </c>
      <c r="V31" s="64" t="str">
        <f>IF(AND('Mapa final'!$AI$35="Media",'Mapa final'!$AK$35="Moderado"),CONCATENATE("R6C",'Mapa final'!$Y$35),"")</f>
        <v/>
      </c>
      <c r="W31" s="65" t="str">
        <f>IF(AND('Mapa final'!$AI$36="Media",'Mapa final'!$AK$36="Moderado"),CONCATENATE("R6C",'Mapa final'!$Y$36),"")</f>
        <v/>
      </c>
      <c r="X31" s="65" t="str">
        <f>IF(AND('Mapa final'!$AI$37="Media",'Mapa final'!$AK$37="Moderado"),CONCATENATE("R6C",'Mapa final'!$Y$37),"")</f>
        <v/>
      </c>
      <c r="Y31" s="65" t="str">
        <f>IF(AND('Mapa final'!$AI$38="Media",'Mapa final'!$AK$38="Moderado"),CONCATENATE("R6C",'Mapa final'!$Y$38),"")</f>
        <v/>
      </c>
      <c r="Z31" s="65" t="str">
        <f>IF(AND('Mapa final'!$AI$39="Media",'Mapa final'!$AK$39="Moderado"),CONCATENATE("R6C",'Mapa final'!$Y$39),"")</f>
        <v/>
      </c>
      <c r="AA31" s="66" t="str">
        <f>IF(AND('Mapa final'!$AI$40="Media",'Mapa final'!$AK$40="Moderado"),CONCATENATE("R6C",'Mapa final'!$Y$40),"")</f>
        <v/>
      </c>
      <c r="AB31" s="49" t="str">
        <f>IF(AND('Mapa final'!$AI$35="Media",'Mapa final'!$AK$35="Mayor"),CONCATENATE("R6C",'Mapa final'!$Y$35),"")</f>
        <v/>
      </c>
      <c r="AC31" s="50" t="str">
        <f>IF(AND('Mapa final'!$AI$36="Media",'Mapa final'!$AK$36="Mayor"),CONCATENATE("R6C",'Mapa final'!$Y$36),"")</f>
        <v/>
      </c>
      <c r="AD31" s="50" t="str">
        <f>IF(AND('Mapa final'!$AI$37="Media",'Mapa final'!$AK$37="Mayor"),CONCATENATE("R6C",'Mapa final'!$Y$37),"")</f>
        <v/>
      </c>
      <c r="AE31" s="50" t="str">
        <f>IF(AND('Mapa final'!$AI$38="Media",'Mapa final'!$AK$38="Mayor"),CONCATENATE("R6C",'Mapa final'!$Y$38),"")</f>
        <v/>
      </c>
      <c r="AF31" s="50" t="str">
        <f>IF(AND('Mapa final'!$AI$39="Media",'Mapa final'!$AK$39="Mayor"),CONCATENATE("R6C",'Mapa final'!$Y$39),"")</f>
        <v/>
      </c>
      <c r="AG31" s="51" t="str">
        <f>IF(AND('Mapa final'!$AI$40="Media",'Mapa final'!$AK$40="Mayor"),CONCATENATE("R6C",'Mapa final'!$Y$40),"")</f>
        <v/>
      </c>
      <c r="AH31" s="52" t="str">
        <f>IF(AND('Mapa final'!$AI$35="Media",'Mapa final'!$AK$35="Catastrófico"),CONCATENATE("R6C",'Mapa final'!$Y$35),"")</f>
        <v/>
      </c>
      <c r="AI31" s="53" t="str">
        <f>IF(AND('Mapa final'!$AI$36="Media",'Mapa final'!$AK$36="Catastrófico"),CONCATENATE("R6C",'Mapa final'!$Y$36),"")</f>
        <v/>
      </c>
      <c r="AJ31" s="53" t="str">
        <f>IF(AND('Mapa final'!$AI$37="Media",'Mapa final'!$AK$37="Catastrófico"),CONCATENATE("R6C",'Mapa final'!$Y$37),"")</f>
        <v/>
      </c>
      <c r="AK31" s="53" t="str">
        <f>IF(AND('Mapa final'!$AI$38="Media",'Mapa final'!$AK$38="Catastrófico"),CONCATENATE("R6C",'Mapa final'!$Y$38),"")</f>
        <v/>
      </c>
      <c r="AL31" s="53" t="str">
        <f>IF(AND('Mapa final'!$AI$39="Media",'Mapa final'!$AK$39="Catastrófico"),CONCATENATE("R6C",'Mapa final'!$Y$39),"")</f>
        <v/>
      </c>
      <c r="AM31" s="54" t="str">
        <f>IF(AND('Mapa final'!$AI$40="Media",'Mapa final'!$AK$40="Catastrófico"),CONCATENATE("R6C",'Mapa final'!$Y$40),"")</f>
        <v/>
      </c>
      <c r="AN31" s="80"/>
      <c r="AO31" s="534"/>
      <c r="AP31" s="535"/>
      <c r="AQ31" s="535"/>
      <c r="AR31" s="535"/>
      <c r="AS31" s="535"/>
      <c r="AT31" s="536"/>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406"/>
      <c r="C32" s="406"/>
      <c r="D32" s="407"/>
      <c r="E32" s="505"/>
      <c r="F32" s="504"/>
      <c r="G32" s="504"/>
      <c r="H32" s="504"/>
      <c r="I32" s="520"/>
      <c r="J32" s="64" t="str">
        <f>IF(AND('Mapa final'!$AI$41="Media",'Mapa final'!$AK$41="Leve"),CONCATENATE("R7C",'Mapa final'!$Y$41),"")</f>
        <v/>
      </c>
      <c r="K32" s="65" t="str">
        <f>IF(AND('Mapa final'!$AI$42="Media",'Mapa final'!$AK$42="Leve"),CONCATENATE("R7C",'Mapa final'!$Y$42),"")</f>
        <v/>
      </c>
      <c r="L32" s="65" t="str">
        <f>IF(AND('Mapa final'!$AI$43="Media",'Mapa final'!$AK$43="Leve"),CONCATENATE("R7C",'Mapa final'!$Y$43),"")</f>
        <v/>
      </c>
      <c r="M32" s="65" t="str">
        <f>IF(AND('Mapa final'!$AI$44="Media",'Mapa final'!$AK$44="Leve"),CONCATENATE("R7C",'Mapa final'!$Y$44),"")</f>
        <v/>
      </c>
      <c r="N32" s="65" t="str">
        <f>IF(AND('Mapa final'!$AI$45="Media",'Mapa final'!$AK$45="Leve"),CONCATENATE("R7C",'Mapa final'!$Y$45),"")</f>
        <v/>
      </c>
      <c r="O32" s="66" t="str">
        <f>IF(AND('Mapa final'!$AI$46="Media",'Mapa final'!$AK$46="Leve"),CONCATENATE("R7C",'Mapa final'!$Y$46),"")</f>
        <v/>
      </c>
      <c r="P32" s="64" t="str">
        <f>IF(AND('Mapa final'!$AI$41="Media",'Mapa final'!$AK$41="Menor"),CONCATENATE("R7C",'Mapa final'!$Y$41),"")</f>
        <v/>
      </c>
      <c r="Q32" s="65" t="str">
        <f>IF(AND('Mapa final'!$AI$42="Media",'Mapa final'!$AK$42="Menor"),CONCATENATE("R7C",'Mapa final'!$Y$42),"")</f>
        <v/>
      </c>
      <c r="R32" s="65" t="str">
        <f>IF(AND('Mapa final'!$AI$43="Media",'Mapa final'!$AK$43="Menor"),CONCATENATE("R7C",'Mapa final'!$Y$43),"")</f>
        <v/>
      </c>
      <c r="S32" s="65" t="str">
        <f>IF(AND('Mapa final'!$AI$44="Media",'Mapa final'!$AK$44="Menor"),CONCATENATE("R7C",'Mapa final'!$Y$44),"")</f>
        <v/>
      </c>
      <c r="T32" s="65" t="str">
        <f>IF(AND('Mapa final'!$AI$45="Media",'Mapa final'!$AK$45="Menor"),CONCATENATE("R7C",'Mapa final'!$Y$45),"")</f>
        <v/>
      </c>
      <c r="U32" s="66" t="str">
        <f>IF(AND('Mapa final'!$AI$46="Media",'Mapa final'!$AK$46="Menor"),CONCATENATE("R7C",'Mapa final'!$Y$46),"")</f>
        <v/>
      </c>
      <c r="V32" s="64" t="str">
        <f>IF(AND('Mapa final'!$AI$41="Media",'Mapa final'!$AK$41="Moderado"),CONCATENATE("R7C",'Mapa final'!$Y$41),"")</f>
        <v/>
      </c>
      <c r="W32" s="65" t="str">
        <f>IF(AND('Mapa final'!$AI$42="Media",'Mapa final'!$AK$42="Moderado"),CONCATENATE("R7C",'Mapa final'!$Y$42),"")</f>
        <v/>
      </c>
      <c r="X32" s="65" t="str">
        <f>IF(AND('Mapa final'!$AI$43="Media",'Mapa final'!$AK$43="Moderado"),CONCATENATE("R7C",'Mapa final'!$Y$43),"")</f>
        <v/>
      </c>
      <c r="Y32" s="65" t="str">
        <f>IF(AND('Mapa final'!$AI$44="Media",'Mapa final'!$AK$44="Moderado"),CONCATENATE("R7C",'Mapa final'!$Y$44),"")</f>
        <v/>
      </c>
      <c r="Z32" s="65" t="str">
        <f>IF(AND('Mapa final'!$AI$45="Media",'Mapa final'!$AK$45="Moderado"),CONCATENATE("R7C",'Mapa final'!$Y$45),"")</f>
        <v/>
      </c>
      <c r="AA32" s="66" t="str">
        <f>IF(AND('Mapa final'!$AI$46="Media",'Mapa final'!$AK$46="Moderado"),CONCATENATE("R7C",'Mapa final'!$Y$46),"")</f>
        <v/>
      </c>
      <c r="AB32" s="49" t="str">
        <f>IF(AND('Mapa final'!$AI$41="Media",'Mapa final'!$AK$41="Mayor"),CONCATENATE("R7C",'Mapa final'!$Y$41),"")</f>
        <v/>
      </c>
      <c r="AC32" s="50" t="str">
        <f>IF(AND('Mapa final'!$AI$42="Media",'Mapa final'!$AK$42="Mayor"),CONCATENATE("R7C",'Mapa final'!$Y$42),"")</f>
        <v/>
      </c>
      <c r="AD32" s="50" t="str">
        <f>IF(AND('Mapa final'!$AI$43="Media",'Mapa final'!$AK$43="Mayor"),CONCATENATE("R7C",'Mapa final'!$Y$43),"")</f>
        <v/>
      </c>
      <c r="AE32" s="50" t="str">
        <f>IF(AND('Mapa final'!$AI$44="Media",'Mapa final'!$AK$44="Mayor"),CONCATENATE("R7C",'Mapa final'!$Y$44),"")</f>
        <v/>
      </c>
      <c r="AF32" s="50" t="str">
        <f>IF(AND('Mapa final'!$AI$45="Media",'Mapa final'!$AK$45="Mayor"),CONCATENATE("R7C",'Mapa final'!$Y$45),"")</f>
        <v/>
      </c>
      <c r="AG32" s="51" t="str">
        <f>IF(AND('Mapa final'!$AI$46="Media",'Mapa final'!$AK$46="Mayor"),CONCATENATE("R7C",'Mapa final'!$Y$46),"")</f>
        <v/>
      </c>
      <c r="AH32" s="52" t="str">
        <f>IF(AND('Mapa final'!$AI$41="Media",'Mapa final'!$AK$41="Catastrófico"),CONCATENATE("R7C",'Mapa final'!$Y$41),"")</f>
        <v/>
      </c>
      <c r="AI32" s="53" t="str">
        <f>IF(AND('Mapa final'!$AI$42="Media",'Mapa final'!$AK$42="Catastrófico"),CONCATENATE("R7C",'Mapa final'!$Y$42),"")</f>
        <v/>
      </c>
      <c r="AJ32" s="53" t="str">
        <f>IF(AND('Mapa final'!$AI$43="Media",'Mapa final'!$AK$43="Catastrófico"),CONCATENATE("R7C",'Mapa final'!$Y$43),"")</f>
        <v/>
      </c>
      <c r="AK32" s="53" t="str">
        <f>IF(AND('Mapa final'!$AI$44="Media",'Mapa final'!$AK$44="Catastrófico"),CONCATENATE("R7C",'Mapa final'!$Y$44),"")</f>
        <v/>
      </c>
      <c r="AL32" s="53" t="str">
        <f>IF(AND('Mapa final'!$AI$45="Media",'Mapa final'!$AK$45="Catastrófico"),CONCATENATE("R7C",'Mapa final'!$Y$45),"")</f>
        <v/>
      </c>
      <c r="AM32" s="54" t="str">
        <f>IF(AND('Mapa final'!$AI$46="Media",'Mapa final'!$AK$46="Catastrófico"),CONCATENATE("R7C",'Mapa final'!$Y$46),"")</f>
        <v/>
      </c>
      <c r="AN32" s="80"/>
      <c r="AO32" s="534"/>
      <c r="AP32" s="535"/>
      <c r="AQ32" s="535"/>
      <c r="AR32" s="535"/>
      <c r="AS32" s="535"/>
      <c r="AT32" s="536"/>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406"/>
      <c r="C33" s="406"/>
      <c r="D33" s="407"/>
      <c r="E33" s="505"/>
      <c r="F33" s="504"/>
      <c r="G33" s="504"/>
      <c r="H33" s="504"/>
      <c r="I33" s="520"/>
      <c r="J33" s="64" t="str">
        <f>IF(AND('Mapa final'!$AI$47="Media",'Mapa final'!$AK$47="Leve"),CONCATENATE("R8C",'Mapa final'!$Y$47),"")</f>
        <v/>
      </c>
      <c r="K33" s="65" t="str">
        <f>IF(AND('Mapa final'!$AI$48="Media",'Mapa final'!$AK$48="Leve"),CONCATENATE("R8C",'Mapa final'!$Y$48),"")</f>
        <v/>
      </c>
      <c r="L33" s="65" t="str">
        <f>IF(AND('Mapa final'!$AI$49="Media",'Mapa final'!$AK$49="Leve"),CONCATENATE("R8C",'Mapa final'!$Y$49),"")</f>
        <v/>
      </c>
      <c r="M33" s="65" t="str">
        <f>IF(AND('Mapa final'!$AI$50="Media",'Mapa final'!$AK$50="Leve"),CONCATENATE("R8C",'Mapa final'!$Y$50),"")</f>
        <v/>
      </c>
      <c r="N33" s="65" t="str">
        <f>IF(AND('Mapa final'!$AI$51="Media",'Mapa final'!$AK$51="Leve"),CONCATENATE("R8C",'Mapa final'!$Y$51),"")</f>
        <v/>
      </c>
      <c r="O33" s="66" t="str">
        <f>IF(AND('Mapa final'!$AI$52="Media",'Mapa final'!$AK$52="Leve"),CONCATENATE("R8C",'Mapa final'!$Y$52),"")</f>
        <v/>
      </c>
      <c r="P33" s="64" t="str">
        <f>IF(AND('Mapa final'!$AI$47="Media",'Mapa final'!$AK$47="Menor"),CONCATENATE("R8C",'Mapa final'!$Y$47),"")</f>
        <v/>
      </c>
      <c r="Q33" s="65" t="str">
        <f>IF(AND('Mapa final'!$AI$48="Media",'Mapa final'!$AK$48="Menor"),CONCATENATE("R8C",'Mapa final'!$Y$48),"")</f>
        <v/>
      </c>
      <c r="R33" s="65" t="str">
        <f>IF(AND('Mapa final'!$AI$49="Media",'Mapa final'!$AK$49="Menor"),CONCATENATE("R8C",'Mapa final'!$Y$49),"")</f>
        <v/>
      </c>
      <c r="S33" s="65" t="str">
        <f>IF(AND('Mapa final'!$AI$50="Media",'Mapa final'!$AK$50="Menor"),CONCATENATE("R8C",'Mapa final'!$Y$50),"")</f>
        <v/>
      </c>
      <c r="T33" s="65" t="str">
        <f>IF(AND('Mapa final'!$AI$51="Media",'Mapa final'!$AK$51="Menor"),CONCATENATE("R8C",'Mapa final'!$Y$51),"")</f>
        <v/>
      </c>
      <c r="U33" s="66" t="str">
        <f>IF(AND('Mapa final'!$AI$52="Media",'Mapa final'!$AK$52="Menor"),CONCATENATE("R8C",'Mapa final'!$Y$52),"")</f>
        <v/>
      </c>
      <c r="V33" s="64" t="str">
        <f>IF(AND('Mapa final'!$AI$47="Media",'Mapa final'!$AK$47="Moderado"),CONCATENATE("R8C",'Mapa final'!$Y$47),"")</f>
        <v/>
      </c>
      <c r="W33" s="65" t="str">
        <f>IF(AND('Mapa final'!$AI$48="Media",'Mapa final'!$AK$48="Moderado"),CONCATENATE("R8C",'Mapa final'!$Y$48),"")</f>
        <v/>
      </c>
      <c r="X33" s="65" t="str">
        <f>IF(AND('Mapa final'!$AI$49="Media",'Mapa final'!$AK$49="Moderado"),CONCATENATE("R8C",'Mapa final'!$Y$49),"")</f>
        <v/>
      </c>
      <c r="Y33" s="65" t="str">
        <f>IF(AND('Mapa final'!$AI$50="Media",'Mapa final'!$AK$50="Moderado"),CONCATENATE("R8C",'Mapa final'!$Y$50),"")</f>
        <v/>
      </c>
      <c r="Z33" s="65" t="str">
        <f>IF(AND('Mapa final'!$AI$51="Media",'Mapa final'!$AK$51="Moderado"),CONCATENATE("R8C",'Mapa final'!$Y$51),"")</f>
        <v/>
      </c>
      <c r="AA33" s="66" t="str">
        <f>IF(AND('Mapa final'!$AI$52="Media",'Mapa final'!$AK$52="Moderado"),CONCATENATE("R8C",'Mapa final'!$Y$52),"")</f>
        <v/>
      </c>
      <c r="AB33" s="49" t="str">
        <f>IF(AND('Mapa final'!$AI$47="Media",'Mapa final'!$AK$47="Mayor"),CONCATENATE("R8C",'Mapa final'!$Y$47),"")</f>
        <v/>
      </c>
      <c r="AC33" s="50" t="str">
        <f>IF(AND('Mapa final'!$AI$48="Media",'Mapa final'!$AK$48="Mayor"),CONCATENATE("R8C",'Mapa final'!$Y$48),"")</f>
        <v/>
      </c>
      <c r="AD33" s="50" t="str">
        <f>IF(AND('Mapa final'!$AI$49="Media",'Mapa final'!$AK$49="Mayor"),CONCATENATE("R8C",'Mapa final'!$Y$49),"")</f>
        <v/>
      </c>
      <c r="AE33" s="50" t="str">
        <f>IF(AND('Mapa final'!$AI$50="Media",'Mapa final'!$AK$50="Mayor"),CONCATENATE("R8C",'Mapa final'!$Y$50),"")</f>
        <v/>
      </c>
      <c r="AF33" s="50" t="str">
        <f>IF(AND('Mapa final'!$AI$51="Media",'Mapa final'!$AK$51="Mayor"),CONCATENATE("R8C",'Mapa final'!$Y$51),"")</f>
        <v/>
      </c>
      <c r="AG33" s="51" t="str">
        <f>IF(AND('Mapa final'!$AI$52="Media",'Mapa final'!$AK$52="Mayor"),CONCATENATE("R8C",'Mapa final'!$Y$52),"")</f>
        <v/>
      </c>
      <c r="AH33" s="52" t="str">
        <f>IF(AND('Mapa final'!$AI$47="Media",'Mapa final'!$AK$47="Catastrófico"),CONCATENATE("R8C",'Mapa final'!$Y$47),"")</f>
        <v/>
      </c>
      <c r="AI33" s="53" t="str">
        <f>IF(AND('Mapa final'!$AI$48="Media",'Mapa final'!$AK$48="Catastrófico"),CONCATENATE("R8C",'Mapa final'!$Y$48),"")</f>
        <v/>
      </c>
      <c r="AJ33" s="53" t="str">
        <f>IF(AND('Mapa final'!$AI$49="Media",'Mapa final'!$AK$49="Catastrófico"),CONCATENATE("R8C",'Mapa final'!$Y$49),"")</f>
        <v/>
      </c>
      <c r="AK33" s="53" t="str">
        <f>IF(AND('Mapa final'!$AI$50="Media",'Mapa final'!$AK$50="Catastrófico"),CONCATENATE("R8C",'Mapa final'!$Y$50),"")</f>
        <v/>
      </c>
      <c r="AL33" s="53" t="str">
        <f>IF(AND('Mapa final'!$AI$51="Media",'Mapa final'!$AK$51="Catastrófico"),CONCATENATE("R8C",'Mapa final'!$Y$51),"")</f>
        <v/>
      </c>
      <c r="AM33" s="54" t="str">
        <f>IF(AND('Mapa final'!$AI$52="Media",'Mapa final'!$AK$52="Catastrófico"),CONCATENATE("R8C",'Mapa final'!$Y$52),"")</f>
        <v/>
      </c>
      <c r="AN33" s="80"/>
      <c r="AO33" s="534"/>
      <c r="AP33" s="535"/>
      <c r="AQ33" s="535"/>
      <c r="AR33" s="535"/>
      <c r="AS33" s="535"/>
      <c r="AT33" s="536"/>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406"/>
      <c r="C34" s="406"/>
      <c r="D34" s="407"/>
      <c r="E34" s="505"/>
      <c r="F34" s="504"/>
      <c r="G34" s="504"/>
      <c r="H34" s="504"/>
      <c r="I34" s="520"/>
      <c r="J34" s="64" t="str">
        <f>IF(AND('Mapa final'!$AI$53="Media",'Mapa final'!$AK$53="Leve"),CONCATENATE("R9C",'Mapa final'!$Y$53),"")</f>
        <v/>
      </c>
      <c r="K34" s="65" t="str">
        <f>IF(AND('Mapa final'!$AI$54="Media",'Mapa final'!$AK$54="Leve"),CONCATENATE("R9C",'Mapa final'!$Y$54),"")</f>
        <v/>
      </c>
      <c r="L34" s="65" t="str">
        <f>IF(AND('Mapa final'!$AI$55="Media",'Mapa final'!$AK$55="Leve"),CONCATENATE("R9C",'Mapa final'!$Y$55),"")</f>
        <v/>
      </c>
      <c r="M34" s="65" t="str">
        <f>IF(AND('Mapa final'!$AI$56="Media",'Mapa final'!$AK$56="Leve"),CONCATENATE("R9C",'Mapa final'!$Y$56),"")</f>
        <v/>
      </c>
      <c r="N34" s="65" t="str">
        <f>IF(AND('Mapa final'!$AI$57="Media",'Mapa final'!$AK$57="Leve"),CONCATENATE("R9C",'Mapa final'!$Y$57),"")</f>
        <v/>
      </c>
      <c r="O34" s="66" t="str">
        <f>IF(AND('Mapa final'!$AI$58="Media",'Mapa final'!$AK$58="Leve"),CONCATENATE("R9C",'Mapa final'!$Y$58),"")</f>
        <v/>
      </c>
      <c r="P34" s="64" t="str">
        <f>IF(AND('Mapa final'!$AI$53="Media",'Mapa final'!$AK$53="Menor"),CONCATENATE("R9C",'Mapa final'!$Y$53),"")</f>
        <v/>
      </c>
      <c r="Q34" s="65" t="str">
        <f>IF(AND('Mapa final'!$AI$54="Media",'Mapa final'!$AK$54="Menor"),CONCATENATE("R9C",'Mapa final'!$Y$54),"")</f>
        <v/>
      </c>
      <c r="R34" s="65" t="str">
        <f>IF(AND('Mapa final'!$AI$55="Media",'Mapa final'!$AK$55="Menor"),CONCATENATE("R9C",'Mapa final'!$Y$55),"")</f>
        <v/>
      </c>
      <c r="S34" s="65" t="str">
        <f>IF(AND('Mapa final'!$AI$56="Media",'Mapa final'!$AK$56="Menor"),CONCATENATE("R9C",'Mapa final'!$Y$56),"")</f>
        <v/>
      </c>
      <c r="T34" s="65" t="str">
        <f>IF(AND('Mapa final'!$AI$57="Media",'Mapa final'!$AK$57="Menor"),CONCATENATE("R9C",'Mapa final'!$Y$57),"")</f>
        <v/>
      </c>
      <c r="U34" s="66" t="str">
        <f>IF(AND('Mapa final'!$AI$58="Media",'Mapa final'!$AK$58="Menor"),CONCATENATE("R9C",'Mapa final'!$Y$58),"")</f>
        <v/>
      </c>
      <c r="V34" s="64" t="str">
        <f>IF(AND('Mapa final'!$AI$53="Media",'Mapa final'!$AK$53="Moderado"),CONCATENATE("R9C",'Mapa final'!$Y$53),"")</f>
        <v/>
      </c>
      <c r="W34" s="65" t="str">
        <f>IF(AND('Mapa final'!$AI$54="Media",'Mapa final'!$AK$54="Moderado"),CONCATENATE("R9C",'Mapa final'!$Y$54),"")</f>
        <v/>
      </c>
      <c r="X34" s="65" t="str">
        <f>IF(AND('Mapa final'!$AI$55="Media",'Mapa final'!$AK$55="Moderado"),CONCATENATE("R9C",'Mapa final'!$Y$55),"")</f>
        <v/>
      </c>
      <c r="Y34" s="65" t="str">
        <f>IF(AND('Mapa final'!$AI$56="Media",'Mapa final'!$AK$56="Moderado"),CONCATENATE("R9C",'Mapa final'!$Y$56),"")</f>
        <v/>
      </c>
      <c r="Z34" s="65" t="str">
        <f>IF(AND('Mapa final'!$AI$57="Media",'Mapa final'!$AK$57="Moderado"),CONCATENATE("R9C",'Mapa final'!$Y$57),"")</f>
        <v/>
      </c>
      <c r="AA34" s="66" t="str">
        <f>IF(AND('Mapa final'!$AI$58="Media",'Mapa final'!$AK$58="Moderado"),CONCATENATE("R9C",'Mapa final'!$Y$58),"")</f>
        <v/>
      </c>
      <c r="AB34" s="49" t="str">
        <f>IF(AND('Mapa final'!$AI$53="Media",'Mapa final'!$AK$53="Mayor"),CONCATENATE("R9C",'Mapa final'!$Y$53),"")</f>
        <v/>
      </c>
      <c r="AC34" s="50" t="str">
        <f>IF(AND('Mapa final'!$AI$54="Media",'Mapa final'!$AK$54="Mayor"),CONCATENATE("R9C",'Mapa final'!$Y$54),"")</f>
        <v/>
      </c>
      <c r="AD34" s="50" t="str">
        <f>IF(AND('Mapa final'!$AI$55="Media",'Mapa final'!$AK$55="Mayor"),CONCATENATE("R9C",'Mapa final'!$Y$55),"")</f>
        <v/>
      </c>
      <c r="AE34" s="50" t="str">
        <f>IF(AND('Mapa final'!$AI$56="Media",'Mapa final'!$AK$56="Mayor"),CONCATENATE("R9C",'Mapa final'!$Y$56),"")</f>
        <v/>
      </c>
      <c r="AF34" s="50" t="str">
        <f>IF(AND('Mapa final'!$AI$57="Media",'Mapa final'!$AK$57="Mayor"),CONCATENATE("R9C",'Mapa final'!$Y$57),"")</f>
        <v/>
      </c>
      <c r="AG34" s="51" t="str">
        <f>IF(AND('Mapa final'!$AI$58="Media",'Mapa final'!$AK$58="Mayor"),CONCATENATE("R9C",'Mapa final'!$Y$58),"")</f>
        <v/>
      </c>
      <c r="AH34" s="52" t="str">
        <f>IF(AND('Mapa final'!$AI$53="Media",'Mapa final'!$AK$53="Catastrófico"),CONCATENATE("R9C",'Mapa final'!$Y$53),"")</f>
        <v/>
      </c>
      <c r="AI34" s="53" t="str">
        <f>IF(AND('Mapa final'!$AI$54="Media",'Mapa final'!$AK$54="Catastrófico"),CONCATENATE("R9C",'Mapa final'!$Y$54),"")</f>
        <v/>
      </c>
      <c r="AJ34" s="53" t="str">
        <f>IF(AND('Mapa final'!$AI$55="Media",'Mapa final'!$AK$55="Catastrófico"),CONCATENATE("R9C",'Mapa final'!$Y$55),"")</f>
        <v/>
      </c>
      <c r="AK34" s="53" t="str">
        <f>IF(AND('Mapa final'!$AI$56="Media",'Mapa final'!$AK$56="Catastrófico"),CONCATENATE("R9C",'Mapa final'!$Y$56),"")</f>
        <v/>
      </c>
      <c r="AL34" s="53" t="str">
        <f>IF(AND('Mapa final'!$AI$57="Media",'Mapa final'!$AK$57="Catastrófico"),CONCATENATE("R9C",'Mapa final'!$Y$57),"")</f>
        <v/>
      </c>
      <c r="AM34" s="54" t="str">
        <f>IF(AND('Mapa final'!$AI$58="Media",'Mapa final'!$AK$58="Catastrófico"),CONCATENATE("R9C",'Mapa final'!$Y$58),"")</f>
        <v/>
      </c>
      <c r="AN34" s="80"/>
      <c r="AO34" s="534"/>
      <c r="AP34" s="535"/>
      <c r="AQ34" s="535"/>
      <c r="AR34" s="535"/>
      <c r="AS34" s="535"/>
      <c r="AT34" s="536"/>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406"/>
      <c r="C35" s="406"/>
      <c r="D35" s="407"/>
      <c r="E35" s="506"/>
      <c r="F35" s="507"/>
      <c r="G35" s="507"/>
      <c r="H35" s="507"/>
      <c r="I35" s="521"/>
      <c r="J35" s="64" t="str">
        <f>IF(AND('Mapa final'!$AI$59="Media",'Mapa final'!$AK$59="Leve"),CONCATENATE("R10C",'Mapa final'!$Y$59),"")</f>
        <v/>
      </c>
      <c r="K35" s="65" t="str">
        <f>IF(AND('Mapa final'!$AI$60="Media",'Mapa final'!$AK$60="Leve"),CONCATENATE("R10C",'Mapa final'!$Y$60),"")</f>
        <v/>
      </c>
      <c r="L35" s="65" t="str">
        <f>IF(AND('Mapa final'!$AI$61="Media",'Mapa final'!$AK$61="Leve"),CONCATENATE("R10C",'Mapa final'!$Y$61),"")</f>
        <v/>
      </c>
      <c r="M35" s="65" t="str">
        <f>IF(AND('Mapa final'!$AI$62="Media",'Mapa final'!$AK$62="Leve"),CONCATENATE("R10C",'Mapa final'!$Y$62),"")</f>
        <v/>
      </c>
      <c r="N35" s="65" t="str">
        <f>IF(AND('Mapa final'!$AI$63="Media",'Mapa final'!$AK$63="Leve"),CONCATENATE("R10C",'Mapa final'!$Y$63),"")</f>
        <v/>
      </c>
      <c r="O35" s="66" t="str">
        <f>IF(AND('Mapa final'!$AI$64="Media",'Mapa final'!$AK$64="Leve"),CONCATENATE("R10C",'Mapa final'!$Y$64),"")</f>
        <v/>
      </c>
      <c r="P35" s="64" t="str">
        <f>IF(AND('Mapa final'!$AI$59="Media",'Mapa final'!$AK$59="Menor"),CONCATENATE("R10C",'Mapa final'!$Y$59),"")</f>
        <v/>
      </c>
      <c r="Q35" s="65" t="str">
        <f>IF(AND('Mapa final'!$AI$60="Media",'Mapa final'!$AK$60="Menor"),CONCATENATE("R10C",'Mapa final'!$Y$60),"")</f>
        <v/>
      </c>
      <c r="R35" s="65" t="str">
        <f>IF(AND('Mapa final'!$AI$61="Media",'Mapa final'!$AK$61="Menor"),CONCATENATE("R10C",'Mapa final'!$Y$61),"")</f>
        <v/>
      </c>
      <c r="S35" s="65" t="str">
        <f>IF(AND('Mapa final'!$AI$62="Media",'Mapa final'!$AK$62="Menor"),CONCATENATE("R10C",'Mapa final'!$Y$62),"")</f>
        <v/>
      </c>
      <c r="T35" s="65" t="str">
        <f>IF(AND('Mapa final'!$AI$63="Media",'Mapa final'!$AK$63="Menor"),CONCATENATE("R10C",'Mapa final'!$Y$63),"")</f>
        <v/>
      </c>
      <c r="U35" s="66" t="str">
        <f>IF(AND('Mapa final'!$AI$64="Media",'Mapa final'!$AK$64="Menor"),CONCATENATE("R10C",'Mapa final'!$Y$64),"")</f>
        <v/>
      </c>
      <c r="V35" s="64" t="str">
        <f>IF(AND('Mapa final'!$AI$59="Media",'Mapa final'!$AK$59="Moderado"),CONCATENATE("R10C",'Mapa final'!$Y$59),"")</f>
        <v/>
      </c>
      <c r="W35" s="65" t="str">
        <f>IF(AND('Mapa final'!$AI$60="Media",'Mapa final'!$AK$60="Moderado"),CONCATENATE("R10C",'Mapa final'!$Y$60),"")</f>
        <v/>
      </c>
      <c r="X35" s="65" t="str">
        <f>IF(AND('Mapa final'!$AI$61="Media",'Mapa final'!$AK$61="Moderado"),CONCATENATE("R10C",'Mapa final'!$Y$61),"")</f>
        <v/>
      </c>
      <c r="Y35" s="65" t="str">
        <f>IF(AND('Mapa final'!$AI$62="Media",'Mapa final'!$AK$62="Moderado"),CONCATENATE("R10C",'Mapa final'!$Y$62),"")</f>
        <v/>
      </c>
      <c r="Z35" s="65" t="str">
        <f>IF(AND('Mapa final'!$AI$63="Media",'Mapa final'!$AK$63="Moderado"),CONCATENATE("R10C",'Mapa final'!$Y$63),"")</f>
        <v/>
      </c>
      <c r="AA35" s="66" t="str">
        <f>IF(AND('Mapa final'!$AI$64="Media",'Mapa final'!$AK$64="Moderado"),CONCATENATE("R10C",'Mapa final'!$Y$64),"")</f>
        <v/>
      </c>
      <c r="AB35" s="55" t="str">
        <f>IF(AND('Mapa final'!$AI$59="Media",'Mapa final'!$AK$59="Mayor"),CONCATENATE("R10C",'Mapa final'!$Y$59),"")</f>
        <v/>
      </c>
      <c r="AC35" s="56" t="str">
        <f>IF(AND('Mapa final'!$AI$60="Media",'Mapa final'!$AK$60="Mayor"),CONCATENATE("R10C",'Mapa final'!$Y$60),"")</f>
        <v/>
      </c>
      <c r="AD35" s="56" t="str">
        <f>IF(AND('Mapa final'!$AI$61="Media",'Mapa final'!$AK$61="Mayor"),CONCATENATE("R10C",'Mapa final'!$Y$61),"")</f>
        <v/>
      </c>
      <c r="AE35" s="56" t="str">
        <f>IF(AND('Mapa final'!$AI$62="Media",'Mapa final'!$AK$62="Mayor"),CONCATENATE("R10C",'Mapa final'!$Y$62),"")</f>
        <v/>
      </c>
      <c r="AF35" s="56" t="str">
        <f>IF(AND('Mapa final'!$AI$63="Media",'Mapa final'!$AK$63="Mayor"),CONCATENATE("R10C",'Mapa final'!$Y$63),"")</f>
        <v/>
      </c>
      <c r="AG35" s="57" t="str">
        <f>IF(AND('Mapa final'!$AI$64="Media",'Mapa final'!$AK$64="Mayor"),CONCATENATE("R10C",'Mapa final'!$Y$64),"")</f>
        <v/>
      </c>
      <c r="AH35" s="58" t="str">
        <f>IF(AND('Mapa final'!$AI$59="Media",'Mapa final'!$AK$59="Catastrófico"),CONCATENATE("R10C",'Mapa final'!$Y$59),"")</f>
        <v/>
      </c>
      <c r="AI35" s="59" t="str">
        <f>IF(AND('Mapa final'!$AI$60="Media",'Mapa final'!$AK$60="Catastrófico"),CONCATENATE("R10C",'Mapa final'!$Y$60),"")</f>
        <v/>
      </c>
      <c r="AJ35" s="59" t="str">
        <f>IF(AND('Mapa final'!$AI$61="Media",'Mapa final'!$AK$61="Catastrófico"),CONCATENATE("R10C",'Mapa final'!$Y$61),"")</f>
        <v/>
      </c>
      <c r="AK35" s="59" t="str">
        <f>IF(AND('Mapa final'!$AI$62="Media",'Mapa final'!$AK$62="Catastrófico"),CONCATENATE("R10C",'Mapa final'!$Y$62),"")</f>
        <v/>
      </c>
      <c r="AL35" s="59" t="str">
        <f>IF(AND('Mapa final'!$AI$63="Media",'Mapa final'!$AK$63="Catastrófico"),CONCATENATE("R10C",'Mapa final'!$Y$63),"")</f>
        <v/>
      </c>
      <c r="AM35" s="60" t="str">
        <f>IF(AND('Mapa final'!$AI$64="Media",'Mapa final'!$AK$64="Catastrófico"),CONCATENATE("R10C",'Mapa final'!$Y$64),"")</f>
        <v/>
      </c>
      <c r="AN35" s="80"/>
      <c r="AO35" s="537"/>
      <c r="AP35" s="538"/>
      <c r="AQ35" s="538"/>
      <c r="AR35" s="538"/>
      <c r="AS35" s="538"/>
      <c r="AT35" s="539"/>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406"/>
      <c r="C36" s="406"/>
      <c r="D36" s="407"/>
      <c r="E36" s="501" t="s">
        <v>139</v>
      </c>
      <c r="F36" s="502"/>
      <c r="G36" s="502"/>
      <c r="H36" s="502"/>
      <c r="I36" s="502"/>
      <c r="J36" s="70" t="str">
        <f>IF(AND('Mapa final'!$AI$11="Baja",'Mapa final'!$AK$11="Leve"),CONCATENATE("R1C",'Mapa final'!$Y$11),"")</f>
        <v/>
      </c>
      <c r="K36" s="71" t="str">
        <f>IF(AND('Mapa final'!$AI$13="Baja",'Mapa final'!$AK$13="Leve"),CONCATENATE("R1C",'Mapa final'!$Y$13),"")</f>
        <v/>
      </c>
      <c r="L36" s="71" t="str">
        <f>IF(AND('Mapa final'!$AI$14="Baja",'Mapa final'!$AK$14="Leve"),CONCATENATE("R1C",'Mapa final'!$Y$14),"")</f>
        <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str">
        <f>IF(AND('Mapa final'!$AI$13="Baja",'Mapa final'!$AK$13="Menor"),CONCATENATE("R1C",'Mapa final'!$Y$13),"")</f>
        <v/>
      </c>
      <c r="R36" s="62" t="str">
        <f>IF(AND('Mapa final'!$AI$14="Baja",'Mapa final'!$AK$14="Menor"),CONCATENATE("R1C",'Mapa final'!$Y$14),"")</f>
        <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str">
        <f>IF(AND('Mapa final'!$AI$13="Baja",'Mapa final'!$AK$13="Moderado"),CONCATENATE("R1C",'Mapa final'!$Y$13),"")</f>
        <v/>
      </c>
      <c r="X36" s="62" t="str">
        <f>IF(AND('Mapa final'!$AI$14="Baja",'Mapa final'!$AK$14="Moderado"),CONCATENATE("R1C",'Mapa final'!$Y$14),"")</f>
        <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final'!$AI$13="Baja",'Mapa final'!$AK$13="Mayor"),CONCATENATE("R1C",'Mapa final'!$Y$13),"")</f>
        <v/>
      </c>
      <c r="AD36" s="44" t="str">
        <f>IF(AND('Mapa final'!$AI$14="Baja",'Mapa final'!$AK$14="Mayor"),CONCATENATE("R1C",'Mapa final'!$Y$14),"")</f>
        <v>R1C3</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final'!$AI$13="Baja",'Mapa final'!$AK$13="Catastrófico"),CONCATENATE("R1C",'Mapa final'!$Y$13),"")</f>
        <v/>
      </c>
      <c r="AJ36" s="47" t="str">
        <f>IF(AND('Mapa final'!$AI$14="Baja",'Mapa final'!$AK$14="Catastrófico"),CONCATENATE("R1C",'Mapa final'!$Y$14),"")</f>
        <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522" t="s">
        <v>140</v>
      </c>
      <c r="AP36" s="523"/>
      <c r="AQ36" s="523"/>
      <c r="AR36" s="523"/>
      <c r="AS36" s="523"/>
      <c r="AT36" s="524"/>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406"/>
      <c r="C37" s="406"/>
      <c r="D37" s="407"/>
      <c r="E37" s="503"/>
      <c r="F37" s="504"/>
      <c r="G37" s="504"/>
      <c r="H37" s="504"/>
      <c r="I37" s="504"/>
      <c r="J37" s="73" t="str">
        <f>IF(AND('Mapa final'!$AI$15="Baja",'Mapa final'!$AK$15="Leve"),CONCATENATE("R2C",'Mapa final'!$Y$15),"")</f>
        <v/>
      </c>
      <c r="K37" s="74" t="str">
        <f>IF(AND('Mapa final'!$AI$16="Baja",'Mapa final'!$AK$16="Leve"),CONCATENATE("R2C",'Mapa final'!$Y$16),"")</f>
        <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final'!$AI$15="Baja",'Mapa final'!$AK$15="Menor"),CONCATENATE("R2C",'Mapa final'!$Y$15),"")</f>
        <v/>
      </c>
      <c r="Q37" s="65" t="str">
        <f>IF(AND('Mapa final'!$AI$16="Baja",'Mapa final'!$AK$16="Menor"),CONCATENATE("R2C",'Mapa final'!$Y$16),"")</f>
        <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final'!$AI$15="Baja",'Mapa final'!$AK$15="Moderado"),CONCATENATE("R2C",'Mapa final'!$Y$15),"")</f>
        <v/>
      </c>
      <c r="W37" s="65" t="str">
        <f>IF(AND('Mapa final'!$AI$16="Baja",'Mapa final'!$AK$16="Moderado"),CONCATENATE("R2C",'Mapa final'!$Y$16),"")</f>
        <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final'!$AI$15="Baja",'Mapa final'!$AK$15="Mayor"),CONCATENATE("R2C",'Mapa final'!$Y$15),"")</f>
        <v/>
      </c>
      <c r="AC37" s="50" t="str">
        <f>IF(AND('Mapa final'!$AI$16="Baja",'Mapa final'!$AK$16="Mayor"),CONCATENATE("R2C",'Mapa final'!$Y$16),"")</f>
        <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final'!$AI$15="Baja",'Mapa final'!$AK$15="Catastrófico"),CONCATENATE("R2C",'Mapa final'!$Y$15),"")</f>
        <v>R2C1</v>
      </c>
      <c r="AI37" s="53" t="str">
        <f>IF(AND('Mapa final'!$AI$16="Baja",'Mapa final'!$AK$16="Catastrófico"),CONCATENATE("R2C",'Mapa final'!$Y$16),"")</f>
        <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525"/>
      <c r="AP37" s="526"/>
      <c r="AQ37" s="526"/>
      <c r="AR37" s="526"/>
      <c r="AS37" s="526"/>
      <c r="AT37" s="527"/>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406"/>
      <c r="C38" s="406"/>
      <c r="D38" s="407"/>
      <c r="E38" s="505"/>
      <c r="F38" s="504"/>
      <c r="G38" s="504"/>
      <c r="H38" s="504"/>
      <c r="I38" s="504"/>
      <c r="J38" s="73" t="str">
        <f>IF(AND('Mapa final'!$AI$17="Baja",'Mapa final'!$AK$17="Leve"),CONCATENATE("R3C",'Mapa final'!$Y$17),"")</f>
        <v/>
      </c>
      <c r="K38" s="74" t="str">
        <f>IF(AND('Mapa final'!$AI$18="Baja",'Mapa final'!$AK$18="Leve"),CONCATENATE("R3C",'Mapa final'!$Y$18),"")</f>
        <v/>
      </c>
      <c r="L38" s="74" t="str">
        <f>IF(AND('Mapa final'!$AI$19="Baja",'Mapa final'!$AK$19="Leve"),CONCATENATE("R3C",'Mapa final'!$Y$19),"")</f>
        <v/>
      </c>
      <c r="M38" s="74" t="str">
        <f>IF(AND('Mapa final'!$AI$20="Baja",'Mapa final'!$AK$20="Leve"),CONCATENATE("R3C",'Mapa final'!$Y$20),"")</f>
        <v/>
      </c>
      <c r="N38" s="74" t="str">
        <f>IF(AND('Mapa final'!$AI$21="Baja",'Mapa final'!$AK$21="Leve"),CONCATENATE("R3C",'Mapa final'!$Y$21),"")</f>
        <v/>
      </c>
      <c r="O38" s="75" t="str">
        <f>IF(AND('Mapa final'!$AI$22="Baja",'Mapa final'!$AK$22="Leve"),CONCATENATE("R3C",'Mapa final'!$Y$22),"")</f>
        <v/>
      </c>
      <c r="P38" s="64" t="str">
        <f>IF(AND('Mapa final'!$AI$17="Baja",'Mapa final'!$AK$17="Menor"),CONCATENATE("R3C",'Mapa final'!$Y$17),"")</f>
        <v/>
      </c>
      <c r="Q38" s="65" t="str">
        <f>IF(AND('Mapa final'!$AI$18="Baja",'Mapa final'!$AK$18="Menor"),CONCATENATE("R3C",'Mapa final'!$Y$18),"")</f>
        <v/>
      </c>
      <c r="R38" s="65" t="str">
        <f>IF(AND('Mapa final'!$AI$19="Baja",'Mapa final'!$AK$19="Menor"),CONCATENATE("R3C",'Mapa final'!$Y$19),"")</f>
        <v/>
      </c>
      <c r="S38" s="65" t="str">
        <f>IF(AND('Mapa final'!$AI$20="Baja",'Mapa final'!$AK$20="Menor"),CONCATENATE("R3C",'Mapa final'!$Y$20),"")</f>
        <v/>
      </c>
      <c r="T38" s="65" t="str">
        <f>IF(AND('Mapa final'!$AI$21="Baja",'Mapa final'!$AK$21="Menor"),CONCATENATE("R3C",'Mapa final'!$Y$21),"")</f>
        <v/>
      </c>
      <c r="U38" s="66" t="str">
        <f>IF(AND('Mapa final'!$AI$22="Baja",'Mapa final'!$AK$22="Menor"),CONCATENATE("R3C",'Mapa final'!$Y$22),"")</f>
        <v/>
      </c>
      <c r="V38" s="64" t="str">
        <f>IF(AND('Mapa final'!$AI$17="Baja",'Mapa final'!$AK$17="Moderado"),CONCATENATE("R3C",'Mapa final'!$Y$17),"")</f>
        <v/>
      </c>
      <c r="W38" s="65" t="str">
        <f>IF(AND('Mapa final'!$AI$18="Baja",'Mapa final'!$AK$18="Moderado"),CONCATENATE("R3C",'Mapa final'!$Y$18),"")</f>
        <v/>
      </c>
      <c r="X38" s="65" t="str">
        <f>IF(AND('Mapa final'!$AI$19="Baja",'Mapa final'!$AK$19="Moderado"),CONCATENATE("R3C",'Mapa final'!$Y$19),"")</f>
        <v/>
      </c>
      <c r="Y38" s="65" t="str">
        <f>IF(AND('Mapa final'!$AI$20="Baja",'Mapa final'!$AK$20="Moderado"),CONCATENATE("R3C",'Mapa final'!$Y$20),"")</f>
        <v/>
      </c>
      <c r="Z38" s="65" t="str">
        <f>IF(AND('Mapa final'!$AI$21="Baja",'Mapa final'!$AK$21="Moderado"),CONCATENATE("R3C",'Mapa final'!$Y$21),"")</f>
        <v/>
      </c>
      <c r="AA38" s="66" t="str">
        <f>IF(AND('Mapa final'!$AI$22="Baja",'Mapa final'!$AK$22="Moderado"),CONCATENATE("R3C",'Mapa final'!$Y$22),"")</f>
        <v/>
      </c>
      <c r="AB38" s="49" t="str">
        <f>IF(AND('Mapa final'!$AI$17="Baja",'Mapa final'!$AK$17="Mayor"),CONCATENATE("R3C",'Mapa final'!$Y$17),"")</f>
        <v/>
      </c>
      <c r="AC38" s="50" t="str">
        <f>IF(AND('Mapa final'!$AI$18="Baja",'Mapa final'!$AK$18="Mayor"),CONCATENATE("R3C",'Mapa final'!$Y$18),"")</f>
        <v/>
      </c>
      <c r="AD38" s="50" t="str">
        <f>IF(AND('Mapa final'!$AI$19="Baja",'Mapa final'!$AK$19="Mayor"),CONCATENATE("R3C",'Mapa final'!$Y$19),"")</f>
        <v/>
      </c>
      <c r="AE38" s="50" t="str">
        <f>IF(AND('Mapa final'!$AI$20="Baja",'Mapa final'!$AK$20="Mayor"),CONCATENATE("R3C",'Mapa final'!$Y$20),"")</f>
        <v/>
      </c>
      <c r="AF38" s="50" t="str">
        <f>IF(AND('Mapa final'!$AI$21="Baja",'Mapa final'!$AK$21="Mayor"),CONCATENATE("R3C",'Mapa final'!$Y$21),"")</f>
        <v/>
      </c>
      <c r="AG38" s="51" t="str">
        <f>IF(AND('Mapa final'!$AI$22="Baja",'Mapa final'!$AK$22="Mayor"),CONCATENATE("R3C",'Mapa final'!$Y$22),"")</f>
        <v/>
      </c>
      <c r="AH38" s="52" t="str">
        <f>IF(AND('Mapa final'!$AI$17="Baja",'Mapa final'!$AK$17="Catastrófico"),CONCATENATE("R3C",'Mapa final'!$Y$17),"")</f>
        <v/>
      </c>
      <c r="AI38" s="53" t="str">
        <f>IF(AND('Mapa final'!$AI$18="Baja",'Mapa final'!$AK$18="Catastrófico"),CONCATENATE("R3C",'Mapa final'!$Y$18),"")</f>
        <v/>
      </c>
      <c r="AJ38" s="53" t="str">
        <f>IF(AND('Mapa final'!$AI$19="Baja",'Mapa final'!$AK$19="Catastrófico"),CONCATENATE("R3C",'Mapa final'!$Y$19),"")</f>
        <v/>
      </c>
      <c r="AK38" s="53" t="str">
        <f>IF(AND('Mapa final'!$AI$20="Baja",'Mapa final'!$AK$20="Catastrófico"),CONCATENATE("R3C",'Mapa final'!$Y$20),"")</f>
        <v/>
      </c>
      <c r="AL38" s="53" t="str">
        <f>IF(AND('Mapa final'!$AI$21="Baja",'Mapa final'!$AK$21="Catastrófico"),CONCATENATE("R3C",'Mapa final'!$Y$21),"")</f>
        <v/>
      </c>
      <c r="AM38" s="54" t="str">
        <f>IF(AND('Mapa final'!$AI$22="Baja",'Mapa final'!$AK$22="Catastrófico"),CONCATENATE("R3C",'Mapa final'!$Y$22),"")</f>
        <v/>
      </c>
      <c r="AN38" s="80"/>
      <c r="AO38" s="525"/>
      <c r="AP38" s="526"/>
      <c r="AQ38" s="526"/>
      <c r="AR38" s="526"/>
      <c r="AS38" s="526"/>
      <c r="AT38" s="527"/>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406"/>
      <c r="C39" s="406"/>
      <c r="D39" s="407"/>
      <c r="E39" s="505"/>
      <c r="F39" s="504"/>
      <c r="G39" s="504"/>
      <c r="H39" s="504"/>
      <c r="I39" s="504"/>
      <c r="J39" s="73" t="str">
        <f>IF(AND('Mapa final'!$AI$23="Baja",'Mapa final'!$AK$23="Leve"),CONCATENATE("R4C",'Mapa final'!$Y$23),"")</f>
        <v/>
      </c>
      <c r="K39" s="74" t="str">
        <f>IF(AND('Mapa final'!$AI$24="Baja",'Mapa final'!$AK$24="Leve"),CONCATENATE("R4C",'Mapa final'!$Y$24),"")</f>
        <v/>
      </c>
      <c r="L39" s="74" t="str">
        <f>IF(AND('Mapa final'!$AI$25="Baja",'Mapa final'!$AK$25="Leve"),CONCATENATE("R4C",'Mapa final'!$Y$25),"")</f>
        <v/>
      </c>
      <c r="M39" s="74" t="str">
        <f>IF(AND('Mapa final'!$AI$26="Baja",'Mapa final'!$AK$26="Leve"),CONCATENATE("R4C",'Mapa final'!$Y$26),"")</f>
        <v/>
      </c>
      <c r="N39" s="74" t="str">
        <f>IF(AND('Mapa final'!$AI$27="Baja",'Mapa final'!$AK$27="Leve"),CONCATENATE("R4C",'Mapa final'!$Y$27),"")</f>
        <v/>
      </c>
      <c r="O39" s="75" t="str">
        <f>IF(AND('Mapa final'!$AI$28="Baja",'Mapa final'!$AK$28="Leve"),CONCATENATE("R4C",'Mapa final'!$Y$28),"")</f>
        <v/>
      </c>
      <c r="P39" s="64" t="str">
        <f>IF(AND('Mapa final'!$AI$23="Baja",'Mapa final'!$AK$23="Menor"),CONCATENATE("R4C",'Mapa final'!$Y$23),"")</f>
        <v/>
      </c>
      <c r="Q39" s="65" t="str">
        <f>IF(AND('Mapa final'!$AI$24="Baja",'Mapa final'!$AK$24="Menor"),CONCATENATE("R4C",'Mapa final'!$Y$24),"")</f>
        <v/>
      </c>
      <c r="R39" s="65" t="str">
        <f>IF(AND('Mapa final'!$AI$25="Baja",'Mapa final'!$AK$25="Menor"),CONCATENATE("R4C",'Mapa final'!$Y$25),"")</f>
        <v/>
      </c>
      <c r="S39" s="65" t="str">
        <f>IF(AND('Mapa final'!$AI$26="Baja",'Mapa final'!$AK$26="Menor"),CONCATENATE("R4C",'Mapa final'!$Y$26),"")</f>
        <v/>
      </c>
      <c r="T39" s="65" t="str">
        <f>IF(AND('Mapa final'!$AI$27="Baja",'Mapa final'!$AK$27="Menor"),CONCATENATE("R4C",'Mapa final'!$Y$27),"")</f>
        <v/>
      </c>
      <c r="U39" s="66" t="str">
        <f>IF(AND('Mapa final'!$AI$28="Baja",'Mapa final'!$AK$28="Menor"),CONCATENATE("R4C",'Mapa final'!$Y$28),"")</f>
        <v/>
      </c>
      <c r="V39" s="64" t="str">
        <f>IF(AND('Mapa final'!$AI$23="Baja",'Mapa final'!$AK$23="Moderado"),CONCATENATE("R4C",'Mapa final'!$Y$23),"")</f>
        <v/>
      </c>
      <c r="W39" s="65" t="str">
        <f>IF(AND('Mapa final'!$AI$24="Baja",'Mapa final'!$AK$24="Moderado"),CONCATENATE("R4C",'Mapa final'!$Y$24),"")</f>
        <v/>
      </c>
      <c r="X39" s="65" t="str">
        <f>IF(AND('Mapa final'!$AI$25="Baja",'Mapa final'!$AK$25="Moderado"),CONCATENATE("R4C",'Mapa final'!$Y$25),"")</f>
        <v/>
      </c>
      <c r="Y39" s="65" t="str">
        <f>IF(AND('Mapa final'!$AI$26="Baja",'Mapa final'!$AK$26="Moderado"),CONCATENATE("R4C",'Mapa final'!$Y$26),"")</f>
        <v/>
      </c>
      <c r="Z39" s="65" t="str">
        <f>IF(AND('Mapa final'!$AI$27="Baja",'Mapa final'!$AK$27="Moderado"),CONCATENATE("R4C",'Mapa final'!$Y$27),"")</f>
        <v/>
      </c>
      <c r="AA39" s="66" t="str">
        <f>IF(AND('Mapa final'!$AI$28="Baja",'Mapa final'!$AK$28="Moderado"),CONCATENATE("R4C",'Mapa final'!$Y$28),"")</f>
        <v/>
      </c>
      <c r="AB39" s="49" t="str">
        <f>IF(AND('Mapa final'!$AI$23="Baja",'Mapa final'!$AK$23="Mayor"),CONCATENATE("R4C",'Mapa final'!$Y$23),"")</f>
        <v/>
      </c>
      <c r="AC39" s="50" t="str">
        <f>IF(AND('Mapa final'!$AI$24="Baja",'Mapa final'!$AK$24="Mayor"),CONCATENATE("R4C",'Mapa final'!$Y$24),"")</f>
        <v/>
      </c>
      <c r="AD39" s="50" t="str">
        <f>IF(AND('Mapa final'!$AI$25="Baja",'Mapa final'!$AK$25="Mayor"),CONCATENATE("R4C",'Mapa final'!$Y$25),"")</f>
        <v/>
      </c>
      <c r="AE39" s="50" t="str">
        <f>IF(AND('Mapa final'!$AI$26="Baja",'Mapa final'!$AK$26="Mayor"),CONCATENATE("R4C",'Mapa final'!$Y$26),"")</f>
        <v/>
      </c>
      <c r="AF39" s="50" t="str">
        <f>IF(AND('Mapa final'!$AI$27="Baja",'Mapa final'!$AK$27="Mayor"),CONCATENATE("R4C",'Mapa final'!$Y$27),"")</f>
        <v/>
      </c>
      <c r="AG39" s="51" t="str">
        <f>IF(AND('Mapa final'!$AI$28="Baja",'Mapa final'!$AK$28="Mayor"),CONCATENATE("R4C",'Mapa final'!$Y$28),"")</f>
        <v/>
      </c>
      <c r="AH39" s="52" t="str">
        <f>IF(AND('Mapa final'!$AI$23="Baja",'Mapa final'!$AK$23="Catastrófico"),CONCATENATE("R4C",'Mapa final'!$Y$23),"")</f>
        <v/>
      </c>
      <c r="AI39" s="53" t="str">
        <f>IF(AND('Mapa final'!$AI$24="Baja",'Mapa final'!$AK$24="Catastrófico"),CONCATENATE("R4C",'Mapa final'!$Y$24),"")</f>
        <v/>
      </c>
      <c r="AJ39" s="53" t="str">
        <f>IF(AND('Mapa final'!$AI$25="Baja",'Mapa final'!$AK$25="Catastrófico"),CONCATENATE("R4C",'Mapa final'!$Y$25),"")</f>
        <v/>
      </c>
      <c r="AK39" s="53" t="str">
        <f>IF(AND('Mapa final'!$AI$26="Baja",'Mapa final'!$AK$26="Catastrófico"),CONCATENATE("R4C",'Mapa final'!$Y$26),"")</f>
        <v/>
      </c>
      <c r="AL39" s="53" t="str">
        <f>IF(AND('Mapa final'!$AI$27="Baja",'Mapa final'!$AK$27="Catastrófico"),CONCATENATE("R4C",'Mapa final'!$Y$27),"")</f>
        <v/>
      </c>
      <c r="AM39" s="54" t="str">
        <f>IF(AND('Mapa final'!$AI$28="Baja",'Mapa final'!$AK$28="Catastrófico"),CONCATENATE("R4C",'Mapa final'!$Y$28),"")</f>
        <v/>
      </c>
      <c r="AN39" s="80"/>
      <c r="AO39" s="525"/>
      <c r="AP39" s="526"/>
      <c r="AQ39" s="526"/>
      <c r="AR39" s="526"/>
      <c r="AS39" s="526"/>
      <c r="AT39" s="527"/>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406"/>
      <c r="C40" s="406"/>
      <c r="D40" s="407"/>
      <c r="E40" s="505"/>
      <c r="F40" s="504"/>
      <c r="G40" s="504"/>
      <c r="H40" s="504"/>
      <c r="I40" s="504"/>
      <c r="J40" s="73" t="str">
        <f>IF(AND('Mapa final'!$AI$29="Baja",'Mapa final'!$AK$29="Leve"),CONCATENATE("R5C",'Mapa final'!$Y$29),"")</f>
        <v/>
      </c>
      <c r="K40" s="74" t="str">
        <f>IF(AND('Mapa final'!$AI$30="Baja",'Mapa final'!$AK$30="Leve"),CONCATENATE("R5C",'Mapa final'!$Y$30),"")</f>
        <v/>
      </c>
      <c r="L40" s="74" t="str">
        <f>IF(AND('Mapa final'!$AI$31="Baja",'Mapa final'!$AK$31="Leve"),CONCATENATE("R5C",'Mapa final'!$Y$31),"")</f>
        <v/>
      </c>
      <c r="M40" s="74" t="str">
        <f>IF(AND('Mapa final'!$AI$32="Baja",'Mapa final'!$AK$32="Leve"),CONCATENATE("R5C",'Mapa final'!$Y$32),"")</f>
        <v/>
      </c>
      <c r="N40" s="74" t="str">
        <f>IF(AND('Mapa final'!$AI$33="Baja",'Mapa final'!$AK$33="Leve"),CONCATENATE("R5C",'Mapa final'!$Y$33),"")</f>
        <v/>
      </c>
      <c r="O40" s="75" t="str">
        <f>IF(AND('Mapa final'!$AI$34="Baja",'Mapa final'!$AK$34="Leve"),CONCATENATE("R5C",'Mapa final'!$Y$34),"")</f>
        <v/>
      </c>
      <c r="P40" s="64" t="str">
        <f>IF(AND('Mapa final'!$AI$29="Baja",'Mapa final'!$AK$29="Menor"),CONCATENATE("R5C",'Mapa final'!$Y$29),"")</f>
        <v/>
      </c>
      <c r="Q40" s="65" t="str">
        <f>IF(AND('Mapa final'!$AI$30="Baja",'Mapa final'!$AK$30="Menor"),CONCATENATE("R5C",'Mapa final'!$Y$30),"")</f>
        <v/>
      </c>
      <c r="R40" s="65" t="str">
        <f>IF(AND('Mapa final'!$AI$31="Baja",'Mapa final'!$AK$31="Menor"),CONCATENATE("R5C",'Mapa final'!$Y$31),"")</f>
        <v/>
      </c>
      <c r="S40" s="65" t="str">
        <f>IF(AND('Mapa final'!$AI$32="Baja",'Mapa final'!$AK$32="Menor"),CONCATENATE("R5C",'Mapa final'!$Y$32),"")</f>
        <v/>
      </c>
      <c r="T40" s="65" t="str">
        <f>IF(AND('Mapa final'!$AI$33="Baja",'Mapa final'!$AK$33="Menor"),CONCATENATE("R5C",'Mapa final'!$Y$33),"")</f>
        <v/>
      </c>
      <c r="U40" s="66" t="str">
        <f>IF(AND('Mapa final'!$AI$34="Baja",'Mapa final'!$AK$34="Menor"),CONCATENATE("R5C",'Mapa final'!$Y$34),"")</f>
        <v/>
      </c>
      <c r="V40" s="64" t="str">
        <f>IF(AND('Mapa final'!$AI$29="Baja",'Mapa final'!$AK$29="Moderado"),CONCATENATE("R5C",'Mapa final'!$Y$29),"")</f>
        <v/>
      </c>
      <c r="W40" s="65" t="str">
        <f>IF(AND('Mapa final'!$AI$30="Baja",'Mapa final'!$AK$30="Moderado"),CONCATENATE("R5C",'Mapa final'!$Y$30),"")</f>
        <v/>
      </c>
      <c r="X40" s="65" t="str">
        <f>IF(AND('Mapa final'!$AI$31="Baja",'Mapa final'!$AK$31="Moderado"),CONCATENATE("R5C",'Mapa final'!$Y$31),"")</f>
        <v/>
      </c>
      <c r="Y40" s="65" t="str">
        <f>IF(AND('Mapa final'!$AI$32="Baja",'Mapa final'!$AK$32="Moderado"),CONCATENATE("R5C",'Mapa final'!$Y$32),"")</f>
        <v/>
      </c>
      <c r="Z40" s="65" t="str">
        <f>IF(AND('Mapa final'!$AI$33="Baja",'Mapa final'!$AK$33="Moderado"),CONCATENATE("R5C",'Mapa final'!$Y$33),"")</f>
        <v/>
      </c>
      <c r="AA40" s="66" t="str">
        <f>IF(AND('Mapa final'!$AI$34="Baja",'Mapa final'!$AK$34="Moderado"),CONCATENATE("R5C",'Mapa final'!$Y$34),"")</f>
        <v/>
      </c>
      <c r="AB40" s="49" t="str">
        <f>IF(AND('Mapa final'!$AI$29="Baja",'Mapa final'!$AK$29="Mayor"),CONCATENATE("R5C",'Mapa final'!$Y$29),"")</f>
        <v/>
      </c>
      <c r="AC40" s="50" t="str">
        <f>IF(AND('Mapa final'!$AI$30="Baja",'Mapa final'!$AK$30="Mayor"),CONCATENATE("R5C",'Mapa final'!$Y$30),"")</f>
        <v/>
      </c>
      <c r="AD40" s="50" t="str">
        <f>IF(AND('Mapa final'!$AI$31="Baja",'Mapa final'!$AK$31="Mayor"),CONCATENATE("R5C",'Mapa final'!$Y$31),"")</f>
        <v/>
      </c>
      <c r="AE40" s="50" t="str">
        <f>IF(AND('Mapa final'!$AI$32="Baja",'Mapa final'!$AK$32="Mayor"),CONCATENATE("R5C",'Mapa final'!$Y$32),"")</f>
        <v/>
      </c>
      <c r="AF40" s="50" t="str">
        <f>IF(AND('Mapa final'!$AI$33="Baja",'Mapa final'!$AK$33="Mayor"),CONCATENATE("R5C",'Mapa final'!$Y$33),"")</f>
        <v/>
      </c>
      <c r="AG40" s="51" t="str">
        <f>IF(AND('Mapa final'!$AI$34="Baja",'Mapa final'!$AK$34="Mayor"),CONCATENATE("R5C",'Mapa final'!$Y$34),"")</f>
        <v/>
      </c>
      <c r="AH40" s="52" t="str">
        <f>IF(AND('Mapa final'!$AI$29="Baja",'Mapa final'!$AK$29="Catastrófico"),CONCATENATE("R5C",'Mapa final'!$Y$29),"")</f>
        <v/>
      </c>
      <c r="AI40" s="53" t="str">
        <f>IF(AND('Mapa final'!$AI$30="Baja",'Mapa final'!$AK$30="Catastrófico"),CONCATENATE("R5C",'Mapa final'!$Y$30),"")</f>
        <v/>
      </c>
      <c r="AJ40" s="53" t="str">
        <f>IF(AND('Mapa final'!$AI$31="Baja",'Mapa final'!$AK$31="Catastrófico"),CONCATENATE("R5C",'Mapa final'!$Y$31),"")</f>
        <v/>
      </c>
      <c r="AK40" s="53" t="str">
        <f>IF(AND('Mapa final'!$AI$32="Baja",'Mapa final'!$AK$32="Catastrófico"),CONCATENATE("R5C",'Mapa final'!$Y$32),"")</f>
        <v/>
      </c>
      <c r="AL40" s="53" t="str">
        <f>IF(AND('Mapa final'!$AI$33="Baja",'Mapa final'!$AK$33="Catastrófico"),CONCATENATE("R5C",'Mapa final'!$Y$33),"")</f>
        <v/>
      </c>
      <c r="AM40" s="54" t="str">
        <f>IF(AND('Mapa final'!$AI$34="Baja",'Mapa final'!$AK$34="Catastrófico"),CONCATENATE("R5C",'Mapa final'!$Y$34),"")</f>
        <v/>
      </c>
      <c r="AN40" s="80"/>
      <c r="AO40" s="525"/>
      <c r="AP40" s="526"/>
      <c r="AQ40" s="526"/>
      <c r="AR40" s="526"/>
      <c r="AS40" s="526"/>
      <c r="AT40" s="527"/>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406"/>
      <c r="C41" s="406"/>
      <c r="D41" s="407"/>
      <c r="E41" s="505"/>
      <c r="F41" s="504"/>
      <c r="G41" s="504"/>
      <c r="H41" s="504"/>
      <c r="I41" s="504"/>
      <c r="J41" s="73" t="str">
        <f>IF(AND('Mapa final'!$AI$35="Baja",'Mapa final'!$AK$35="Leve"),CONCATENATE("R6C",'Mapa final'!$Y$35),"")</f>
        <v/>
      </c>
      <c r="K41" s="74" t="str">
        <f>IF(AND('Mapa final'!$AI$36="Baja",'Mapa final'!$AK$36="Leve"),CONCATENATE("R6C",'Mapa final'!$Y$36),"")</f>
        <v/>
      </c>
      <c r="L41" s="74" t="str">
        <f>IF(AND('Mapa final'!$AI$37="Baja",'Mapa final'!$AK$37="Leve"),CONCATENATE("R6C",'Mapa final'!$Y$37),"")</f>
        <v/>
      </c>
      <c r="M41" s="74" t="str">
        <f>IF(AND('Mapa final'!$AI$38="Baja",'Mapa final'!$AK$38="Leve"),CONCATENATE("R6C",'Mapa final'!$Y$38),"")</f>
        <v/>
      </c>
      <c r="N41" s="74" t="str">
        <f>IF(AND('Mapa final'!$AI$39="Baja",'Mapa final'!$AK$39="Leve"),CONCATENATE("R6C",'Mapa final'!$Y$39),"")</f>
        <v/>
      </c>
      <c r="O41" s="75" t="str">
        <f>IF(AND('Mapa final'!$AI$40="Baja",'Mapa final'!$AK$40="Leve"),CONCATENATE("R6C",'Mapa final'!$Y$40),"")</f>
        <v/>
      </c>
      <c r="P41" s="64" t="str">
        <f>IF(AND('Mapa final'!$AI$35="Baja",'Mapa final'!$AK$35="Menor"),CONCATENATE("R6C",'Mapa final'!$Y$35),"")</f>
        <v/>
      </c>
      <c r="Q41" s="65" t="str">
        <f>IF(AND('Mapa final'!$AI$36="Baja",'Mapa final'!$AK$36="Menor"),CONCATENATE("R6C",'Mapa final'!$Y$36),"")</f>
        <v/>
      </c>
      <c r="R41" s="65" t="str">
        <f>IF(AND('Mapa final'!$AI$37="Baja",'Mapa final'!$AK$37="Menor"),CONCATENATE("R6C",'Mapa final'!$Y$37),"")</f>
        <v/>
      </c>
      <c r="S41" s="65" t="str">
        <f>IF(AND('Mapa final'!$AI$38="Baja",'Mapa final'!$AK$38="Menor"),CONCATENATE("R6C",'Mapa final'!$Y$38),"")</f>
        <v/>
      </c>
      <c r="T41" s="65" t="str">
        <f>IF(AND('Mapa final'!$AI$39="Baja",'Mapa final'!$AK$39="Menor"),CONCATENATE("R6C",'Mapa final'!$Y$39),"")</f>
        <v/>
      </c>
      <c r="U41" s="66" t="str">
        <f>IF(AND('Mapa final'!$AI$40="Baja",'Mapa final'!$AK$40="Menor"),CONCATENATE("R6C",'Mapa final'!$Y$40),"")</f>
        <v/>
      </c>
      <c r="V41" s="64" t="str">
        <f>IF(AND('Mapa final'!$AI$35="Baja",'Mapa final'!$AK$35="Moderado"),CONCATENATE("R6C",'Mapa final'!$Y$35),"")</f>
        <v/>
      </c>
      <c r="W41" s="65" t="str">
        <f>IF(AND('Mapa final'!$AI$36="Baja",'Mapa final'!$AK$36="Moderado"),CONCATENATE("R6C",'Mapa final'!$Y$36),"")</f>
        <v/>
      </c>
      <c r="X41" s="65" t="str">
        <f>IF(AND('Mapa final'!$AI$37="Baja",'Mapa final'!$AK$37="Moderado"),CONCATENATE("R6C",'Mapa final'!$Y$37),"")</f>
        <v/>
      </c>
      <c r="Y41" s="65" t="str">
        <f>IF(AND('Mapa final'!$AI$38="Baja",'Mapa final'!$AK$38="Moderado"),CONCATENATE("R6C",'Mapa final'!$Y$38),"")</f>
        <v/>
      </c>
      <c r="Z41" s="65" t="str">
        <f>IF(AND('Mapa final'!$AI$39="Baja",'Mapa final'!$AK$39="Moderado"),CONCATENATE("R6C",'Mapa final'!$Y$39),"")</f>
        <v/>
      </c>
      <c r="AA41" s="66" t="str">
        <f>IF(AND('Mapa final'!$AI$40="Baja",'Mapa final'!$AK$40="Moderado"),CONCATENATE("R6C",'Mapa final'!$Y$40),"")</f>
        <v/>
      </c>
      <c r="AB41" s="49" t="str">
        <f>IF(AND('Mapa final'!$AI$35="Baja",'Mapa final'!$AK$35="Mayor"),CONCATENATE("R6C",'Mapa final'!$Y$35),"")</f>
        <v/>
      </c>
      <c r="AC41" s="50" t="str">
        <f>IF(AND('Mapa final'!$AI$36="Baja",'Mapa final'!$AK$36="Mayor"),CONCATENATE("R6C",'Mapa final'!$Y$36),"")</f>
        <v/>
      </c>
      <c r="AD41" s="50" t="str">
        <f>IF(AND('Mapa final'!$AI$37="Baja",'Mapa final'!$AK$37="Mayor"),CONCATENATE("R6C",'Mapa final'!$Y$37),"")</f>
        <v/>
      </c>
      <c r="AE41" s="50" t="str">
        <f>IF(AND('Mapa final'!$AI$38="Baja",'Mapa final'!$AK$38="Mayor"),CONCATENATE("R6C",'Mapa final'!$Y$38),"")</f>
        <v/>
      </c>
      <c r="AF41" s="50" t="str">
        <f>IF(AND('Mapa final'!$AI$39="Baja",'Mapa final'!$AK$39="Mayor"),CONCATENATE("R6C",'Mapa final'!$Y$39),"")</f>
        <v/>
      </c>
      <c r="AG41" s="51" t="str">
        <f>IF(AND('Mapa final'!$AI$40="Baja",'Mapa final'!$AK$40="Mayor"),CONCATENATE("R6C",'Mapa final'!$Y$40),"")</f>
        <v/>
      </c>
      <c r="AH41" s="52" t="str">
        <f>IF(AND('Mapa final'!$AI$35="Baja",'Mapa final'!$AK$35="Catastrófico"),CONCATENATE("R6C",'Mapa final'!$Y$35),"")</f>
        <v/>
      </c>
      <c r="AI41" s="53" t="str">
        <f>IF(AND('Mapa final'!$AI$36="Baja",'Mapa final'!$AK$36="Catastrófico"),CONCATENATE("R6C",'Mapa final'!$Y$36),"")</f>
        <v/>
      </c>
      <c r="AJ41" s="53" t="str">
        <f>IF(AND('Mapa final'!$AI$37="Baja",'Mapa final'!$AK$37="Catastrófico"),CONCATENATE("R6C",'Mapa final'!$Y$37),"")</f>
        <v/>
      </c>
      <c r="AK41" s="53" t="str">
        <f>IF(AND('Mapa final'!$AI$38="Baja",'Mapa final'!$AK$38="Catastrófico"),CONCATENATE("R6C",'Mapa final'!$Y$38),"")</f>
        <v/>
      </c>
      <c r="AL41" s="53" t="str">
        <f>IF(AND('Mapa final'!$AI$39="Baja",'Mapa final'!$AK$39="Catastrófico"),CONCATENATE("R6C",'Mapa final'!$Y$39),"")</f>
        <v/>
      </c>
      <c r="AM41" s="54" t="str">
        <f>IF(AND('Mapa final'!$AI$40="Baja",'Mapa final'!$AK$40="Catastrófico"),CONCATENATE("R6C",'Mapa final'!$Y$40),"")</f>
        <v/>
      </c>
      <c r="AN41" s="80"/>
      <c r="AO41" s="525"/>
      <c r="AP41" s="526"/>
      <c r="AQ41" s="526"/>
      <c r="AR41" s="526"/>
      <c r="AS41" s="526"/>
      <c r="AT41" s="527"/>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406"/>
      <c r="C42" s="406"/>
      <c r="D42" s="407"/>
      <c r="E42" s="505"/>
      <c r="F42" s="504"/>
      <c r="G42" s="504"/>
      <c r="H42" s="504"/>
      <c r="I42" s="504"/>
      <c r="J42" s="73" t="str">
        <f>IF(AND('Mapa final'!$AI$41="Baja",'Mapa final'!$AK$41="Leve"),CONCATENATE("R7C",'Mapa final'!$Y$41),"")</f>
        <v/>
      </c>
      <c r="K42" s="74" t="str">
        <f>IF(AND('Mapa final'!$AI$42="Baja",'Mapa final'!$AK$42="Leve"),CONCATENATE("R7C",'Mapa final'!$Y$42),"")</f>
        <v/>
      </c>
      <c r="L42" s="74" t="str">
        <f>IF(AND('Mapa final'!$AI$43="Baja",'Mapa final'!$AK$43="Leve"),CONCATENATE("R7C",'Mapa final'!$Y$43),"")</f>
        <v/>
      </c>
      <c r="M42" s="74" t="str">
        <f>IF(AND('Mapa final'!$AI$44="Baja",'Mapa final'!$AK$44="Leve"),CONCATENATE("R7C",'Mapa final'!$Y$44),"")</f>
        <v/>
      </c>
      <c r="N42" s="74" t="str">
        <f>IF(AND('Mapa final'!$AI$45="Baja",'Mapa final'!$AK$45="Leve"),CONCATENATE("R7C",'Mapa final'!$Y$45),"")</f>
        <v/>
      </c>
      <c r="O42" s="75" t="str">
        <f>IF(AND('Mapa final'!$AI$46="Baja",'Mapa final'!$AK$46="Leve"),CONCATENATE("R7C",'Mapa final'!$Y$46),"")</f>
        <v/>
      </c>
      <c r="P42" s="64" t="str">
        <f>IF(AND('Mapa final'!$AI$41="Baja",'Mapa final'!$AK$41="Menor"),CONCATENATE("R7C",'Mapa final'!$Y$41),"")</f>
        <v/>
      </c>
      <c r="Q42" s="65" t="str">
        <f>IF(AND('Mapa final'!$AI$42="Baja",'Mapa final'!$AK$42="Menor"),CONCATENATE("R7C",'Mapa final'!$Y$42),"")</f>
        <v/>
      </c>
      <c r="R42" s="65" t="str">
        <f>IF(AND('Mapa final'!$AI$43="Baja",'Mapa final'!$AK$43="Menor"),CONCATENATE("R7C",'Mapa final'!$Y$43),"")</f>
        <v/>
      </c>
      <c r="S42" s="65" t="str">
        <f>IF(AND('Mapa final'!$AI$44="Baja",'Mapa final'!$AK$44="Menor"),CONCATENATE("R7C",'Mapa final'!$Y$44),"")</f>
        <v/>
      </c>
      <c r="T42" s="65" t="str">
        <f>IF(AND('Mapa final'!$AI$45="Baja",'Mapa final'!$AK$45="Menor"),CONCATENATE("R7C",'Mapa final'!$Y$45),"")</f>
        <v/>
      </c>
      <c r="U42" s="66" t="str">
        <f>IF(AND('Mapa final'!$AI$46="Baja",'Mapa final'!$AK$46="Menor"),CONCATENATE("R7C",'Mapa final'!$Y$46),"")</f>
        <v/>
      </c>
      <c r="V42" s="64" t="str">
        <f>IF(AND('Mapa final'!$AI$41="Baja",'Mapa final'!$AK$41="Moderado"),CONCATENATE("R7C",'Mapa final'!$Y$41),"")</f>
        <v/>
      </c>
      <c r="W42" s="65" t="str">
        <f>IF(AND('Mapa final'!$AI$42="Baja",'Mapa final'!$AK$42="Moderado"),CONCATENATE("R7C",'Mapa final'!$Y$42),"")</f>
        <v/>
      </c>
      <c r="X42" s="65" t="str">
        <f>IF(AND('Mapa final'!$AI$43="Baja",'Mapa final'!$AK$43="Moderado"),CONCATENATE("R7C",'Mapa final'!$Y$43),"")</f>
        <v/>
      </c>
      <c r="Y42" s="65" t="str">
        <f>IF(AND('Mapa final'!$AI$44="Baja",'Mapa final'!$AK$44="Moderado"),CONCATENATE("R7C",'Mapa final'!$Y$44),"")</f>
        <v/>
      </c>
      <c r="Z42" s="65" t="str">
        <f>IF(AND('Mapa final'!$AI$45="Baja",'Mapa final'!$AK$45="Moderado"),CONCATENATE("R7C",'Mapa final'!$Y$45),"")</f>
        <v/>
      </c>
      <c r="AA42" s="66" t="str">
        <f>IF(AND('Mapa final'!$AI$46="Baja",'Mapa final'!$AK$46="Moderado"),CONCATENATE("R7C",'Mapa final'!$Y$46),"")</f>
        <v/>
      </c>
      <c r="AB42" s="49" t="str">
        <f>IF(AND('Mapa final'!$AI$41="Baja",'Mapa final'!$AK$41="Mayor"),CONCATENATE("R7C",'Mapa final'!$Y$41),"")</f>
        <v/>
      </c>
      <c r="AC42" s="50" t="str">
        <f>IF(AND('Mapa final'!$AI$42="Baja",'Mapa final'!$AK$42="Mayor"),CONCATENATE("R7C",'Mapa final'!$Y$42),"")</f>
        <v/>
      </c>
      <c r="AD42" s="50" t="str">
        <f>IF(AND('Mapa final'!$AI$43="Baja",'Mapa final'!$AK$43="Mayor"),CONCATENATE("R7C",'Mapa final'!$Y$43),"")</f>
        <v/>
      </c>
      <c r="AE42" s="50" t="str">
        <f>IF(AND('Mapa final'!$AI$44="Baja",'Mapa final'!$AK$44="Mayor"),CONCATENATE("R7C",'Mapa final'!$Y$44),"")</f>
        <v/>
      </c>
      <c r="AF42" s="50" t="str">
        <f>IF(AND('Mapa final'!$AI$45="Baja",'Mapa final'!$AK$45="Mayor"),CONCATENATE("R7C",'Mapa final'!$Y$45),"")</f>
        <v/>
      </c>
      <c r="AG42" s="51" t="str">
        <f>IF(AND('Mapa final'!$AI$46="Baja",'Mapa final'!$AK$46="Mayor"),CONCATENATE("R7C",'Mapa final'!$Y$46),"")</f>
        <v/>
      </c>
      <c r="AH42" s="52" t="str">
        <f>IF(AND('Mapa final'!$AI$41="Baja",'Mapa final'!$AK$41="Catastrófico"),CONCATENATE("R7C",'Mapa final'!$Y$41),"")</f>
        <v/>
      </c>
      <c r="AI42" s="53" t="str">
        <f>IF(AND('Mapa final'!$AI$42="Baja",'Mapa final'!$AK$42="Catastrófico"),CONCATENATE("R7C",'Mapa final'!$Y$42),"")</f>
        <v/>
      </c>
      <c r="AJ42" s="53" t="str">
        <f>IF(AND('Mapa final'!$AI$43="Baja",'Mapa final'!$AK$43="Catastrófico"),CONCATENATE("R7C",'Mapa final'!$Y$43),"")</f>
        <v/>
      </c>
      <c r="AK42" s="53" t="str">
        <f>IF(AND('Mapa final'!$AI$44="Baja",'Mapa final'!$AK$44="Catastrófico"),CONCATENATE("R7C",'Mapa final'!$Y$44),"")</f>
        <v/>
      </c>
      <c r="AL42" s="53" t="str">
        <f>IF(AND('Mapa final'!$AI$45="Baja",'Mapa final'!$AK$45="Catastrófico"),CONCATENATE("R7C",'Mapa final'!$Y$45),"")</f>
        <v/>
      </c>
      <c r="AM42" s="54" t="str">
        <f>IF(AND('Mapa final'!$AI$46="Baja",'Mapa final'!$AK$46="Catastrófico"),CONCATENATE("R7C",'Mapa final'!$Y$46),"")</f>
        <v/>
      </c>
      <c r="AN42" s="80"/>
      <c r="AO42" s="525"/>
      <c r="AP42" s="526"/>
      <c r="AQ42" s="526"/>
      <c r="AR42" s="526"/>
      <c r="AS42" s="526"/>
      <c r="AT42" s="527"/>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406"/>
      <c r="C43" s="406"/>
      <c r="D43" s="407"/>
      <c r="E43" s="505"/>
      <c r="F43" s="504"/>
      <c r="G43" s="504"/>
      <c r="H43" s="504"/>
      <c r="I43" s="504"/>
      <c r="J43" s="73" t="str">
        <f>IF(AND('Mapa final'!$AI$47="Baja",'Mapa final'!$AK$47="Leve"),CONCATENATE("R8C",'Mapa final'!$Y$47),"")</f>
        <v/>
      </c>
      <c r="K43" s="74" t="str">
        <f>IF(AND('Mapa final'!$AI$48="Baja",'Mapa final'!$AK$48="Leve"),CONCATENATE("R8C",'Mapa final'!$Y$48),"")</f>
        <v/>
      </c>
      <c r="L43" s="74" t="str">
        <f>IF(AND('Mapa final'!$AI$49="Baja",'Mapa final'!$AK$49="Leve"),CONCATENATE("R8C",'Mapa final'!$Y$49),"")</f>
        <v/>
      </c>
      <c r="M43" s="74" t="str">
        <f>IF(AND('Mapa final'!$AI$50="Baja",'Mapa final'!$AK$50="Leve"),CONCATENATE("R8C",'Mapa final'!$Y$50),"")</f>
        <v/>
      </c>
      <c r="N43" s="74" t="str">
        <f>IF(AND('Mapa final'!$AI$51="Baja",'Mapa final'!$AK$51="Leve"),CONCATENATE("R8C",'Mapa final'!$Y$51),"")</f>
        <v/>
      </c>
      <c r="O43" s="75" t="str">
        <f>IF(AND('Mapa final'!$AI$52="Baja",'Mapa final'!$AK$52="Leve"),CONCATENATE("R8C",'Mapa final'!$Y$52),"")</f>
        <v/>
      </c>
      <c r="P43" s="64" t="str">
        <f>IF(AND('Mapa final'!$AI$47="Baja",'Mapa final'!$AK$47="Menor"),CONCATENATE("R8C",'Mapa final'!$Y$47),"")</f>
        <v/>
      </c>
      <c r="Q43" s="65" t="str">
        <f>IF(AND('Mapa final'!$AI$48="Baja",'Mapa final'!$AK$48="Menor"),CONCATENATE("R8C",'Mapa final'!$Y$48),"")</f>
        <v/>
      </c>
      <c r="R43" s="65" t="str">
        <f>IF(AND('Mapa final'!$AI$49="Baja",'Mapa final'!$AK$49="Menor"),CONCATENATE("R8C",'Mapa final'!$Y$49),"")</f>
        <v/>
      </c>
      <c r="S43" s="65" t="str">
        <f>IF(AND('Mapa final'!$AI$50="Baja",'Mapa final'!$AK$50="Menor"),CONCATENATE("R8C",'Mapa final'!$Y$50),"")</f>
        <v/>
      </c>
      <c r="T43" s="65" t="str">
        <f>IF(AND('Mapa final'!$AI$51="Baja",'Mapa final'!$AK$51="Menor"),CONCATENATE("R8C",'Mapa final'!$Y$51),"")</f>
        <v/>
      </c>
      <c r="U43" s="66" t="str">
        <f>IF(AND('Mapa final'!$AI$52="Baja",'Mapa final'!$AK$52="Menor"),CONCATENATE("R8C",'Mapa final'!$Y$52),"")</f>
        <v/>
      </c>
      <c r="V43" s="64" t="str">
        <f>IF(AND('Mapa final'!$AI$47="Baja",'Mapa final'!$AK$47="Moderado"),CONCATENATE("R8C",'Mapa final'!$Y$47),"")</f>
        <v/>
      </c>
      <c r="W43" s="65" t="str">
        <f>IF(AND('Mapa final'!$AI$48="Baja",'Mapa final'!$AK$48="Moderado"),CONCATENATE("R8C",'Mapa final'!$Y$48),"")</f>
        <v/>
      </c>
      <c r="X43" s="65" t="str">
        <f>IF(AND('Mapa final'!$AI$49="Baja",'Mapa final'!$AK$49="Moderado"),CONCATENATE("R8C",'Mapa final'!$Y$49),"")</f>
        <v/>
      </c>
      <c r="Y43" s="65" t="str">
        <f>IF(AND('Mapa final'!$AI$50="Baja",'Mapa final'!$AK$50="Moderado"),CONCATENATE("R8C",'Mapa final'!$Y$50),"")</f>
        <v/>
      </c>
      <c r="Z43" s="65" t="str">
        <f>IF(AND('Mapa final'!$AI$51="Baja",'Mapa final'!$AK$51="Moderado"),CONCATENATE("R8C",'Mapa final'!$Y$51),"")</f>
        <v/>
      </c>
      <c r="AA43" s="66" t="str">
        <f>IF(AND('Mapa final'!$AI$52="Baja",'Mapa final'!$AK$52="Moderado"),CONCATENATE("R8C",'Mapa final'!$Y$52),"")</f>
        <v/>
      </c>
      <c r="AB43" s="49" t="str">
        <f>IF(AND('Mapa final'!$AI$47="Baja",'Mapa final'!$AK$47="Mayor"),CONCATENATE("R8C",'Mapa final'!$Y$47),"")</f>
        <v/>
      </c>
      <c r="AC43" s="50" t="str">
        <f>IF(AND('Mapa final'!$AI$48="Baja",'Mapa final'!$AK$48="Mayor"),CONCATENATE("R8C",'Mapa final'!$Y$48),"")</f>
        <v/>
      </c>
      <c r="AD43" s="50" t="str">
        <f>IF(AND('Mapa final'!$AI$49="Baja",'Mapa final'!$AK$49="Mayor"),CONCATENATE("R8C",'Mapa final'!$Y$49),"")</f>
        <v/>
      </c>
      <c r="AE43" s="50" t="str">
        <f>IF(AND('Mapa final'!$AI$50="Baja",'Mapa final'!$AK$50="Mayor"),CONCATENATE("R8C",'Mapa final'!$Y$50),"")</f>
        <v/>
      </c>
      <c r="AF43" s="50" t="str">
        <f>IF(AND('Mapa final'!$AI$51="Baja",'Mapa final'!$AK$51="Mayor"),CONCATENATE("R8C",'Mapa final'!$Y$51),"")</f>
        <v/>
      </c>
      <c r="AG43" s="51" t="str">
        <f>IF(AND('Mapa final'!$AI$52="Baja",'Mapa final'!$AK$52="Mayor"),CONCATENATE("R8C",'Mapa final'!$Y$52),"")</f>
        <v/>
      </c>
      <c r="AH43" s="52" t="str">
        <f>IF(AND('Mapa final'!$AI$47="Baja",'Mapa final'!$AK$47="Catastrófico"),CONCATENATE("R8C",'Mapa final'!$Y$47),"")</f>
        <v/>
      </c>
      <c r="AI43" s="53" t="str">
        <f>IF(AND('Mapa final'!$AI$48="Baja",'Mapa final'!$AK$48="Catastrófico"),CONCATENATE("R8C",'Mapa final'!$Y$48),"")</f>
        <v/>
      </c>
      <c r="AJ43" s="53" t="str">
        <f>IF(AND('Mapa final'!$AI$49="Baja",'Mapa final'!$AK$49="Catastrófico"),CONCATENATE("R8C",'Mapa final'!$Y$49),"")</f>
        <v/>
      </c>
      <c r="AK43" s="53" t="str">
        <f>IF(AND('Mapa final'!$AI$50="Baja",'Mapa final'!$AK$50="Catastrófico"),CONCATENATE("R8C",'Mapa final'!$Y$50),"")</f>
        <v/>
      </c>
      <c r="AL43" s="53" t="str">
        <f>IF(AND('Mapa final'!$AI$51="Baja",'Mapa final'!$AK$51="Catastrófico"),CONCATENATE("R8C",'Mapa final'!$Y$51),"")</f>
        <v/>
      </c>
      <c r="AM43" s="54" t="str">
        <f>IF(AND('Mapa final'!$AI$52="Baja",'Mapa final'!$AK$52="Catastrófico"),CONCATENATE("R8C",'Mapa final'!$Y$52),"")</f>
        <v/>
      </c>
      <c r="AN43" s="80"/>
      <c r="AO43" s="525"/>
      <c r="AP43" s="526"/>
      <c r="AQ43" s="526"/>
      <c r="AR43" s="526"/>
      <c r="AS43" s="526"/>
      <c r="AT43" s="527"/>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406"/>
      <c r="C44" s="406"/>
      <c r="D44" s="407"/>
      <c r="E44" s="505"/>
      <c r="F44" s="504"/>
      <c r="G44" s="504"/>
      <c r="H44" s="504"/>
      <c r="I44" s="504"/>
      <c r="J44" s="73" t="str">
        <f>IF(AND('Mapa final'!$AI$53="Baja",'Mapa final'!$AK$53="Leve"),CONCATENATE("R9C",'Mapa final'!$Y$53),"")</f>
        <v/>
      </c>
      <c r="K44" s="74" t="str">
        <f>IF(AND('Mapa final'!$AI$54="Baja",'Mapa final'!$AK$54="Leve"),CONCATENATE("R9C",'Mapa final'!$Y$54),"")</f>
        <v/>
      </c>
      <c r="L44" s="74" t="str">
        <f>IF(AND('Mapa final'!$AI$55="Baja",'Mapa final'!$AK$55="Leve"),CONCATENATE("R9C",'Mapa final'!$Y$55),"")</f>
        <v/>
      </c>
      <c r="M44" s="74" t="str">
        <f>IF(AND('Mapa final'!$AI$56="Baja",'Mapa final'!$AK$56="Leve"),CONCATENATE("R9C",'Mapa final'!$Y$56),"")</f>
        <v/>
      </c>
      <c r="N44" s="74" t="str">
        <f>IF(AND('Mapa final'!$AI$57="Baja",'Mapa final'!$AK$57="Leve"),CONCATENATE("R9C",'Mapa final'!$Y$57),"")</f>
        <v/>
      </c>
      <c r="O44" s="75" t="str">
        <f>IF(AND('Mapa final'!$AI$58="Baja",'Mapa final'!$AK$58="Leve"),CONCATENATE("R9C",'Mapa final'!$Y$58),"")</f>
        <v/>
      </c>
      <c r="P44" s="64" t="str">
        <f>IF(AND('Mapa final'!$AI$53="Baja",'Mapa final'!$AK$53="Menor"),CONCATENATE("R9C",'Mapa final'!$Y$53),"")</f>
        <v/>
      </c>
      <c r="Q44" s="65" t="str">
        <f>IF(AND('Mapa final'!$AI$54="Baja",'Mapa final'!$AK$54="Menor"),CONCATENATE("R9C",'Mapa final'!$Y$54),"")</f>
        <v/>
      </c>
      <c r="R44" s="65" t="str">
        <f>IF(AND('Mapa final'!$AI$55="Baja",'Mapa final'!$AK$55="Menor"),CONCATENATE("R9C",'Mapa final'!$Y$55),"")</f>
        <v/>
      </c>
      <c r="S44" s="65" t="str">
        <f>IF(AND('Mapa final'!$AI$56="Baja",'Mapa final'!$AK$56="Menor"),CONCATENATE("R9C",'Mapa final'!$Y$56),"")</f>
        <v/>
      </c>
      <c r="T44" s="65" t="str">
        <f>IF(AND('Mapa final'!$AI$57="Baja",'Mapa final'!$AK$57="Menor"),CONCATENATE("R9C",'Mapa final'!$Y$57),"")</f>
        <v/>
      </c>
      <c r="U44" s="66" t="str">
        <f>IF(AND('Mapa final'!$AI$58="Baja",'Mapa final'!$AK$58="Menor"),CONCATENATE("R9C",'Mapa final'!$Y$58),"")</f>
        <v/>
      </c>
      <c r="V44" s="64" t="str">
        <f>IF(AND('Mapa final'!$AI$53="Baja",'Mapa final'!$AK$53="Moderado"),CONCATENATE("R9C",'Mapa final'!$Y$53),"")</f>
        <v/>
      </c>
      <c r="W44" s="65" t="str">
        <f>IF(AND('Mapa final'!$AI$54="Baja",'Mapa final'!$AK$54="Moderado"),CONCATENATE("R9C",'Mapa final'!$Y$54),"")</f>
        <v/>
      </c>
      <c r="X44" s="65" t="str">
        <f>IF(AND('Mapa final'!$AI$55="Baja",'Mapa final'!$AK$55="Moderado"),CONCATENATE("R9C",'Mapa final'!$Y$55),"")</f>
        <v/>
      </c>
      <c r="Y44" s="65" t="str">
        <f>IF(AND('Mapa final'!$AI$56="Baja",'Mapa final'!$AK$56="Moderado"),CONCATENATE("R9C",'Mapa final'!$Y$56),"")</f>
        <v/>
      </c>
      <c r="Z44" s="65" t="str">
        <f>IF(AND('Mapa final'!$AI$57="Baja",'Mapa final'!$AK$57="Moderado"),CONCATENATE("R9C",'Mapa final'!$Y$57),"")</f>
        <v/>
      </c>
      <c r="AA44" s="66" t="str">
        <f>IF(AND('Mapa final'!$AI$58="Baja",'Mapa final'!$AK$58="Moderado"),CONCATENATE("R9C",'Mapa final'!$Y$58),"")</f>
        <v/>
      </c>
      <c r="AB44" s="49" t="str">
        <f>IF(AND('Mapa final'!$AI$53="Baja",'Mapa final'!$AK$53="Mayor"),CONCATENATE("R9C",'Mapa final'!$Y$53),"")</f>
        <v/>
      </c>
      <c r="AC44" s="50" t="str">
        <f>IF(AND('Mapa final'!$AI$54="Baja",'Mapa final'!$AK$54="Mayor"),CONCATENATE("R9C",'Mapa final'!$Y$54),"")</f>
        <v/>
      </c>
      <c r="AD44" s="50" t="str">
        <f>IF(AND('Mapa final'!$AI$55="Baja",'Mapa final'!$AK$55="Mayor"),CONCATENATE("R9C",'Mapa final'!$Y$55),"")</f>
        <v/>
      </c>
      <c r="AE44" s="50" t="str">
        <f>IF(AND('Mapa final'!$AI$56="Baja",'Mapa final'!$AK$56="Mayor"),CONCATENATE("R9C",'Mapa final'!$Y$56),"")</f>
        <v/>
      </c>
      <c r="AF44" s="50" t="str">
        <f>IF(AND('Mapa final'!$AI$57="Baja",'Mapa final'!$AK$57="Mayor"),CONCATENATE("R9C",'Mapa final'!$Y$57),"")</f>
        <v/>
      </c>
      <c r="AG44" s="51" t="str">
        <f>IF(AND('Mapa final'!$AI$58="Baja",'Mapa final'!$AK$58="Mayor"),CONCATENATE("R9C",'Mapa final'!$Y$58),"")</f>
        <v/>
      </c>
      <c r="AH44" s="52" t="str">
        <f>IF(AND('Mapa final'!$AI$53="Baja",'Mapa final'!$AK$53="Catastrófico"),CONCATENATE("R9C",'Mapa final'!$Y$53),"")</f>
        <v/>
      </c>
      <c r="AI44" s="53" t="str">
        <f>IF(AND('Mapa final'!$AI$54="Baja",'Mapa final'!$AK$54="Catastrófico"),CONCATENATE("R9C",'Mapa final'!$Y$54),"")</f>
        <v/>
      </c>
      <c r="AJ44" s="53" t="str">
        <f>IF(AND('Mapa final'!$AI$55="Baja",'Mapa final'!$AK$55="Catastrófico"),CONCATENATE("R9C",'Mapa final'!$Y$55),"")</f>
        <v/>
      </c>
      <c r="AK44" s="53" t="str">
        <f>IF(AND('Mapa final'!$AI$56="Baja",'Mapa final'!$AK$56="Catastrófico"),CONCATENATE("R9C",'Mapa final'!$Y$56),"")</f>
        <v/>
      </c>
      <c r="AL44" s="53" t="str">
        <f>IF(AND('Mapa final'!$AI$57="Baja",'Mapa final'!$AK$57="Catastrófico"),CONCATENATE("R9C",'Mapa final'!$Y$57),"")</f>
        <v/>
      </c>
      <c r="AM44" s="54" t="str">
        <f>IF(AND('Mapa final'!$AI$58="Baja",'Mapa final'!$AK$58="Catastrófico"),CONCATENATE("R9C",'Mapa final'!$Y$58),"")</f>
        <v/>
      </c>
      <c r="AN44" s="80"/>
      <c r="AO44" s="525"/>
      <c r="AP44" s="526"/>
      <c r="AQ44" s="526"/>
      <c r="AR44" s="526"/>
      <c r="AS44" s="526"/>
      <c r="AT44" s="527"/>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406"/>
      <c r="C45" s="406"/>
      <c r="D45" s="407"/>
      <c r="E45" s="506"/>
      <c r="F45" s="507"/>
      <c r="G45" s="507"/>
      <c r="H45" s="507"/>
      <c r="I45" s="507"/>
      <c r="J45" s="76" t="str">
        <f>IF(AND('Mapa final'!$AI$59="Baja",'Mapa final'!$AK$59="Leve"),CONCATENATE("R10C",'Mapa final'!$Y$59),"")</f>
        <v/>
      </c>
      <c r="K45" s="77" t="str">
        <f>IF(AND('Mapa final'!$AI$60="Baja",'Mapa final'!$AK$60="Leve"),CONCATENATE("R10C",'Mapa final'!$Y$60),"")</f>
        <v/>
      </c>
      <c r="L45" s="77" t="str">
        <f>IF(AND('Mapa final'!$AI$61="Baja",'Mapa final'!$AK$61="Leve"),CONCATENATE("R10C",'Mapa final'!$Y$61),"")</f>
        <v/>
      </c>
      <c r="M45" s="77" t="str">
        <f>IF(AND('Mapa final'!$AI$62="Baja",'Mapa final'!$AK$62="Leve"),CONCATENATE("R10C",'Mapa final'!$Y$62),"")</f>
        <v/>
      </c>
      <c r="N45" s="77" t="str">
        <f>IF(AND('Mapa final'!$AI$63="Baja",'Mapa final'!$AK$63="Leve"),CONCATENATE("R10C",'Mapa final'!$Y$63),"")</f>
        <v/>
      </c>
      <c r="O45" s="78" t="str">
        <f>IF(AND('Mapa final'!$AI$64="Baja",'Mapa final'!$AK$64="Leve"),CONCATENATE("R10C",'Mapa final'!$Y$64),"")</f>
        <v/>
      </c>
      <c r="P45" s="64" t="str">
        <f>IF(AND('Mapa final'!$AI$59="Baja",'Mapa final'!$AK$59="Menor"),CONCATENATE("R10C",'Mapa final'!$Y$59),"")</f>
        <v/>
      </c>
      <c r="Q45" s="65" t="str">
        <f>IF(AND('Mapa final'!$AI$60="Baja",'Mapa final'!$AK$60="Menor"),CONCATENATE("R10C",'Mapa final'!$Y$60),"")</f>
        <v/>
      </c>
      <c r="R45" s="65" t="str">
        <f>IF(AND('Mapa final'!$AI$61="Baja",'Mapa final'!$AK$61="Menor"),CONCATENATE("R10C",'Mapa final'!$Y$61),"")</f>
        <v/>
      </c>
      <c r="S45" s="65" t="str">
        <f>IF(AND('Mapa final'!$AI$62="Baja",'Mapa final'!$AK$62="Menor"),CONCATENATE("R10C",'Mapa final'!$Y$62),"")</f>
        <v/>
      </c>
      <c r="T45" s="65" t="str">
        <f>IF(AND('Mapa final'!$AI$63="Baja",'Mapa final'!$AK$63="Menor"),CONCATENATE("R10C",'Mapa final'!$Y$63),"")</f>
        <v/>
      </c>
      <c r="U45" s="66" t="str">
        <f>IF(AND('Mapa final'!$AI$64="Baja",'Mapa final'!$AK$64="Menor"),CONCATENATE("R10C",'Mapa final'!$Y$64),"")</f>
        <v/>
      </c>
      <c r="V45" s="67" t="str">
        <f>IF(AND('Mapa final'!$AI$59="Baja",'Mapa final'!$AK$59="Moderado"),CONCATENATE("R10C",'Mapa final'!$Y$59),"")</f>
        <v/>
      </c>
      <c r="W45" s="68" t="str">
        <f>IF(AND('Mapa final'!$AI$60="Baja",'Mapa final'!$AK$60="Moderado"),CONCATENATE("R10C",'Mapa final'!$Y$60),"")</f>
        <v/>
      </c>
      <c r="X45" s="68" t="str">
        <f>IF(AND('Mapa final'!$AI$61="Baja",'Mapa final'!$AK$61="Moderado"),CONCATENATE("R10C",'Mapa final'!$Y$61),"")</f>
        <v/>
      </c>
      <c r="Y45" s="68" t="str">
        <f>IF(AND('Mapa final'!$AI$62="Baja",'Mapa final'!$AK$62="Moderado"),CONCATENATE("R10C",'Mapa final'!$Y$62),"")</f>
        <v/>
      </c>
      <c r="Z45" s="68" t="str">
        <f>IF(AND('Mapa final'!$AI$63="Baja",'Mapa final'!$AK$63="Moderado"),CONCATENATE("R10C",'Mapa final'!$Y$63),"")</f>
        <v/>
      </c>
      <c r="AA45" s="69" t="str">
        <f>IF(AND('Mapa final'!$AI$64="Baja",'Mapa final'!$AK$64="Moderado"),CONCATENATE("R10C",'Mapa final'!$Y$64),"")</f>
        <v/>
      </c>
      <c r="AB45" s="55" t="str">
        <f>IF(AND('Mapa final'!$AI$59="Baja",'Mapa final'!$AK$59="Mayor"),CONCATENATE("R10C",'Mapa final'!$Y$59),"")</f>
        <v/>
      </c>
      <c r="AC45" s="56" t="str">
        <f>IF(AND('Mapa final'!$AI$60="Baja",'Mapa final'!$AK$60="Mayor"),CONCATENATE("R10C",'Mapa final'!$Y$60),"")</f>
        <v/>
      </c>
      <c r="AD45" s="56" t="str">
        <f>IF(AND('Mapa final'!$AI$61="Baja",'Mapa final'!$AK$61="Mayor"),CONCATENATE("R10C",'Mapa final'!$Y$61),"")</f>
        <v/>
      </c>
      <c r="AE45" s="56" t="str">
        <f>IF(AND('Mapa final'!$AI$62="Baja",'Mapa final'!$AK$62="Mayor"),CONCATENATE("R10C",'Mapa final'!$Y$62),"")</f>
        <v/>
      </c>
      <c r="AF45" s="56" t="str">
        <f>IF(AND('Mapa final'!$AI$63="Baja",'Mapa final'!$AK$63="Mayor"),CONCATENATE("R10C",'Mapa final'!$Y$63),"")</f>
        <v/>
      </c>
      <c r="AG45" s="57" t="str">
        <f>IF(AND('Mapa final'!$AI$64="Baja",'Mapa final'!$AK$64="Mayor"),CONCATENATE("R10C",'Mapa final'!$Y$64),"")</f>
        <v/>
      </c>
      <c r="AH45" s="58" t="str">
        <f>IF(AND('Mapa final'!$AI$59="Baja",'Mapa final'!$AK$59="Catastrófico"),CONCATENATE("R10C",'Mapa final'!$Y$59),"")</f>
        <v/>
      </c>
      <c r="AI45" s="59" t="str">
        <f>IF(AND('Mapa final'!$AI$60="Baja",'Mapa final'!$AK$60="Catastrófico"),CONCATENATE("R10C",'Mapa final'!$Y$60),"")</f>
        <v/>
      </c>
      <c r="AJ45" s="59" t="str">
        <f>IF(AND('Mapa final'!$AI$61="Baja",'Mapa final'!$AK$61="Catastrófico"),CONCATENATE("R10C",'Mapa final'!$Y$61),"")</f>
        <v/>
      </c>
      <c r="AK45" s="59" t="str">
        <f>IF(AND('Mapa final'!$AI$62="Baja",'Mapa final'!$AK$62="Catastrófico"),CONCATENATE("R10C",'Mapa final'!$Y$62),"")</f>
        <v/>
      </c>
      <c r="AL45" s="59" t="str">
        <f>IF(AND('Mapa final'!$AI$63="Baja",'Mapa final'!$AK$63="Catastrófico"),CONCATENATE("R10C",'Mapa final'!$Y$63),"")</f>
        <v/>
      </c>
      <c r="AM45" s="60" t="str">
        <f>IF(AND('Mapa final'!$AI$64="Baja",'Mapa final'!$AK$64="Catastrófico"),CONCATENATE("R10C",'Mapa final'!$Y$64),"")</f>
        <v/>
      </c>
      <c r="AN45" s="80"/>
      <c r="AO45" s="528"/>
      <c r="AP45" s="529"/>
      <c r="AQ45" s="529"/>
      <c r="AR45" s="529"/>
      <c r="AS45" s="529"/>
      <c r="AT45" s="530"/>
    </row>
    <row r="46" spans="1:80" ht="46.5" customHeight="1" x14ac:dyDescent="0.35">
      <c r="A46" s="80"/>
      <c r="B46" s="406"/>
      <c r="C46" s="406"/>
      <c r="D46" s="407"/>
      <c r="E46" s="501" t="s">
        <v>141</v>
      </c>
      <c r="F46" s="502"/>
      <c r="G46" s="502"/>
      <c r="H46" s="502"/>
      <c r="I46" s="519"/>
      <c r="J46" s="70" t="str">
        <f>IF(AND('Mapa final'!$AI$11="Muy Baja",'Mapa final'!$AK$11="Leve"),CONCATENATE("R1C",'Mapa final'!$Y$11),"")</f>
        <v/>
      </c>
      <c r="K46" s="71" t="str">
        <f>IF(AND('Mapa final'!$AI$13="Muy Baja",'Mapa final'!$AK$13="Leve"),CONCATENATE("R1C",'Mapa final'!$Y$13),"")</f>
        <v/>
      </c>
      <c r="L46" s="71" t="str">
        <f>IF(AND('Mapa final'!$AI$14="Muy Baja",'Mapa final'!$AK$14="Leve"),CONCATENATE("R1C",'Mapa final'!$Y$14),"")</f>
        <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final'!$AI$13="Muy Baja",'Mapa final'!$AK$13="Menor"),CONCATENATE("R1C",'Mapa final'!$Y$13),"")</f>
        <v/>
      </c>
      <c r="R46" s="71" t="str">
        <f>IF(AND('Mapa final'!$AI$14="Muy Baja",'Mapa final'!$AK$14="Menor"),CONCATENATE("R1C",'Mapa final'!$Y$14),"")</f>
        <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final'!$AI$13="Muy Baja",'Mapa final'!$AK$13="Moderado"),CONCATENATE("R1C",'Mapa final'!$Y$13),"")</f>
        <v/>
      </c>
      <c r="X46" s="62" t="str">
        <f>IF(AND('Mapa final'!$AI$14="Muy Baja",'Mapa final'!$AK$14="Moderado"),CONCATENATE("R1C",'Mapa final'!$Y$14),"")</f>
        <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final'!$AI$13="Muy Baja",'Mapa final'!$AK$13="Mayor"),CONCATENATE("R1C",'Mapa final'!$Y$13),"")</f>
        <v/>
      </c>
      <c r="AD46" s="44" t="str">
        <f>IF(AND('Mapa final'!$AI$14="Muy Baja",'Mapa final'!$AK$14="Mayor"),CONCATENATE("R1C",'Mapa final'!$Y$14),"")</f>
        <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final'!$AI$13="Muy Baja",'Mapa final'!$AK$13="Catastrófico"),CONCATENATE("R1C",'Mapa final'!$Y$13),"")</f>
        <v/>
      </c>
      <c r="AJ46" s="47" t="str">
        <f>IF(AND('Mapa final'!$AI$14="Muy Baja",'Mapa final'!$AK$14="Catastrófico"),CONCATENATE("R1C",'Mapa final'!$Y$14),"")</f>
        <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406"/>
      <c r="C47" s="406"/>
      <c r="D47" s="407"/>
      <c r="E47" s="503"/>
      <c r="F47" s="504"/>
      <c r="G47" s="504"/>
      <c r="H47" s="504"/>
      <c r="I47" s="520"/>
      <c r="J47" s="73" t="str">
        <f>IF(AND('Mapa final'!$AI$15="Muy Baja",'Mapa final'!$AK$15="Leve"),CONCATENATE("R2C",'Mapa final'!$Y$15),"")</f>
        <v/>
      </c>
      <c r="K47" s="74" t="str">
        <f>IF(AND('Mapa final'!$AI$16="Muy Baja",'Mapa final'!$AK$16="Leve"),CONCATENATE("R2C",'Mapa final'!$Y$16),"")</f>
        <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final'!$AI$15="Muy Baja",'Mapa final'!$AK$15="Menor"),CONCATENATE("R2C",'Mapa final'!$Y$15),"")</f>
        <v/>
      </c>
      <c r="Q47" s="74" t="str">
        <f>IF(AND('Mapa final'!$AI$16="Muy Baja",'Mapa final'!$AK$16="Menor"),CONCATENATE("R2C",'Mapa final'!$Y$16),"")</f>
        <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final'!$AI$15="Muy Baja",'Mapa final'!$AK$15="Moderado"),CONCATENATE("R2C",'Mapa final'!$Y$15),"")</f>
        <v/>
      </c>
      <c r="W47" s="65" t="str">
        <f>IF(AND('Mapa final'!$AI$16="Muy Baja",'Mapa final'!$AK$16="Moderado"),CONCATENATE("R2C",'Mapa final'!$Y$16),"")</f>
        <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final'!$AI$15="Muy Baja",'Mapa final'!$AK$15="Mayor"),CONCATENATE("R2C",'Mapa final'!$Y$15),"")</f>
        <v/>
      </c>
      <c r="AC47" s="50" t="str">
        <f>IF(AND('Mapa final'!$AI$16="Muy Baja",'Mapa final'!$AK$16="Mayor"),CONCATENATE("R2C",'Mapa final'!$Y$16),"")</f>
        <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final'!$AI$15="Muy Baja",'Mapa final'!$AK$15="Catastrófico"),CONCATENATE("R2C",'Mapa final'!$Y$15),"")</f>
        <v/>
      </c>
      <c r="AI47" s="53" t="str">
        <f>IF(AND('Mapa final'!$AI$16="Muy Baja",'Mapa final'!$AK$16="Catastrófico"),CONCATENATE("R2C",'Mapa final'!$Y$16),"")</f>
        <v>R2C2</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406"/>
      <c r="C48" s="406"/>
      <c r="D48" s="407"/>
      <c r="E48" s="503"/>
      <c r="F48" s="504"/>
      <c r="G48" s="504"/>
      <c r="H48" s="504"/>
      <c r="I48" s="520"/>
      <c r="J48" s="73" t="str">
        <f>IF(AND('Mapa final'!$AI$17="Muy Baja",'Mapa final'!$AK$17="Leve"),CONCATENATE("R3C",'Mapa final'!$Y$17),"")</f>
        <v/>
      </c>
      <c r="K48" s="74" t="str">
        <f>IF(AND('Mapa final'!$AI$18="Muy Baja",'Mapa final'!$AK$18="Leve"),CONCATENATE("R3C",'Mapa final'!$Y$18),"")</f>
        <v/>
      </c>
      <c r="L48" s="74" t="str">
        <f>IF(AND('Mapa final'!$AI$19="Muy Baja",'Mapa final'!$AK$19="Leve"),CONCATENATE("R3C",'Mapa final'!$Y$19),"")</f>
        <v/>
      </c>
      <c r="M48" s="74" t="str">
        <f>IF(AND('Mapa final'!$AI$20="Muy Baja",'Mapa final'!$AK$20="Leve"),CONCATENATE("R3C",'Mapa final'!$Y$20),"")</f>
        <v/>
      </c>
      <c r="N48" s="74" t="str">
        <f>IF(AND('Mapa final'!$AI$21="Muy Baja",'Mapa final'!$AK$21="Leve"),CONCATENATE("R3C",'Mapa final'!$Y$21),"")</f>
        <v/>
      </c>
      <c r="O48" s="75" t="str">
        <f>IF(AND('Mapa final'!$AI$22="Muy Baja",'Mapa final'!$AK$22="Leve"),CONCATENATE("R3C",'Mapa final'!$Y$22),"")</f>
        <v/>
      </c>
      <c r="P48" s="73" t="str">
        <f>IF(AND('Mapa final'!$AI$17="Muy Baja",'Mapa final'!$AK$17="Menor"),CONCATENATE("R3C",'Mapa final'!$Y$17),"")</f>
        <v/>
      </c>
      <c r="Q48" s="74" t="str">
        <f>IF(AND('Mapa final'!$AI$18="Muy Baja",'Mapa final'!$AK$18="Menor"),CONCATENATE("R3C",'Mapa final'!$Y$18),"")</f>
        <v/>
      </c>
      <c r="R48" s="74" t="str">
        <f>IF(AND('Mapa final'!$AI$19="Muy Baja",'Mapa final'!$AK$19="Menor"),CONCATENATE("R3C",'Mapa final'!$Y$19),"")</f>
        <v/>
      </c>
      <c r="S48" s="74" t="str">
        <f>IF(AND('Mapa final'!$AI$20="Muy Baja",'Mapa final'!$AK$20="Menor"),CONCATENATE("R3C",'Mapa final'!$Y$20),"")</f>
        <v/>
      </c>
      <c r="T48" s="74" t="str">
        <f>IF(AND('Mapa final'!$AI$21="Muy Baja",'Mapa final'!$AK$21="Menor"),CONCATENATE("R3C",'Mapa final'!$Y$21),"")</f>
        <v/>
      </c>
      <c r="U48" s="75" t="str">
        <f>IF(AND('Mapa final'!$AI$22="Muy Baja",'Mapa final'!$AK$22="Menor"),CONCATENATE("R3C",'Mapa final'!$Y$22),"")</f>
        <v/>
      </c>
      <c r="V48" s="64" t="str">
        <f>IF(AND('Mapa final'!$AI$17="Muy Baja",'Mapa final'!$AK$17="Moderado"),CONCATENATE("R3C",'Mapa final'!$Y$17),"")</f>
        <v/>
      </c>
      <c r="W48" s="65" t="str">
        <f>IF(AND('Mapa final'!$AI$18="Muy Baja",'Mapa final'!$AK$18="Moderado"),CONCATENATE("R3C",'Mapa final'!$Y$18),"")</f>
        <v/>
      </c>
      <c r="X48" s="65" t="str">
        <f>IF(AND('Mapa final'!$AI$19="Muy Baja",'Mapa final'!$AK$19="Moderado"),CONCATENATE("R3C",'Mapa final'!$Y$19),"")</f>
        <v/>
      </c>
      <c r="Y48" s="65" t="str">
        <f>IF(AND('Mapa final'!$AI$20="Muy Baja",'Mapa final'!$AK$20="Moderado"),CONCATENATE("R3C",'Mapa final'!$Y$20),"")</f>
        <v/>
      </c>
      <c r="Z48" s="65" t="str">
        <f>IF(AND('Mapa final'!$AI$21="Muy Baja",'Mapa final'!$AK$21="Moderado"),CONCATENATE("R3C",'Mapa final'!$Y$21),"")</f>
        <v/>
      </c>
      <c r="AA48" s="66" t="str">
        <f>IF(AND('Mapa final'!$AI$22="Muy Baja",'Mapa final'!$AK$22="Moderado"),CONCATENATE("R3C",'Mapa final'!$Y$22),"")</f>
        <v/>
      </c>
      <c r="AB48" s="49" t="str">
        <f>IF(AND('Mapa final'!$AI$17="Muy Baja",'Mapa final'!$AK$17="Mayor"),CONCATENATE("R3C",'Mapa final'!$Y$17),"")</f>
        <v/>
      </c>
      <c r="AC48" s="50" t="str">
        <f>IF(AND('Mapa final'!$AI$18="Muy Baja",'Mapa final'!$AK$18="Mayor"),CONCATENATE("R3C",'Mapa final'!$Y$18),"")</f>
        <v/>
      </c>
      <c r="AD48" s="50" t="str">
        <f>IF(AND('Mapa final'!$AI$19="Muy Baja",'Mapa final'!$AK$19="Mayor"),CONCATENATE("R3C",'Mapa final'!$Y$19),"")</f>
        <v/>
      </c>
      <c r="AE48" s="50" t="str">
        <f>IF(AND('Mapa final'!$AI$20="Muy Baja",'Mapa final'!$AK$20="Mayor"),CONCATENATE("R3C",'Mapa final'!$Y$20),"")</f>
        <v/>
      </c>
      <c r="AF48" s="50" t="str">
        <f>IF(AND('Mapa final'!$AI$21="Muy Baja",'Mapa final'!$AK$21="Mayor"),CONCATENATE("R3C",'Mapa final'!$Y$21),"")</f>
        <v/>
      </c>
      <c r="AG48" s="51" t="str">
        <f>IF(AND('Mapa final'!$AI$22="Muy Baja",'Mapa final'!$AK$22="Mayor"),CONCATENATE("R3C",'Mapa final'!$Y$22),"")</f>
        <v/>
      </c>
      <c r="AH48" s="52" t="str">
        <f>IF(AND('Mapa final'!$AI$17="Muy Baja",'Mapa final'!$AK$17="Catastrófico"),CONCATENATE("R3C",'Mapa final'!$Y$17),"")</f>
        <v/>
      </c>
      <c r="AI48" s="53" t="str">
        <f>IF(AND('Mapa final'!$AI$18="Muy Baja",'Mapa final'!$AK$18="Catastrófico"),CONCATENATE("R3C",'Mapa final'!$Y$18),"")</f>
        <v/>
      </c>
      <c r="AJ48" s="53" t="str">
        <f>IF(AND('Mapa final'!$AI$19="Muy Baja",'Mapa final'!$AK$19="Catastrófico"),CONCATENATE("R3C",'Mapa final'!$Y$19),"")</f>
        <v/>
      </c>
      <c r="AK48" s="53" t="str">
        <f>IF(AND('Mapa final'!$AI$20="Muy Baja",'Mapa final'!$AK$20="Catastrófico"),CONCATENATE("R3C",'Mapa final'!$Y$20),"")</f>
        <v/>
      </c>
      <c r="AL48" s="53" t="str">
        <f>IF(AND('Mapa final'!$AI$21="Muy Baja",'Mapa final'!$AK$21="Catastrófico"),CONCATENATE("R3C",'Mapa final'!$Y$21),"")</f>
        <v/>
      </c>
      <c r="AM48" s="54" t="str">
        <f>IF(AND('Mapa final'!$AI$22="Muy Baja",'Mapa final'!$AK$22="Catastrófico"),CONCATENATE("R3C",'Mapa final'!$Y$22),"")</f>
        <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406"/>
      <c r="C49" s="406"/>
      <c r="D49" s="407"/>
      <c r="E49" s="505"/>
      <c r="F49" s="504"/>
      <c r="G49" s="504"/>
      <c r="H49" s="504"/>
      <c r="I49" s="520"/>
      <c r="J49" s="73" t="str">
        <f>IF(AND('Mapa final'!$AI$23="Muy Baja",'Mapa final'!$AK$23="Leve"),CONCATENATE("R4C",'Mapa final'!$Y$23),"")</f>
        <v/>
      </c>
      <c r="K49" s="74" t="str">
        <f>IF(AND('Mapa final'!$AI$24="Muy Baja",'Mapa final'!$AK$24="Leve"),CONCATENATE("R4C",'Mapa final'!$Y$24),"")</f>
        <v/>
      </c>
      <c r="L49" s="74" t="str">
        <f>IF(AND('Mapa final'!$AI$25="Muy Baja",'Mapa final'!$AK$25="Leve"),CONCATENATE("R4C",'Mapa final'!$Y$25),"")</f>
        <v/>
      </c>
      <c r="M49" s="74" t="str">
        <f>IF(AND('Mapa final'!$AI$26="Muy Baja",'Mapa final'!$AK$26="Leve"),CONCATENATE("R4C",'Mapa final'!$Y$26),"")</f>
        <v/>
      </c>
      <c r="N49" s="74" t="str">
        <f>IF(AND('Mapa final'!$AI$27="Muy Baja",'Mapa final'!$AK$27="Leve"),CONCATENATE("R4C",'Mapa final'!$Y$27),"")</f>
        <v/>
      </c>
      <c r="O49" s="75" t="str">
        <f>IF(AND('Mapa final'!$AI$28="Muy Baja",'Mapa final'!$AK$28="Leve"),CONCATENATE("R4C",'Mapa final'!$Y$28),"")</f>
        <v/>
      </c>
      <c r="P49" s="73" t="str">
        <f>IF(AND('Mapa final'!$AI$23="Muy Baja",'Mapa final'!$AK$23="Menor"),CONCATENATE("R4C",'Mapa final'!$Y$23),"")</f>
        <v/>
      </c>
      <c r="Q49" s="74" t="str">
        <f>IF(AND('Mapa final'!$AI$24="Muy Baja",'Mapa final'!$AK$24="Menor"),CONCATENATE("R4C",'Mapa final'!$Y$24),"")</f>
        <v/>
      </c>
      <c r="R49" s="74" t="str">
        <f>IF(AND('Mapa final'!$AI$25="Muy Baja",'Mapa final'!$AK$25="Menor"),CONCATENATE("R4C",'Mapa final'!$Y$25),"")</f>
        <v/>
      </c>
      <c r="S49" s="74" t="str">
        <f>IF(AND('Mapa final'!$AI$26="Muy Baja",'Mapa final'!$AK$26="Menor"),CONCATENATE("R4C",'Mapa final'!$Y$26),"")</f>
        <v/>
      </c>
      <c r="T49" s="74" t="str">
        <f>IF(AND('Mapa final'!$AI$27="Muy Baja",'Mapa final'!$AK$27="Menor"),CONCATENATE("R4C",'Mapa final'!$Y$27),"")</f>
        <v/>
      </c>
      <c r="U49" s="75" t="str">
        <f>IF(AND('Mapa final'!$AI$28="Muy Baja",'Mapa final'!$AK$28="Menor"),CONCATENATE("R4C",'Mapa final'!$Y$28),"")</f>
        <v/>
      </c>
      <c r="V49" s="64" t="str">
        <f>IF(AND('Mapa final'!$AI$23="Muy Baja",'Mapa final'!$AK$23="Moderado"),CONCATENATE("R4C",'Mapa final'!$Y$23),"")</f>
        <v/>
      </c>
      <c r="W49" s="65" t="str">
        <f>IF(AND('Mapa final'!$AI$24="Muy Baja",'Mapa final'!$AK$24="Moderado"),CONCATENATE("R4C",'Mapa final'!$Y$24),"")</f>
        <v/>
      </c>
      <c r="X49" s="65" t="str">
        <f>IF(AND('Mapa final'!$AI$25="Muy Baja",'Mapa final'!$AK$25="Moderado"),CONCATENATE("R4C",'Mapa final'!$Y$25),"")</f>
        <v/>
      </c>
      <c r="Y49" s="65" t="str">
        <f>IF(AND('Mapa final'!$AI$26="Muy Baja",'Mapa final'!$AK$26="Moderado"),CONCATENATE("R4C",'Mapa final'!$Y$26),"")</f>
        <v/>
      </c>
      <c r="Z49" s="65" t="str">
        <f>IF(AND('Mapa final'!$AI$27="Muy Baja",'Mapa final'!$AK$27="Moderado"),CONCATENATE("R4C",'Mapa final'!$Y$27),"")</f>
        <v/>
      </c>
      <c r="AA49" s="66" t="str">
        <f>IF(AND('Mapa final'!$AI$28="Muy Baja",'Mapa final'!$AK$28="Moderado"),CONCATENATE("R4C",'Mapa final'!$Y$28),"")</f>
        <v/>
      </c>
      <c r="AB49" s="49" t="str">
        <f>IF(AND('Mapa final'!$AI$23="Muy Baja",'Mapa final'!$AK$23="Mayor"),CONCATENATE("R4C",'Mapa final'!$Y$23),"")</f>
        <v/>
      </c>
      <c r="AC49" s="50" t="str">
        <f>IF(AND('Mapa final'!$AI$24="Muy Baja",'Mapa final'!$AK$24="Mayor"),CONCATENATE("R4C",'Mapa final'!$Y$24),"")</f>
        <v/>
      </c>
      <c r="AD49" s="50" t="str">
        <f>IF(AND('Mapa final'!$AI$25="Muy Baja",'Mapa final'!$AK$25="Mayor"),CONCATENATE("R4C",'Mapa final'!$Y$25),"")</f>
        <v/>
      </c>
      <c r="AE49" s="50" t="str">
        <f>IF(AND('Mapa final'!$AI$26="Muy Baja",'Mapa final'!$AK$26="Mayor"),CONCATENATE("R4C",'Mapa final'!$Y$26),"")</f>
        <v/>
      </c>
      <c r="AF49" s="50" t="str">
        <f>IF(AND('Mapa final'!$AI$27="Muy Baja",'Mapa final'!$AK$27="Mayor"),CONCATENATE("R4C",'Mapa final'!$Y$27),"")</f>
        <v/>
      </c>
      <c r="AG49" s="51" t="str">
        <f>IF(AND('Mapa final'!$AI$28="Muy Baja",'Mapa final'!$AK$28="Mayor"),CONCATENATE("R4C",'Mapa final'!$Y$28),"")</f>
        <v/>
      </c>
      <c r="AH49" s="52" t="str">
        <f>IF(AND('Mapa final'!$AI$23="Muy Baja",'Mapa final'!$AK$23="Catastrófico"),CONCATENATE("R4C",'Mapa final'!$Y$23),"")</f>
        <v/>
      </c>
      <c r="AI49" s="53" t="str">
        <f>IF(AND('Mapa final'!$AI$24="Muy Baja",'Mapa final'!$AK$24="Catastrófico"),CONCATENATE("R4C",'Mapa final'!$Y$24),"")</f>
        <v/>
      </c>
      <c r="AJ49" s="53" t="str">
        <f>IF(AND('Mapa final'!$AI$25="Muy Baja",'Mapa final'!$AK$25="Catastrófico"),CONCATENATE("R4C",'Mapa final'!$Y$25),"")</f>
        <v/>
      </c>
      <c r="AK49" s="53" t="str">
        <f>IF(AND('Mapa final'!$AI$26="Muy Baja",'Mapa final'!$AK$26="Catastrófico"),CONCATENATE("R4C",'Mapa final'!$Y$26),"")</f>
        <v/>
      </c>
      <c r="AL49" s="53" t="str">
        <f>IF(AND('Mapa final'!$AI$27="Muy Baja",'Mapa final'!$AK$27="Catastrófico"),CONCATENATE("R4C",'Mapa final'!$Y$27),"")</f>
        <v/>
      </c>
      <c r="AM49" s="54" t="str">
        <f>IF(AND('Mapa final'!$AI$28="Muy Baja",'Mapa final'!$AK$28="Catastrófico"),CONCATENATE("R4C",'Mapa final'!$Y$28),"")</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406"/>
      <c r="C50" s="406"/>
      <c r="D50" s="407"/>
      <c r="E50" s="505"/>
      <c r="F50" s="504"/>
      <c r="G50" s="504"/>
      <c r="H50" s="504"/>
      <c r="I50" s="520"/>
      <c r="J50" s="73" t="str">
        <f>IF(AND('Mapa final'!$AI$29="Muy Baja",'Mapa final'!$AK$29="Leve"),CONCATENATE("R5C",'Mapa final'!$Y$29),"")</f>
        <v/>
      </c>
      <c r="K50" s="74" t="str">
        <f>IF(AND('Mapa final'!$AI$30="Muy Baja",'Mapa final'!$AK$30="Leve"),CONCATENATE("R5C",'Mapa final'!$Y$30),"")</f>
        <v/>
      </c>
      <c r="L50" s="74" t="str">
        <f>IF(AND('Mapa final'!$AI$31="Muy Baja",'Mapa final'!$AK$31="Leve"),CONCATENATE("R5C",'Mapa final'!$Y$31),"")</f>
        <v/>
      </c>
      <c r="M50" s="74" t="str">
        <f>IF(AND('Mapa final'!$AI$32="Muy Baja",'Mapa final'!$AK$32="Leve"),CONCATENATE("R5C",'Mapa final'!$Y$32),"")</f>
        <v/>
      </c>
      <c r="N50" s="74" t="str">
        <f>IF(AND('Mapa final'!$AI$33="Muy Baja",'Mapa final'!$AK$33="Leve"),CONCATENATE("R5C",'Mapa final'!$Y$33),"")</f>
        <v/>
      </c>
      <c r="O50" s="75" t="str">
        <f>IF(AND('Mapa final'!$AI$34="Muy Baja",'Mapa final'!$AK$34="Leve"),CONCATENATE("R5C",'Mapa final'!$Y$34),"")</f>
        <v/>
      </c>
      <c r="P50" s="73" t="str">
        <f>IF(AND('Mapa final'!$AI$29="Muy Baja",'Mapa final'!$AK$29="Menor"),CONCATENATE("R5C",'Mapa final'!$Y$29),"")</f>
        <v/>
      </c>
      <c r="Q50" s="74" t="str">
        <f>IF(AND('Mapa final'!$AI$30="Muy Baja",'Mapa final'!$AK$30="Menor"),CONCATENATE("R5C",'Mapa final'!$Y$30),"")</f>
        <v/>
      </c>
      <c r="R50" s="74" t="str">
        <f>IF(AND('Mapa final'!$AI$31="Muy Baja",'Mapa final'!$AK$31="Menor"),CONCATENATE("R5C",'Mapa final'!$Y$31),"")</f>
        <v/>
      </c>
      <c r="S50" s="74" t="str">
        <f>IF(AND('Mapa final'!$AI$32="Muy Baja",'Mapa final'!$AK$32="Menor"),CONCATENATE("R5C",'Mapa final'!$Y$32),"")</f>
        <v/>
      </c>
      <c r="T50" s="74" t="str">
        <f>IF(AND('Mapa final'!$AI$33="Muy Baja",'Mapa final'!$AK$33="Menor"),CONCATENATE("R5C",'Mapa final'!$Y$33),"")</f>
        <v/>
      </c>
      <c r="U50" s="75" t="str">
        <f>IF(AND('Mapa final'!$AI$34="Muy Baja",'Mapa final'!$AK$34="Menor"),CONCATENATE("R5C",'Mapa final'!$Y$34),"")</f>
        <v/>
      </c>
      <c r="V50" s="64" t="str">
        <f>IF(AND('Mapa final'!$AI$29="Muy Baja",'Mapa final'!$AK$29="Moderado"),CONCATENATE("R5C",'Mapa final'!$Y$29),"")</f>
        <v/>
      </c>
      <c r="W50" s="65" t="str">
        <f>IF(AND('Mapa final'!$AI$30="Muy Baja",'Mapa final'!$AK$30="Moderado"),CONCATENATE("R5C",'Mapa final'!$Y$30),"")</f>
        <v/>
      </c>
      <c r="X50" s="65" t="str">
        <f>IF(AND('Mapa final'!$AI$31="Muy Baja",'Mapa final'!$AK$31="Moderado"),CONCATENATE("R5C",'Mapa final'!$Y$31),"")</f>
        <v/>
      </c>
      <c r="Y50" s="65" t="str">
        <f>IF(AND('Mapa final'!$AI$32="Muy Baja",'Mapa final'!$AK$32="Moderado"),CONCATENATE("R5C",'Mapa final'!$Y$32),"")</f>
        <v/>
      </c>
      <c r="Z50" s="65" t="str">
        <f>IF(AND('Mapa final'!$AI$33="Muy Baja",'Mapa final'!$AK$33="Moderado"),CONCATENATE("R5C",'Mapa final'!$Y$33),"")</f>
        <v/>
      </c>
      <c r="AA50" s="66" t="str">
        <f>IF(AND('Mapa final'!$AI$34="Muy Baja",'Mapa final'!$AK$34="Moderado"),CONCATENATE("R5C",'Mapa final'!$Y$34),"")</f>
        <v/>
      </c>
      <c r="AB50" s="49" t="str">
        <f>IF(AND('Mapa final'!$AI$29="Muy Baja",'Mapa final'!$AK$29="Mayor"),CONCATENATE("R5C",'Mapa final'!$Y$29),"")</f>
        <v/>
      </c>
      <c r="AC50" s="50" t="str">
        <f>IF(AND('Mapa final'!$AI$30="Muy Baja",'Mapa final'!$AK$30="Mayor"),CONCATENATE("R5C",'Mapa final'!$Y$30),"")</f>
        <v/>
      </c>
      <c r="AD50" s="50" t="str">
        <f>IF(AND('Mapa final'!$AI$31="Muy Baja",'Mapa final'!$AK$31="Mayor"),CONCATENATE("R5C",'Mapa final'!$Y$31),"")</f>
        <v/>
      </c>
      <c r="AE50" s="50" t="str">
        <f>IF(AND('Mapa final'!$AI$32="Muy Baja",'Mapa final'!$AK$32="Mayor"),CONCATENATE("R5C",'Mapa final'!$Y$32),"")</f>
        <v/>
      </c>
      <c r="AF50" s="50" t="str">
        <f>IF(AND('Mapa final'!$AI$33="Muy Baja",'Mapa final'!$AK$33="Mayor"),CONCATENATE("R5C",'Mapa final'!$Y$33),"")</f>
        <v/>
      </c>
      <c r="AG50" s="51" t="str">
        <f>IF(AND('Mapa final'!$AI$34="Muy Baja",'Mapa final'!$AK$34="Mayor"),CONCATENATE("R5C",'Mapa final'!$Y$34),"")</f>
        <v/>
      </c>
      <c r="AH50" s="52" t="str">
        <f>IF(AND('Mapa final'!$AI$29="Muy Baja",'Mapa final'!$AK$29="Catastrófico"),CONCATENATE("R5C",'Mapa final'!$Y$29),"")</f>
        <v/>
      </c>
      <c r="AI50" s="53" t="str">
        <f>IF(AND('Mapa final'!$AI$30="Muy Baja",'Mapa final'!$AK$30="Catastrófico"),CONCATENATE("R5C",'Mapa final'!$Y$30),"")</f>
        <v/>
      </c>
      <c r="AJ50" s="53" t="str">
        <f>IF(AND('Mapa final'!$AI$31="Muy Baja",'Mapa final'!$AK$31="Catastrófico"),CONCATENATE("R5C",'Mapa final'!$Y$31),"")</f>
        <v/>
      </c>
      <c r="AK50" s="53" t="str">
        <f>IF(AND('Mapa final'!$AI$32="Muy Baja",'Mapa final'!$AK$32="Catastrófico"),CONCATENATE("R5C",'Mapa final'!$Y$32),"")</f>
        <v/>
      </c>
      <c r="AL50" s="53" t="str">
        <f>IF(AND('Mapa final'!$AI$33="Muy Baja",'Mapa final'!$AK$33="Catastrófico"),CONCATENATE("R5C",'Mapa final'!$Y$33),"")</f>
        <v/>
      </c>
      <c r="AM50" s="54" t="str">
        <f>IF(AND('Mapa final'!$AI$34="Muy Baja",'Mapa final'!$AK$34="Catastrófico"),CONCATENATE("R5C",'Mapa final'!$Y$34),"")</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406"/>
      <c r="C51" s="406"/>
      <c r="D51" s="407"/>
      <c r="E51" s="505"/>
      <c r="F51" s="504"/>
      <c r="G51" s="504"/>
      <c r="H51" s="504"/>
      <c r="I51" s="520"/>
      <c r="J51" s="73" t="str">
        <f>IF(AND('Mapa final'!$AI$35="Muy Baja",'Mapa final'!$AK$35="Leve"),CONCATENATE("R6C",'Mapa final'!$Y$35),"")</f>
        <v/>
      </c>
      <c r="K51" s="74" t="str">
        <f>IF(AND('Mapa final'!$AI$36="Muy Baja",'Mapa final'!$AK$36="Leve"),CONCATENATE("R6C",'Mapa final'!$Y$36),"")</f>
        <v/>
      </c>
      <c r="L51" s="74" t="str">
        <f>IF(AND('Mapa final'!$AI$37="Muy Baja",'Mapa final'!$AK$37="Leve"),CONCATENATE("R6C",'Mapa final'!$Y$37),"")</f>
        <v/>
      </c>
      <c r="M51" s="74" t="str">
        <f>IF(AND('Mapa final'!$AI$38="Muy Baja",'Mapa final'!$AK$38="Leve"),CONCATENATE("R6C",'Mapa final'!$Y$38),"")</f>
        <v/>
      </c>
      <c r="N51" s="74" t="str">
        <f>IF(AND('Mapa final'!$AI$39="Muy Baja",'Mapa final'!$AK$39="Leve"),CONCATENATE("R6C",'Mapa final'!$Y$39),"")</f>
        <v/>
      </c>
      <c r="O51" s="75" t="str">
        <f>IF(AND('Mapa final'!$AI$40="Muy Baja",'Mapa final'!$AK$40="Leve"),CONCATENATE("R6C",'Mapa final'!$Y$40),"")</f>
        <v/>
      </c>
      <c r="P51" s="73" t="str">
        <f>IF(AND('Mapa final'!$AI$35="Muy Baja",'Mapa final'!$AK$35="Menor"),CONCATENATE("R6C",'Mapa final'!$Y$35),"")</f>
        <v/>
      </c>
      <c r="Q51" s="74" t="str">
        <f>IF(AND('Mapa final'!$AI$36="Muy Baja",'Mapa final'!$AK$36="Menor"),CONCATENATE("R6C",'Mapa final'!$Y$36),"")</f>
        <v/>
      </c>
      <c r="R51" s="74" t="str">
        <f>IF(AND('Mapa final'!$AI$37="Muy Baja",'Mapa final'!$AK$37="Menor"),CONCATENATE("R6C",'Mapa final'!$Y$37),"")</f>
        <v/>
      </c>
      <c r="S51" s="74" t="str">
        <f>IF(AND('Mapa final'!$AI$38="Muy Baja",'Mapa final'!$AK$38="Menor"),CONCATENATE("R6C",'Mapa final'!$Y$38),"")</f>
        <v/>
      </c>
      <c r="T51" s="74" t="str">
        <f>IF(AND('Mapa final'!$AI$39="Muy Baja",'Mapa final'!$AK$39="Menor"),CONCATENATE("R6C",'Mapa final'!$Y$39),"")</f>
        <v/>
      </c>
      <c r="U51" s="75" t="str">
        <f>IF(AND('Mapa final'!$AI$40="Muy Baja",'Mapa final'!$AK$40="Menor"),CONCATENATE("R6C",'Mapa final'!$Y$40),"")</f>
        <v/>
      </c>
      <c r="V51" s="64" t="str">
        <f>IF(AND('Mapa final'!$AI$35="Muy Baja",'Mapa final'!$AK$35="Moderado"),CONCATENATE("R6C",'Mapa final'!$Y$35),"")</f>
        <v/>
      </c>
      <c r="W51" s="65" t="str">
        <f>IF(AND('Mapa final'!$AI$36="Muy Baja",'Mapa final'!$AK$36="Moderado"),CONCATENATE("R6C",'Mapa final'!$Y$36),"")</f>
        <v/>
      </c>
      <c r="X51" s="65" t="str">
        <f>IF(AND('Mapa final'!$AI$37="Muy Baja",'Mapa final'!$AK$37="Moderado"),CONCATENATE("R6C",'Mapa final'!$Y$37),"")</f>
        <v/>
      </c>
      <c r="Y51" s="65" t="str">
        <f>IF(AND('Mapa final'!$AI$38="Muy Baja",'Mapa final'!$AK$38="Moderado"),CONCATENATE("R6C",'Mapa final'!$Y$38),"")</f>
        <v/>
      </c>
      <c r="Z51" s="65" t="str">
        <f>IF(AND('Mapa final'!$AI$39="Muy Baja",'Mapa final'!$AK$39="Moderado"),CONCATENATE("R6C",'Mapa final'!$Y$39),"")</f>
        <v/>
      </c>
      <c r="AA51" s="66" t="str">
        <f>IF(AND('Mapa final'!$AI$40="Muy Baja",'Mapa final'!$AK$40="Moderado"),CONCATENATE("R6C",'Mapa final'!$Y$40),"")</f>
        <v/>
      </c>
      <c r="AB51" s="49" t="str">
        <f>IF(AND('Mapa final'!$AI$35="Muy Baja",'Mapa final'!$AK$35="Mayor"),CONCATENATE("R6C",'Mapa final'!$Y$35),"")</f>
        <v/>
      </c>
      <c r="AC51" s="50" t="str">
        <f>IF(AND('Mapa final'!$AI$36="Muy Baja",'Mapa final'!$AK$36="Mayor"),CONCATENATE("R6C",'Mapa final'!$Y$36),"")</f>
        <v/>
      </c>
      <c r="AD51" s="50" t="str">
        <f>IF(AND('Mapa final'!$AI$37="Muy Baja",'Mapa final'!$AK$37="Mayor"),CONCATENATE("R6C",'Mapa final'!$Y$37),"")</f>
        <v/>
      </c>
      <c r="AE51" s="50" t="str">
        <f>IF(AND('Mapa final'!$AI$38="Muy Baja",'Mapa final'!$AK$38="Mayor"),CONCATENATE("R6C",'Mapa final'!$Y$38),"")</f>
        <v/>
      </c>
      <c r="AF51" s="50" t="str">
        <f>IF(AND('Mapa final'!$AI$39="Muy Baja",'Mapa final'!$AK$39="Mayor"),CONCATENATE("R6C",'Mapa final'!$Y$39),"")</f>
        <v/>
      </c>
      <c r="AG51" s="51" t="str">
        <f>IF(AND('Mapa final'!$AI$40="Muy Baja",'Mapa final'!$AK$40="Mayor"),CONCATENATE("R6C",'Mapa final'!$Y$40),"")</f>
        <v/>
      </c>
      <c r="AH51" s="52" t="str">
        <f>IF(AND('Mapa final'!$AI$35="Muy Baja",'Mapa final'!$AK$35="Catastrófico"),CONCATENATE("R6C",'Mapa final'!$Y$35),"")</f>
        <v/>
      </c>
      <c r="AI51" s="53" t="str">
        <f>IF(AND('Mapa final'!$AI$36="Muy Baja",'Mapa final'!$AK$36="Catastrófico"),CONCATENATE("R6C",'Mapa final'!$Y$36),"")</f>
        <v/>
      </c>
      <c r="AJ51" s="53" t="str">
        <f>IF(AND('Mapa final'!$AI$37="Muy Baja",'Mapa final'!$AK$37="Catastrófico"),CONCATENATE("R6C",'Mapa final'!$Y$37),"")</f>
        <v/>
      </c>
      <c r="AK51" s="53" t="str">
        <f>IF(AND('Mapa final'!$AI$38="Muy Baja",'Mapa final'!$AK$38="Catastrófico"),CONCATENATE("R6C",'Mapa final'!$Y$38),"")</f>
        <v/>
      </c>
      <c r="AL51" s="53" t="str">
        <f>IF(AND('Mapa final'!$AI$39="Muy Baja",'Mapa final'!$AK$39="Catastrófico"),CONCATENATE("R6C",'Mapa final'!$Y$39),"")</f>
        <v/>
      </c>
      <c r="AM51" s="54" t="str">
        <f>IF(AND('Mapa final'!$AI$40="Muy Baja",'Mapa final'!$AK$40="Catastrófico"),CONCATENATE("R6C",'Mapa final'!$Y$40),"")</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406"/>
      <c r="C52" s="406"/>
      <c r="D52" s="407"/>
      <c r="E52" s="505"/>
      <c r="F52" s="504"/>
      <c r="G52" s="504"/>
      <c r="H52" s="504"/>
      <c r="I52" s="520"/>
      <c r="J52" s="73" t="str">
        <f>IF(AND('Mapa final'!$AI$41="Muy Baja",'Mapa final'!$AK$41="Leve"),CONCATENATE("R7C",'Mapa final'!$Y$41),"")</f>
        <v/>
      </c>
      <c r="K52" s="74" t="str">
        <f>IF(AND('Mapa final'!$AI$42="Muy Baja",'Mapa final'!$AK$42="Leve"),CONCATENATE("R7C",'Mapa final'!$Y$42),"")</f>
        <v/>
      </c>
      <c r="L52" s="74" t="str">
        <f>IF(AND('Mapa final'!$AI$43="Muy Baja",'Mapa final'!$AK$43="Leve"),CONCATENATE("R7C",'Mapa final'!$Y$43),"")</f>
        <v/>
      </c>
      <c r="M52" s="74" t="str">
        <f>IF(AND('Mapa final'!$AI$44="Muy Baja",'Mapa final'!$AK$44="Leve"),CONCATENATE("R7C",'Mapa final'!$Y$44),"")</f>
        <v/>
      </c>
      <c r="N52" s="74" t="str">
        <f>IF(AND('Mapa final'!$AI$45="Muy Baja",'Mapa final'!$AK$45="Leve"),CONCATENATE("R7C",'Mapa final'!$Y$45),"")</f>
        <v/>
      </c>
      <c r="O52" s="75" t="str">
        <f>IF(AND('Mapa final'!$AI$46="Muy Baja",'Mapa final'!$AK$46="Leve"),CONCATENATE("R7C",'Mapa final'!$Y$46),"")</f>
        <v/>
      </c>
      <c r="P52" s="73" t="str">
        <f>IF(AND('Mapa final'!$AI$41="Muy Baja",'Mapa final'!$AK$41="Menor"),CONCATENATE("R7C",'Mapa final'!$Y$41),"")</f>
        <v/>
      </c>
      <c r="Q52" s="74" t="str">
        <f>IF(AND('Mapa final'!$AI$42="Muy Baja",'Mapa final'!$AK$42="Menor"),CONCATENATE("R7C",'Mapa final'!$Y$42),"")</f>
        <v/>
      </c>
      <c r="R52" s="74" t="str">
        <f>IF(AND('Mapa final'!$AI$43="Muy Baja",'Mapa final'!$AK$43="Menor"),CONCATENATE("R7C",'Mapa final'!$Y$43),"")</f>
        <v/>
      </c>
      <c r="S52" s="74" t="str">
        <f>IF(AND('Mapa final'!$AI$44="Muy Baja",'Mapa final'!$AK$44="Menor"),CONCATENATE("R7C",'Mapa final'!$Y$44),"")</f>
        <v/>
      </c>
      <c r="T52" s="74" t="str">
        <f>IF(AND('Mapa final'!$AI$45="Muy Baja",'Mapa final'!$AK$45="Menor"),CONCATENATE("R7C",'Mapa final'!$Y$45),"")</f>
        <v/>
      </c>
      <c r="U52" s="75" t="str">
        <f>IF(AND('Mapa final'!$AI$46="Muy Baja",'Mapa final'!$AK$46="Menor"),CONCATENATE("R7C",'Mapa final'!$Y$46),"")</f>
        <v/>
      </c>
      <c r="V52" s="64" t="str">
        <f>IF(AND('Mapa final'!$AI$41="Muy Baja",'Mapa final'!$AK$41="Moderado"),CONCATENATE("R7C",'Mapa final'!$Y$41),"")</f>
        <v/>
      </c>
      <c r="W52" s="65" t="str">
        <f>IF(AND('Mapa final'!$AI$42="Muy Baja",'Mapa final'!$AK$42="Moderado"),CONCATENATE("R7C",'Mapa final'!$Y$42),"")</f>
        <v/>
      </c>
      <c r="X52" s="65" t="str">
        <f>IF(AND('Mapa final'!$AI$43="Muy Baja",'Mapa final'!$AK$43="Moderado"),CONCATENATE("R7C",'Mapa final'!$Y$43),"")</f>
        <v/>
      </c>
      <c r="Y52" s="65" t="str">
        <f>IF(AND('Mapa final'!$AI$44="Muy Baja",'Mapa final'!$AK$44="Moderado"),CONCATENATE("R7C",'Mapa final'!$Y$44),"")</f>
        <v/>
      </c>
      <c r="Z52" s="65" t="str">
        <f>IF(AND('Mapa final'!$AI$45="Muy Baja",'Mapa final'!$AK$45="Moderado"),CONCATENATE("R7C",'Mapa final'!$Y$45),"")</f>
        <v/>
      </c>
      <c r="AA52" s="66" t="str">
        <f>IF(AND('Mapa final'!$AI$46="Muy Baja",'Mapa final'!$AK$46="Moderado"),CONCATENATE("R7C",'Mapa final'!$Y$46),"")</f>
        <v/>
      </c>
      <c r="AB52" s="49" t="str">
        <f>IF(AND('Mapa final'!$AI$41="Muy Baja",'Mapa final'!$AK$41="Mayor"),CONCATENATE("R7C",'Mapa final'!$Y$41),"")</f>
        <v/>
      </c>
      <c r="AC52" s="50" t="str">
        <f>IF(AND('Mapa final'!$AI$42="Muy Baja",'Mapa final'!$AK$42="Mayor"),CONCATENATE("R7C",'Mapa final'!$Y$42),"")</f>
        <v/>
      </c>
      <c r="AD52" s="50" t="str">
        <f>IF(AND('Mapa final'!$AI$43="Muy Baja",'Mapa final'!$AK$43="Mayor"),CONCATENATE("R7C",'Mapa final'!$Y$43),"")</f>
        <v/>
      </c>
      <c r="AE52" s="50" t="str">
        <f>IF(AND('Mapa final'!$AI$44="Muy Baja",'Mapa final'!$AK$44="Mayor"),CONCATENATE("R7C",'Mapa final'!$Y$44),"")</f>
        <v/>
      </c>
      <c r="AF52" s="50" t="str">
        <f>IF(AND('Mapa final'!$AI$45="Muy Baja",'Mapa final'!$AK$45="Mayor"),CONCATENATE("R7C",'Mapa final'!$Y$45),"")</f>
        <v/>
      </c>
      <c r="AG52" s="51" t="str">
        <f>IF(AND('Mapa final'!$AI$46="Muy Baja",'Mapa final'!$AK$46="Mayor"),CONCATENATE("R7C",'Mapa final'!$Y$46),"")</f>
        <v/>
      </c>
      <c r="AH52" s="52" t="str">
        <f>IF(AND('Mapa final'!$AI$41="Muy Baja",'Mapa final'!$AK$41="Catastrófico"),CONCATENATE("R7C",'Mapa final'!$Y$41),"")</f>
        <v/>
      </c>
      <c r="AI52" s="53" t="str">
        <f>IF(AND('Mapa final'!$AI$42="Muy Baja",'Mapa final'!$AK$42="Catastrófico"),CONCATENATE("R7C",'Mapa final'!$Y$42),"")</f>
        <v/>
      </c>
      <c r="AJ52" s="53" t="str">
        <f>IF(AND('Mapa final'!$AI$43="Muy Baja",'Mapa final'!$AK$43="Catastrófico"),CONCATENATE("R7C",'Mapa final'!$Y$43),"")</f>
        <v/>
      </c>
      <c r="AK52" s="53" t="str">
        <f>IF(AND('Mapa final'!$AI$44="Muy Baja",'Mapa final'!$AK$44="Catastrófico"),CONCATENATE("R7C",'Mapa final'!$Y$44),"")</f>
        <v/>
      </c>
      <c r="AL52" s="53" t="str">
        <f>IF(AND('Mapa final'!$AI$45="Muy Baja",'Mapa final'!$AK$45="Catastrófico"),CONCATENATE("R7C",'Mapa final'!$Y$45),"")</f>
        <v/>
      </c>
      <c r="AM52" s="54" t="str">
        <f>IF(AND('Mapa final'!$AI$46="Muy Baja",'Mapa final'!$AK$46="Catastrófico"),CONCATENATE("R7C",'Mapa final'!$Y$46),"")</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406"/>
      <c r="C53" s="406"/>
      <c r="D53" s="407"/>
      <c r="E53" s="505"/>
      <c r="F53" s="504"/>
      <c r="G53" s="504"/>
      <c r="H53" s="504"/>
      <c r="I53" s="520"/>
      <c r="J53" s="73" t="str">
        <f>IF(AND('Mapa final'!$AI$47="Muy Baja",'Mapa final'!$AK$47="Leve"),CONCATENATE("R8C",'Mapa final'!$Y$47),"")</f>
        <v/>
      </c>
      <c r="K53" s="74" t="str">
        <f>IF(AND('Mapa final'!$AI$48="Muy Baja",'Mapa final'!$AK$48="Leve"),CONCATENATE("R8C",'Mapa final'!$Y$48),"")</f>
        <v/>
      </c>
      <c r="L53" s="74" t="str">
        <f>IF(AND('Mapa final'!$AI$49="Muy Baja",'Mapa final'!$AK$49="Leve"),CONCATENATE("R8C",'Mapa final'!$Y$49),"")</f>
        <v/>
      </c>
      <c r="M53" s="74" t="str">
        <f>IF(AND('Mapa final'!$AI$50="Muy Baja",'Mapa final'!$AK$50="Leve"),CONCATENATE("R8C",'Mapa final'!$Y$50),"")</f>
        <v/>
      </c>
      <c r="N53" s="74" t="str">
        <f>IF(AND('Mapa final'!$AI$51="Muy Baja",'Mapa final'!$AK$51="Leve"),CONCATENATE("R8C",'Mapa final'!$Y$51),"")</f>
        <v/>
      </c>
      <c r="O53" s="75" t="str">
        <f>IF(AND('Mapa final'!$AI$52="Muy Baja",'Mapa final'!$AK$52="Leve"),CONCATENATE("R8C",'Mapa final'!$Y$52),"")</f>
        <v/>
      </c>
      <c r="P53" s="73" t="str">
        <f>IF(AND('Mapa final'!$AI$47="Muy Baja",'Mapa final'!$AK$47="Menor"),CONCATENATE("R8C",'Mapa final'!$Y$47),"")</f>
        <v/>
      </c>
      <c r="Q53" s="74" t="str">
        <f>IF(AND('Mapa final'!$AI$48="Muy Baja",'Mapa final'!$AK$48="Menor"),CONCATENATE("R8C",'Mapa final'!$Y$48),"")</f>
        <v/>
      </c>
      <c r="R53" s="74" t="str">
        <f>IF(AND('Mapa final'!$AI$49="Muy Baja",'Mapa final'!$AK$49="Menor"),CONCATENATE("R8C",'Mapa final'!$Y$49),"")</f>
        <v/>
      </c>
      <c r="S53" s="74" t="str">
        <f>IF(AND('Mapa final'!$AI$50="Muy Baja",'Mapa final'!$AK$50="Menor"),CONCATENATE("R8C",'Mapa final'!$Y$50),"")</f>
        <v/>
      </c>
      <c r="T53" s="74" t="str">
        <f>IF(AND('Mapa final'!$AI$51="Muy Baja",'Mapa final'!$AK$51="Menor"),CONCATENATE("R8C",'Mapa final'!$Y$51),"")</f>
        <v/>
      </c>
      <c r="U53" s="75" t="str">
        <f>IF(AND('Mapa final'!$AI$52="Muy Baja",'Mapa final'!$AK$52="Menor"),CONCATENATE("R8C",'Mapa final'!$Y$52),"")</f>
        <v/>
      </c>
      <c r="V53" s="64" t="str">
        <f>IF(AND('Mapa final'!$AI$47="Muy Baja",'Mapa final'!$AK$47="Moderado"),CONCATENATE("R8C",'Mapa final'!$Y$47),"")</f>
        <v/>
      </c>
      <c r="W53" s="65" t="str">
        <f>IF(AND('Mapa final'!$AI$48="Muy Baja",'Mapa final'!$AK$48="Moderado"),CONCATENATE("R8C",'Mapa final'!$Y$48),"")</f>
        <v/>
      </c>
      <c r="X53" s="65" t="str">
        <f>IF(AND('Mapa final'!$AI$49="Muy Baja",'Mapa final'!$AK$49="Moderado"),CONCATENATE("R8C",'Mapa final'!$Y$49),"")</f>
        <v/>
      </c>
      <c r="Y53" s="65" t="str">
        <f>IF(AND('Mapa final'!$AI$50="Muy Baja",'Mapa final'!$AK$50="Moderado"),CONCATENATE("R8C",'Mapa final'!$Y$50),"")</f>
        <v/>
      </c>
      <c r="Z53" s="65" t="str">
        <f>IF(AND('Mapa final'!$AI$51="Muy Baja",'Mapa final'!$AK$51="Moderado"),CONCATENATE("R8C",'Mapa final'!$Y$51),"")</f>
        <v/>
      </c>
      <c r="AA53" s="66" t="str">
        <f>IF(AND('Mapa final'!$AI$52="Muy Baja",'Mapa final'!$AK$52="Moderado"),CONCATENATE("R8C",'Mapa final'!$Y$52),"")</f>
        <v/>
      </c>
      <c r="AB53" s="49" t="str">
        <f>IF(AND('Mapa final'!$AI$47="Muy Baja",'Mapa final'!$AK$47="Mayor"),CONCATENATE("R8C",'Mapa final'!$Y$47),"")</f>
        <v/>
      </c>
      <c r="AC53" s="50" t="str">
        <f>IF(AND('Mapa final'!$AI$48="Muy Baja",'Mapa final'!$AK$48="Mayor"),CONCATENATE("R8C",'Mapa final'!$Y$48),"")</f>
        <v/>
      </c>
      <c r="AD53" s="50" t="str">
        <f>IF(AND('Mapa final'!$AI$49="Muy Baja",'Mapa final'!$AK$49="Mayor"),CONCATENATE("R8C",'Mapa final'!$Y$49),"")</f>
        <v/>
      </c>
      <c r="AE53" s="50" t="str">
        <f>IF(AND('Mapa final'!$AI$50="Muy Baja",'Mapa final'!$AK$50="Mayor"),CONCATENATE("R8C",'Mapa final'!$Y$50),"")</f>
        <v/>
      </c>
      <c r="AF53" s="50" t="str">
        <f>IF(AND('Mapa final'!$AI$51="Muy Baja",'Mapa final'!$AK$51="Mayor"),CONCATENATE("R8C",'Mapa final'!$Y$51),"")</f>
        <v/>
      </c>
      <c r="AG53" s="51" t="str">
        <f>IF(AND('Mapa final'!$AI$52="Muy Baja",'Mapa final'!$AK$52="Mayor"),CONCATENATE("R8C",'Mapa final'!$Y$52),"")</f>
        <v/>
      </c>
      <c r="AH53" s="52" t="str">
        <f>IF(AND('Mapa final'!$AI$47="Muy Baja",'Mapa final'!$AK$47="Catastrófico"),CONCATENATE("R8C",'Mapa final'!$Y$47),"")</f>
        <v/>
      </c>
      <c r="AI53" s="53" t="str">
        <f>IF(AND('Mapa final'!$AI$48="Muy Baja",'Mapa final'!$AK$48="Catastrófico"),CONCATENATE("R8C",'Mapa final'!$Y$48),"")</f>
        <v/>
      </c>
      <c r="AJ53" s="53" t="str">
        <f>IF(AND('Mapa final'!$AI$49="Muy Baja",'Mapa final'!$AK$49="Catastrófico"),CONCATENATE("R8C",'Mapa final'!$Y$49),"")</f>
        <v/>
      </c>
      <c r="AK53" s="53" t="str">
        <f>IF(AND('Mapa final'!$AI$50="Muy Baja",'Mapa final'!$AK$50="Catastrófico"),CONCATENATE("R8C",'Mapa final'!$Y$50),"")</f>
        <v/>
      </c>
      <c r="AL53" s="53" t="str">
        <f>IF(AND('Mapa final'!$AI$51="Muy Baja",'Mapa final'!$AK$51="Catastrófico"),CONCATENATE("R8C",'Mapa final'!$Y$51),"")</f>
        <v/>
      </c>
      <c r="AM53" s="54" t="str">
        <f>IF(AND('Mapa final'!$AI$52="Muy Baja",'Mapa final'!$AK$52="Catastrófico"),CONCATENATE("R8C",'Mapa final'!$Y$52),"")</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406"/>
      <c r="C54" s="406"/>
      <c r="D54" s="407"/>
      <c r="E54" s="505"/>
      <c r="F54" s="504"/>
      <c r="G54" s="504"/>
      <c r="H54" s="504"/>
      <c r="I54" s="520"/>
      <c r="J54" s="73" t="str">
        <f>IF(AND('Mapa final'!$AI$53="Muy Baja",'Mapa final'!$AK$53="Leve"),CONCATENATE("R9C",'Mapa final'!$Y$53),"")</f>
        <v/>
      </c>
      <c r="K54" s="74" t="str">
        <f>IF(AND('Mapa final'!$AI$54="Muy Baja",'Mapa final'!$AK$54="Leve"),CONCATENATE("R9C",'Mapa final'!$Y$54),"")</f>
        <v/>
      </c>
      <c r="L54" s="74" t="str">
        <f>IF(AND('Mapa final'!$AI$55="Muy Baja",'Mapa final'!$AK$55="Leve"),CONCATENATE("R9C",'Mapa final'!$Y$55),"")</f>
        <v/>
      </c>
      <c r="M54" s="74" t="str">
        <f>IF(AND('Mapa final'!$AI$56="Muy Baja",'Mapa final'!$AK$56="Leve"),CONCATENATE("R9C",'Mapa final'!$Y$56),"")</f>
        <v/>
      </c>
      <c r="N54" s="74" t="str">
        <f>IF(AND('Mapa final'!$AI$57="Muy Baja",'Mapa final'!$AK$57="Leve"),CONCATENATE("R9C",'Mapa final'!$Y$57),"")</f>
        <v/>
      </c>
      <c r="O54" s="75" t="str">
        <f>IF(AND('Mapa final'!$AI$58="Muy Baja",'Mapa final'!$AK$58="Leve"),CONCATENATE("R9C",'Mapa final'!$Y$58),"")</f>
        <v/>
      </c>
      <c r="P54" s="73" t="str">
        <f>IF(AND('Mapa final'!$AI$53="Muy Baja",'Mapa final'!$AK$53="Menor"),CONCATENATE("R9C",'Mapa final'!$Y$53),"")</f>
        <v/>
      </c>
      <c r="Q54" s="74" t="str">
        <f>IF(AND('Mapa final'!$AI$54="Muy Baja",'Mapa final'!$AK$54="Menor"),CONCATENATE("R9C",'Mapa final'!$Y$54),"")</f>
        <v/>
      </c>
      <c r="R54" s="74" t="str">
        <f>IF(AND('Mapa final'!$AI$55="Muy Baja",'Mapa final'!$AK$55="Menor"),CONCATENATE("R9C",'Mapa final'!$Y$55),"")</f>
        <v/>
      </c>
      <c r="S54" s="74" t="str">
        <f>IF(AND('Mapa final'!$AI$56="Muy Baja",'Mapa final'!$AK$56="Menor"),CONCATENATE("R9C",'Mapa final'!$Y$56),"")</f>
        <v/>
      </c>
      <c r="T54" s="74" t="str">
        <f>IF(AND('Mapa final'!$AI$57="Muy Baja",'Mapa final'!$AK$57="Menor"),CONCATENATE("R9C",'Mapa final'!$Y$57),"")</f>
        <v/>
      </c>
      <c r="U54" s="75" t="str">
        <f>IF(AND('Mapa final'!$AI$58="Muy Baja",'Mapa final'!$AK$58="Menor"),CONCATENATE("R9C",'Mapa final'!$Y$58),"")</f>
        <v/>
      </c>
      <c r="V54" s="64" t="str">
        <f>IF(AND('Mapa final'!$AI$53="Muy Baja",'Mapa final'!$AK$53="Moderado"),CONCATENATE("R9C",'Mapa final'!$Y$53),"")</f>
        <v/>
      </c>
      <c r="W54" s="65" t="str">
        <f>IF(AND('Mapa final'!$AI$54="Muy Baja",'Mapa final'!$AK$54="Moderado"),CONCATENATE("R9C",'Mapa final'!$Y$54),"")</f>
        <v/>
      </c>
      <c r="X54" s="65" t="str">
        <f>IF(AND('Mapa final'!$AI$55="Muy Baja",'Mapa final'!$AK$55="Moderado"),CONCATENATE("R9C",'Mapa final'!$Y$55),"")</f>
        <v/>
      </c>
      <c r="Y54" s="65" t="str">
        <f>IF(AND('Mapa final'!$AI$56="Muy Baja",'Mapa final'!$AK$56="Moderado"),CONCATENATE("R9C",'Mapa final'!$Y$56),"")</f>
        <v/>
      </c>
      <c r="Z54" s="65" t="str">
        <f>IF(AND('Mapa final'!$AI$57="Muy Baja",'Mapa final'!$AK$57="Moderado"),CONCATENATE("R9C",'Mapa final'!$Y$57),"")</f>
        <v/>
      </c>
      <c r="AA54" s="66" t="str">
        <f>IF(AND('Mapa final'!$AI$58="Muy Baja",'Mapa final'!$AK$58="Moderado"),CONCATENATE("R9C",'Mapa final'!$Y$58),"")</f>
        <v/>
      </c>
      <c r="AB54" s="49" t="str">
        <f>IF(AND('Mapa final'!$AI$53="Muy Baja",'Mapa final'!$AK$53="Mayor"),CONCATENATE("R9C",'Mapa final'!$Y$53),"")</f>
        <v/>
      </c>
      <c r="AC54" s="50" t="str">
        <f>IF(AND('Mapa final'!$AI$54="Muy Baja",'Mapa final'!$AK$54="Mayor"),CONCATENATE("R9C",'Mapa final'!$Y$54),"")</f>
        <v/>
      </c>
      <c r="AD54" s="50" t="str">
        <f>IF(AND('Mapa final'!$AI$55="Muy Baja",'Mapa final'!$AK$55="Mayor"),CONCATENATE("R9C",'Mapa final'!$Y$55),"")</f>
        <v/>
      </c>
      <c r="AE54" s="50" t="str">
        <f>IF(AND('Mapa final'!$AI$56="Muy Baja",'Mapa final'!$AK$56="Mayor"),CONCATENATE("R9C",'Mapa final'!$Y$56),"")</f>
        <v/>
      </c>
      <c r="AF54" s="50" t="str">
        <f>IF(AND('Mapa final'!$AI$57="Muy Baja",'Mapa final'!$AK$57="Mayor"),CONCATENATE("R9C",'Mapa final'!$Y$57),"")</f>
        <v/>
      </c>
      <c r="AG54" s="51" t="str">
        <f>IF(AND('Mapa final'!$AI$58="Muy Baja",'Mapa final'!$AK$58="Mayor"),CONCATENATE("R9C",'Mapa final'!$Y$58),"")</f>
        <v/>
      </c>
      <c r="AH54" s="52" t="str">
        <f>IF(AND('Mapa final'!$AI$53="Muy Baja",'Mapa final'!$AK$53="Catastrófico"),CONCATENATE("R9C",'Mapa final'!$Y$53),"")</f>
        <v/>
      </c>
      <c r="AI54" s="53" t="str">
        <f>IF(AND('Mapa final'!$AI$54="Muy Baja",'Mapa final'!$AK$54="Catastrófico"),CONCATENATE("R9C",'Mapa final'!$Y$54),"")</f>
        <v/>
      </c>
      <c r="AJ54" s="53" t="str">
        <f>IF(AND('Mapa final'!$AI$55="Muy Baja",'Mapa final'!$AK$55="Catastrófico"),CONCATENATE("R9C",'Mapa final'!$Y$55),"")</f>
        <v/>
      </c>
      <c r="AK54" s="53" t="str">
        <f>IF(AND('Mapa final'!$AI$56="Muy Baja",'Mapa final'!$AK$56="Catastrófico"),CONCATENATE("R9C",'Mapa final'!$Y$56),"")</f>
        <v/>
      </c>
      <c r="AL54" s="53" t="str">
        <f>IF(AND('Mapa final'!$AI$57="Muy Baja",'Mapa final'!$AK$57="Catastrófico"),CONCATENATE("R9C",'Mapa final'!$Y$57),"")</f>
        <v/>
      </c>
      <c r="AM54" s="54" t="str">
        <f>IF(AND('Mapa final'!$AI$58="Muy Baja",'Mapa final'!$AK$58="Catastrófico"),CONCATENATE("R9C",'Mapa final'!$Y$58),"")</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406"/>
      <c r="C55" s="406"/>
      <c r="D55" s="407"/>
      <c r="E55" s="506"/>
      <c r="F55" s="507"/>
      <c r="G55" s="507"/>
      <c r="H55" s="507"/>
      <c r="I55" s="521"/>
      <c r="J55" s="76" t="str">
        <f>IF(AND('Mapa final'!$AI$59="Muy Baja",'Mapa final'!$AK$59="Leve"),CONCATENATE("R10C",'Mapa final'!$Y$59),"")</f>
        <v/>
      </c>
      <c r="K55" s="77" t="str">
        <f>IF(AND('Mapa final'!$AI$60="Muy Baja",'Mapa final'!$AK$60="Leve"),CONCATENATE("R10C",'Mapa final'!$Y$60),"")</f>
        <v/>
      </c>
      <c r="L55" s="77" t="str">
        <f>IF(AND('Mapa final'!$AI$61="Muy Baja",'Mapa final'!$AK$61="Leve"),CONCATENATE("R10C",'Mapa final'!$Y$61),"")</f>
        <v/>
      </c>
      <c r="M55" s="77" t="str">
        <f>IF(AND('Mapa final'!$AI$62="Muy Baja",'Mapa final'!$AK$62="Leve"),CONCATENATE("R10C",'Mapa final'!$Y$62),"")</f>
        <v/>
      </c>
      <c r="N55" s="77" t="str">
        <f>IF(AND('Mapa final'!$AI$63="Muy Baja",'Mapa final'!$AK$63="Leve"),CONCATENATE("R10C",'Mapa final'!$Y$63),"")</f>
        <v/>
      </c>
      <c r="O55" s="78" t="str">
        <f>IF(AND('Mapa final'!$AI$64="Muy Baja",'Mapa final'!$AK$64="Leve"),CONCATENATE("R10C",'Mapa final'!$Y$64),"")</f>
        <v/>
      </c>
      <c r="P55" s="76" t="str">
        <f>IF(AND('Mapa final'!$AI$59="Muy Baja",'Mapa final'!$AK$59="Menor"),CONCATENATE("R10C",'Mapa final'!$Y$59),"")</f>
        <v/>
      </c>
      <c r="Q55" s="77" t="str">
        <f>IF(AND('Mapa final'!$AI$60="Muy Baja",'Mapa final'!$AK$60="Menor"),CONCATENATE("R10C",'Mapa final'!$Y$60),"")</f>
        <v/>
      </c>
      <c r="R55" s="77" t="str">
        <f>IF(AND('Mapa final'!$AI$61="Muy Baja",'Mapa final'!$AK$61="Menor"),CONCATENATE("R10C",'Mapa final'!$Y$61),"")</f>
        <v/>
      </c>
      <c r="S55" s="77" t="str">
        <f>IF(AND('Mapa final'!$AI$62="Muy Baja",'Mapa final'!$AK$62="Menor"),CONCATENATE("R10C",'Mapa final'!$Y$62),"")</f>
        <v/>
      </c>
      <c r="T55" s="77" t="str">
        <f>IF(AND('Mapa final'!$AI$63="Muy Baja",'Mapa final'!$AK$63="Menor"),CONCATENATE("R10C",'Mapa final'!$Y$63),"")</f>
        <v/>
      </c>
      <c r="U55" s="78" t="str">
        <f>IF(AND('Mapa final'!$AI$64="Muy Baja",'Mapa final'!$AK$64="Menor"),CONCATENATE("R10C",'Mapa final'!$Y$64),"")</f>
        <v/>
      </c>
      <c r="V55" s="67" t="str">
        <f>IF(AND('Mapa final'!$AI$59="Muy Baja",'Mapa final'!$AK$59="Moderado"),CONCATENATE("R10C",'Mapa final'!$Y$59),"")</f>
        <v/>
      </c>
      <c r="W55" s="68" t="str">
        <f>IF(AND('Mapa final'!$AI$60="Muy Baja",'Mapa final'!$AK$60="Moderado"),CONCATENATE("R10C",'Mapa final'!$Y$60),"")</f>
        <v/>
      </c>
      <c r="X55" s="68" t="str">
        <f>IF(AND('Mapa final'!$AI$61="Muy Baja",'Mapa final'!$AK$61="Moderado"),CONCATENATE("R10C",'Mapa final'!$Y$61),"")</f>
        <v/>
      </c>
      <c r="Y55" s="68" t="str">
        <f>IF(AND('Mapa final'!$AI$62="Muy Baja",'Mapa final'!$AK$62="Moderado"),CONCATENATE("R10C",'Mapa final'!$Y$62),"")</f>
        <v/>
      </c>
      <c r="Z55" s="68" t="str">
        <f>IF(AND('Mapa final'!$AI$63="Muy Baja",'Mapa final'!$AK$63="Moderado"),CONCATENATE("R10C",'Mapa final'!$Y$63),"")</f>
        <v/>
      </c>
      <c r="AA55" s="69" t="str">
        <f>IF(AND('Mapa final'!$AI$64="Muy Baja",'Mapa final'!$AK$64="Moderado"),CONCATENATE("R10C",'Mapa final'!$Y$64),"")</f>
        <v/>
      </c>
      <c r="AB55" s="55" t="str">
        <f>IF(AND('Mapa final'!$AI$59="Muy Baja",'Mapa final'!$AK$59="Mayor"),CONCATENATE("R10C",'Mapa final'!$Y$59),"")</f>
        <v/>
      </c>
      <c r="AC55" s="56" t="str">
        <f>IF(AND('Mapa final'!$AI$60="Muy Baja",'Mapa final'!$AK$60="Mayor"),CONCATENATE("R10C",'Mapa final'!$Y$60),"")</f>
        <v/>
      </c>
      <c r="AD55" s="56" t="str">
        <f>IF(AND('Mapa final'!$AI$61="Muy Baja",'Mapa final'!$AK$61="Mayor"),CONCATENATE("R10C",'Mapa final'!$Y$61),"")</f>
        <v/>
      </c>
      <c r="AE55" s="56" t="str">
        <f>IF(AND('Mapa final'!$AI$62="Muy Baja",'Mapa final'!$AK$62="Mayor"),CONCATENATE("R10C",'Mapa final'!$Y$62),"")</f>
        <v/>
      </c>
      <c r="AF55" s="56" t="str">
        <f>IF(AND('Mapa final'!$AI$63="Muy Baja",'Mapa final'!$AK$63="Mayor"),CONCATENATE("R10C",'Mapa final'!$Y$63),"")</f>
        <v/>
      </c>
      <c r="AG55" s="57" t="str">
        <f>IF(AND('Mapa final'!$AI$64="Muy Baja",'Mapa final'!$AK$64="Mayor"),CONCATENATE("R10C",'Mapa final'!$Y$64),"")</f>
        <v/>
      </c>
      <c r="AH55" s="58" t="str">
        <f>IF(AND('Mapa final'!$AI$59="Muy Baja",'Mapa final'!$AK$59="Catastrófico"),CONCATENATE("R10C",'Mapa final'!$Y$59),"")</f>
        <v/>
      </c>
      <c r="AI55" s="59" t="str">
        <f>IF(AND('Mapa final'!$AI$60="Muy Baja",'Mapa final'!$AK$60="Catastrófico"),CONCATENATE("R10C",'Mapa final'!$Y$60),"")</f>
        <v/>
      </c>
      <c r="AJ55" s="59" t="str">
        <f>IF(AND('Mapa final'!$AI$61="Muy Baja",'Mapa final'!$AK$61="Catastrófico"),CONCATENATE("R10C",'Mapa final'!$Y$61),"")</f>
        <v/>
      </c>
      <c r="AK55" s="59" t="str">
        <f>IF(AND('Mapa final'!$AI$62="Muy Baja",'Mapa final'!$AK$62="Catastrófico"),CONCATENATE("R10C",'Mapa final'!$Y$62),"")</f>
        <v/>
      </c>
      <c r="AL55" s="59" t="str">
        <f>IF(AND('Mapa final'!$AI$63="Muy Baja",'Mapa final'!$AK$63="Catastrófico"),CONCATENATE("R10C",'Mapa final'!$Y$63),"")</f>
        <v/>
      </c>
      <c r="AM55" s="60" t="str">
        <f>IF(AND('Mapa final'!$AI$64="Muy Baja",'Mapa final'!$AK$64="Catastrófico"),CONCATENATE("R10C",'Mapa final'!$Y$64),"")</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501" t="s">
        <v>142</v>
      </c>
      <c r="K56" s="502"/>
      <c r="L56" s="502"/>
      <c r="M56" s="502"/>
      <c r="N56" s="502"/>
      <c r="O56" s="519"/>
      <c r="P56" s="501" t="s">
        <v>143</v>
      </c>
      <c r="Q56" s="502"/>
      <c r="R56" s="502"/>
      <c r="S56" s="502"/>
      <c r="T56" s="502"/>
      <c r="U56" s="519"/>
      <c r="V56" s="501" t="s">
        <v>144</v>
      </c>
      <c r="W56" s="502"/>
      <c r="X56" s="502"/>
      <c r="Y56" s="502"/>
      <c r="Z56" s="502"/>
      <c r="AA56" s="519"/>
      <c r="AB56" s="501" t="s">
        <v>145</v>
      </c>
      <c r="AC56" s="540"/>
      <c r="AD56" s="502"/>
      <c r="AE56" s="502"/>
      <c r="AF56" s="502"/>
      <c r="AG56" s="519"/>
      <c r="AH56" s="501" t="s">
        <v>146</v>
      </c>
      <c r="AI56" s="502"/>
      <c r="AJ56" s="502"/>
      <c r="AK56" s="502"/>
      <c r="AL56" s="502"/>
      <c r="AM56" s="519"/>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505"/>
      <c r="K57" s="504"/>
      <c r="L57" s="504"/>
      <c r="M57" s="504"/>
      <c r="N57" s="504"/>
      <c r="O57" s="520"/>
      <c r="P57" s="505"/>
      <c r="Q57" s="504"/>
      <c r="R57" s="504"/>
      <c r="S57" s="504"/>
      <c r="T57" s="504"/>
      <c r="U57" s="520"/>
      <c r="V57" s="505"/>
      <c r="W57" s="504"/>
      <c r="X57" s="504"/>
      <c r="Y57" s="504"/>
      <c r="Z57" s="504"/>
      <c r="AA57" s="520"/>
      <c r="AB57" s="505"/>
      <c r="AC57" s="504"/>
      <c r="AD57" s="504"/>
      <c r="AE57" s="504"/>
      <c r="AF57" s="504"/>
      <c r="AG57" s="520"/>
      <c r="AH57" s="505"/>
      <c r="AI57" s="504"/>
      <c r="AJ57" s="504"/>
      <c r="AK57" s="504"/>
      <c r="AL57" s="504"/>
      <c r="AM57" s="52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505"/>
      <c r="K58" s="504"/>
      <c r="L58" s="504"/>
      <c r="M58" s="504"/>
      <c r="N58" s="504"/>
      <c r="O58" s="520"/>
      <c r="P58" s="505"/>
      <c r="Q58" s="504"/>
      <c r="R58" s="504"/>
      <c r="S58" s="504"/>
      <c r="T58" s="504"/>
      <c r="U58" s="520"/>
      <c r="V58" s="505"/>
      <c r="W58" s="504"/>
      <c r="X58" s="504"/>
      <c r="Y58" s="504"/>
      <c r="Z58" s="504"/>
      <c r="AA58" s="520"/>
      <c r="AB58" s="505"/>
      <c r="AC58" s="504"/>
      <c r="AD58" s="504"/>
      <c r="AE58" s="504"/>
      <c r="AF58" s="504"/>
      <c r="AG58" s="520"/>
      <c r="AH58" s="505"/>
      <c r="AI58" s="504"/>
      <c r="AJ58" s="504"/>
      <c r="AK58" s="504"/>
      <c r="AL58" s="504"/>
      <c r="AM58" s="52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505"/>
      <c r="K59" s="504"/>
      <c r="L59" s="504"/>
      <c r="M59" s="504"/>
      <c r="N59" s="504"/>
      <c r="O59" s="520"/>
      <c r="P59" s="505"/>
      <c r="Q59" s="504"/>
      <c r="R59" s="504"/>
      <c r="S59" s="504"/>
      <c r="T59" s="504"/>
      <c r="U59" s="520"/>
      <c r="V59" s="505"/>
      <c r="W59" s="504"/>
      <c r="X59" s="504"/>
      <c r="Y59" s="504"/>
      <c r="Z59" s="504"/>
      <c r="AA59" s="520"/>
      <c r="AB59" s="505"/>
      <c r="AC59" s="504"/>
      <c r="AD59" s="504"/>
      <c r="AE59" s="504"/>
      <c r="AF59" s="504"/>
      <c r="AG59" s="520"/>
      <c r="AH59" s="505"/>
      <c r="AI59" s="504"/>
      <c r="AJ59" s="504"/>
      <c r="AK59" s="504"/>
      <c r="AL59" s="504"/>
      <c r="AM59" s="52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505"/>
      <c r="K60" s="504"/>
      <c r="L60" s="504"/>
      <c r="M60" s="504"/>
      <c r="N60" s="504"/>
      <c r="O60" s="520"/>
      <c r="P60" s="505"/>
      <c r="Q60" s="504"/>
      <c r="R60" s="504"/>
      <c r="S60" s="504"/>
      <c r="T60" s="504"/>
      <c r="U60" s="520"/>
      <c r="V60" s="505"/>
      <c r="W60" s="504"/>
      <c r="X60" s="504"/>
      <c r="Y60" s="504"/>
      <c r="Z60" s="504"/>
      <c r="AA60" s="520"/>
      <c r="AB60" s="505"/>
      <c r="AC60" s="504"/>
      <c r="AD60" s="504"/>
      <c r="AE60" s="504"/>
      <c r="AF60" s="504"/>
      <c r="AG60" s="520"/>
      <c r="AH60" s="505"/>
      <c r="AI60" s="504"/>
      <c r="AJ60" s="504"/>
      <c r="AK60" s="504"/>
      <c r="AL60" s="504"/>
      <c r="AM60" s="52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506"/>
      <c r="K61" s="507"/>
      <c r="L61" s="507"/>
      <c r="M61" s="507"/>
      <c r="N61" s="507"/>
      <c r="O61" s="521"/>
      <c r="P61" s="506"/>
      <c r="Q61" s="507"/>
      <c r="R61" s="507"/>
      <c r="S61" s="507"/>
      <c r="T61" s="507"/>
      <c r="U61" s="521"/>
      <c r="V61" s="506"/>
      <c r="W61" s="507"/>
      <c r="X61" s="507"/>
      <c r="Y61" s="507"/>
      <c r="Z61" s="507"/>
      <c r="AA61" s="521"/>
      <c r="AB61" s="506"/>
      <c r="AC61" s="507"/>
      <c r="AD61" s="507"/>
      <c r="AE61" s="507"/>
      <c r="AF61" s="507"/>
      <c r="AG61" s="521"/>
      <c r="AH61" s="506"/>
      <c r="AI61" s="507"/>
      <c r="AJ61" s="507"/>
      <c r="AK61" s="507"/>
      <c r="AL61" s="507"/>
      <c r="AM61" s="521"/>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541" t="s">
        <v>148</v>
      </c>
      <c r="C1" s="541"/>
      <c r="D1" s="541"/>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149</v>
      </c>
      <c r="D3" s="12" t="s">
        <v>132</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150</v>
      </c>
      <c r="C4" s="14" t="s">
        <v>151</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152</v>
      </c>
      <c r="C5" s="17" t="s">
        <v>153</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154</v>
      </c>
      <c r="C6" s="17" t="s">
        <v>155</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156</v>
      </c>
      <c r="C7" s="17" t="s">
        <v>157</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158</v>
      </c>
      <c r="C8" s="17" t="s">
        <v>159</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542" t="s">
        <v>160</v>
      </c>
      <c r="C1" s="542"/>
      <c r="D1" s="542"/>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161</v>
      </c>
      <c r="D3" s="33" t="s">
        <v>162</v>
      </c>
      <c r="E3" s="80"/>
      <c r="F3" s="80"/>
      <c r="G3" s="80"/>
      <c r="H3" s="80"/>
      <c r="I3" s="80"/>
      <c r="J3" s="80"/>
      <c r="K3" s="80"/>
      <c r="L3" s="80"/>
      <c r="M3" s="80"/>
      <c r="N3" s="80"/>
      <c r="O3" s="80"/>
      <c r="P3" s="80"/>
      <c r="Q3" s="80"/>
      <c r="R3" s="80"/>
      <c r="S3" s="80"/>
      <c r="T3" s="80"/>
      <c r="U3" s="80"/>
    </row>
    <row r="4" spans="1:21" ht="33.75" x14ac:dyDescent="0.25">
      <c r="A4" s="100" t="s">
        <v>163</v>
      </c>
      <c r="B4" s="36" t="s">
        <v>164</v>
      </c>
      <c r="C4" s="41" t="s">
        <v>165</v>
      </c>
      <c r="D4" s="34" t="s">
        <v>166</v>
      </c>
      <c r="E4" s="80"/>
      <c r="F4" s="80"/>
      <c r="G4" s="80"/>
      <c r="H4" s="80"/>
      <c r="I4" s="80"/>
      <c r="J4" s="80"/>
      <c r="K4" s="80"/>
      <c r="L4" s="80"/>
      <c r="M4" s="80"/>
      <c r="N4" s="80"/>
      <c r="O4" s="80"/>
      <c r="P4" s="80"/>
      <c r="Q4" s="80"/>
      <c r="R4" s="80"/>
      <c r="S4" s="80"/>
      <c r="T4" s="80"/>
      <c r="U4" s="80"/>
    </row>
    <row r="5" spans="1:21" ht="101.25" x14ac:dyDescent="0.25">
      <c r="A5" s="100" t="s">
        <v>167</v>
      </c>
      <c r="B5" s="37" t="s">
        <v>168</v>
      </c>
      <c r="C5" s="42" t="s">
        <v>169</v>
      </c>
      <c r="D5" s="35" t="s">
        <v>170</v>
      </c>
      <c r="E5" s="80"/>
      <c r="F5" s="80"/>
      <c r="G5" s="80"/>
      <c r="H5" s="80"/>
      <c r="I5" s="80"/>
      <c r="J5" s="80"/>
      <c r="K5" s="80"/>
      <c r="L5" s="80"/>
      <c r="M5" s="80"/>
      <c r="N5" s="80"/>
      <c r="O5" s="80"/>
      <c r="P5" s="80"/>
      <c r="Q5" s="80"/>
      <c r="R5" s="80"/>
      <c r="S5" s="80"/>
      <c r="T5" s="80"/>
      <c r="U5" s="80"/>
    </row>
    <row r="6" spans="1:21" ht="67.5" x14ac:dyDescent="0.25">
      <c r="A6" s="100" t="s">
        <v>138</v>
      </c>
      <c r="B6" s="38" t="s">
        <v>171</v>
      </c>
      <c r="C6" s="42" t="s">
        <v>172</v>
      </c>
      <c r="D6" s="35" t="s">
        <v>173</v>
      </c>
      <c r="E6" s="80"/>
      <c r="F6" s="80"/>
      <c r="G6" s="80"/>
      <c r="H6" s="80"/>
      <c r="I6" s="80"/>
      <c r="J6" s="80"/>
      <c r="K6" s="80"/>
      <c r="L6" s="80"/>
      <c r="M6" s="80"/>
      <c r="N6" s="80"/>
      <c r="O6" s="80"/>
      <c r="P6" s="80"/>
      <c r="Q6" s="80"/>
      <c r="R6" s="80"/>
      <c r="S6" s="80"/>
      <c r="T6" s="80"/>
      <c r="U6" s="80"/>
    </row>
    <row r="7" spans="1:21" ht="101.25" x14ac:dyDescent="0.25">
      <c r="A7" s="100" t="s">
        <v>174</v>
      </c>
      <c r="B7" s="39" t="s">
        <v>175</v>
      </c>
      <c r="C7" s="42" t="s">
        <v>176</v>
      </c>
      <c r="D7" s="35" t="s">
        <v>177</v>
      </c>
      <c r="E7" s="80"/>
      <c r="F7" s="80"/>
      <c r="G7" s="80"/>
      <c r="H7" s="80"/>
      <c r="I7" s="80"/>
      <c r="J7" s="80"/>
      <c r="K7" s="80"/>
      <c r="L7" s="80"/>
      <c r="M7" s="80"/>
      <c r="N7" s="80"/>
      <c r="O7" s="80"/>
      <c r="P7" s="80"/>
      <c r="Q7" s="80"/>
      <c r="R7" s="80"/>
      <c r="S7" s="80"/>
      <c r="T7" s="80"/>
      <c r="U7" s="80"/>
    </row>
    <row r="8" spans="1:21" ht="67.5" x14ac:dyDescent="0.25">
      <c r="A8" s="100" t="s">
        <v>178</v>
      </c>
      <c r="B8" s="40" t="s">
        <v>179</v>
      </c>
      <c r="C8" s="42" t="s">
        <v>180</v>
      </c>
      <c r="D8" s="35" t="s">
        <v>181</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182</v>
      </c>
      <c r="C11" s="100" t="s">
        <v>183</v>
      </c>
      <c r="D11" s="100" t="s">
        <v>184</v>
      </c>
      <c r="E11" s="80"/>
      <c r="F11" s="80"/>
      <c r="G11" s="80"/>
      <c r="H11" s="80"/>
      <c r="I11" s="80"/>
      <c r="J11" s="80"/>
      <c r="K11" s="80"/>
      <c r="L11" s="80"/>
      <c r="M11" s="80"/>
      <c r="N11" s="80"/>
      <c r="O11" s="80"/>
      <c r="P11" s="80"/>
      <c r="Q11" s="80"/>
      <c r="R11" s="80"/>
      <c r="S11" s="80"/>
      <c r="T11" s="80"/>
      <c r="U11" s="80"/>
    </row>
    <row r="12" spans="1:21" x14ac:dyDescent="0.25">
      <c r="A12" s="100"/>
      <c r="B12" s="100" t="s">
        <v>185</v>
      </c>
      <c r="C12" s="100" t="s">
        <v>186</v>
      </c>
      <c r="D12" s="100" t="s">
        <v>187</v>
      </c>
      <c r="E12" s="80"/>
      <c r="F12" s="80"/>
      <c r="G12" s="80"/>
      <c r="H12" s="80"/>
      <c r="I12" s="80"/>
      <c r="J12" s="80"/>
      <c r="K12" s="80"/>
      <c r="L12" s="80"/>
      <c r="M12" s="80"/>
      <c r="N12" s="80"/>
      <c r="O12" s="80"/>
      <c r="P12" s="80"/>
      <c r="Q12" s="80"/>
      <c r="R12" s="80"/>
      <c r="S12" s="80"/>
      <c r="T12" s="80"/>
      <c r="U12" s="80"/>
    </row>
    <row r="13" spans="1:21" x14ac:dyDescent="0.25">
      <c r="A13" s="100"/>
      <c r="B13" s="100"/>
      <c r="C13" s="100" t="s">
        <v>188</v>
      </c>
      <c r="D13" s="100" t="s">
        <v>189</v>
      </c>
      <c r="E13" s="80"/>
      <c r="F13" s="80"/>
      <c r="G13" s="80"/>
      <c r="H13" s="80"/>
      <c r="I13" s="80"/>
      <c r="J13" s="80"/>
      <c r="K13" s="80"/>
      <c r="L13" s="80"/>
      <c r="M13" s="80"/>
      <c r="N13" s="80"/>
      <c r="O13" s="80"/>
      <c r="P13" s="80"/>
      <c r="Q13" s="80"/>
      <c r="R13" s="80"/>
      <c r="S13" s="80"/>
      <c r="T13" s="80"/>
      <c r="U13" s="80"/>
    </row>
    <row r="14" spans="1:21" x14ac:dyDescent="0.25">
      <c r="A14" s="100"/>
      <c r="B14" s="100"/>
      <c r="C14" s="100" t="s">
        <v>190</v>
      </c>
      <c r="D14" s="100" t="s">
        <v>191</v>
      </c>
      <c r="E14" s="80"/>
      <c r="F14" s="80"/>
      <c r="G14" s="80"/>
      <c r="H14" s="80"/>
      <c r="I14" s="80"/>
      <c r="J14" s="80"/>
      <c r="K14" s="80"/>
      <c r="L14" s="80"/>
      <c r="M14" s="80"/>
      <c r="N14" s="80"/>
      <c r="O14" s="80"/>
      <c r="P14" s="80"/>
      <c r="Q14" s="80"/>
      <c r="R14" s="80"/>
      <c r="S14" s="80"/>
      <c r="T14" s="80"/>
      <c r="U14" s="80"/>
    </row>
    <row r="15" spans="1:21" x14ac:dyDescent="0.25">
      <c r="A15" s="100"/>
      <c r="B15" s="100"/>
      <c r="C15" s="100" t="s">
        <v>103</v>
      </c>
      <c r="D15" s="100" t="s">
        <v>192</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193</v>
      </c>
      <c r="C209" s="27" t="s">
        <v>194</v>
      </c>
      <c r="D209" s="30" t="s">
        <v>193</v>
      </c>
      <c r="E209" s="30" t="s">
        <v>194</v>
      </c>
    </row>
    <row r="210" spans="1:8" ht="21" x14ac:dyDescent="0.35">
      <c r="A210" s="80"/>
      <c r="B210" s="28" t="s">
        <v>195</v>
      </c>
      <c r="C210" s="28" t="s">
        <v>196</v>
      </c>
      <c r="D210" t="s">
        <v>195</v>
      </c>
      <c r="F210" t="str">
        <f>IF(NOT(ISBLANK(D210)),D210,IF(NOT(ISBLANK(E210)),"     "&amp;E210,FALSE))</f>
        <v>Afectación Económica o presupuestal</v>
      </c>
      <c r="G210" t="s">
        <v>195</v>
      </c>
      <c r="H210" t="str">
        <f>IF(NOT(ISERROR(MATCH(G210,_xlfn.ANCHORARRAY(B221),0))),F223&amp;"Por favor no seleccionar los criterios de impacto",G210)</f>
        <v>❌Por favor no seleccionar los criterios de impacto</v>
      </c>
    </row>
    <row r="211" spans="1:8" ht="21" x14ac:dyDescent="0.35">
      <c r="A211" s="80"/>
      <c r="B211" s="28" t="s">
        <v>195</v>
      </c>
      <c r="C211" s="28" t="s">
        <v>169</v>
      </c>
      <c r="E211" t="s">
        <v>196</v>
      </c>
      <c r="F211" t="str">
        <f t="shared" ref="F211:F221" si="0">IF(NOT(ISBLANK(D211)),D211,IF(NOT(ISBLANK(E211)),"     "&amp;E211,FALSE))</f>
        <v xml:space="preserve">     Afectación menor a 10 SMLMV .</v>
      </c>
    </row>
    <row r="212" spans="1:8" ht="21" x14ac:dyDescent="0.35">
      <c r="A212" s="80"/>
      <c r="B212" s="28" t="s">
        <v>195</v>
      </c>
      <c r="C212" s="28" t="s">
        <v>172</v>
      </c>
      <c r="E212" t="s">
        <v>169</v>
      </c>
      <c r="F212" t="str">
        <f t="shared" si="0"/>
        <v xml:space="preserve">     Entre 10 y 50 SMLMV </v>
      </c>
    </row>
    <row r="213" spans="1:8" ht="21" x14ac:dyDescent="0.35">
      <c r="A213" s="80"/>
      <c r="B213" s="28" t="s">
        <v>195</v>
      </c>
      <c r="C213" s="28" t="s">
        <v>176</v>
      </c>
      <c r="E213" t="s">
        <v>172</v>
      </c>
      <c r="F213" t="str">
        <f t="shared" si="0"/>
        <v xml:space="preserve">     Entre 50 y 100 SMLMV </v>
      </c>
    </row>
    <row r="214" spans="1:8" ht="21" x14ac:dyDescent="0.35">
      <c r="A214" s="80"/>
      <c r="B214" s="28" t="s">
        <v>195</v>
      </c>
      <c r="C214" s="28" t="s">
        <v>180</v>
      </c>
      <c r="E214" t="s">
        <v>176</v>
      </c>
      <c r="F214" t="str">
        <f t="shared" si="0"/>
        <v xml:space="preserve">     Entre 100 y 500 SMLMV </v>
      </c>
    </row>
    <row r="215" spans="1:8" ht="21" x14ac:dyDescent="0.35">
      <c r="A215" s="80"/>
      <c r="B215" s="28" t="s">
        <v>162</v>
      </c>
      <c r="C215" s="28" t="s">
        <v>166</v>
      </c>
      <c r="E215" t="s">
        <v>180</v>
      </c>
      <c r="F215" t="str">
        <f t="shared" si="0"/>
        <v xml:space="preserve">     Mayor a 500 SMLMV </v>
      </c>
    </row>
    <row r="216" spans="1:8" ht="21" x14ac:dyDescent="0.35">
      <c r="A216" s="80"/>
      <c r="B216" s="28" t="s">
        <v>162</v>
      </c>
      <c r="C216" s="28" t="s">
        <v>170</v>
      </c>
      <c r="D216" t="s">
        <v>162</v>
      </c>
      <c r="F216" t="str">
        <f t="shared" si="0"/>
        <v>Pérdida Reputacional</v>
      </c>
    </row>
    <row r="217" spans="1:8" ht="21" x14ac:dyDescent="0.35">
      <c r="A217" s="80"/>
      <c r="B217" s="28" t="s">
        <v>162</v>
      </c>
      <c r="C217" s="28" t="s">
        <v>173</v>
      </c>
      <c r="E217" t="s">
        <v>166</v>
      </c>
      <c r="F217" t="str">
        <f t="shared" si="0"/>
        <v xml:space="preserve">     El riesgo afecta la imagen de alguna área de la organización</v>
      </c>
    </row>
    <row r="218" spans="1:8" ht="21" x14ac:dyDescent="0.35">
      <c r="A218" s="80"/>
      <c r="B218" s="28" t="s">
        <v>162</v>
      </c>
      <c r="C218" s="28" t="s">
        <v>177</v>
      </c>
      <c r="E218" t="s">
        <v>170</v>
      </c>
      <c r="F218" t="str">
        <f t="shared" si="0"/>
        <v xml:space="preserve">     El riesgo afecta la imagen de la entidad internamente, de conocimiento general, nivel interno, de junta dircetiva y accionistas y/o de provedores</v>
      </c>
    </row>
    <row r="219" spans="1:8" ht="21" x14ac:dyDescent="0.35">
      <c r="A219" s="80"/>
      <c r="B219" s="28" t="s">
        <v>162</v>
      </c>
      <c r="C219" s="28" t="s">
        <v>181</v>
      </c>
      <c r="E219" t="s">
        <v>173</v>
      </c>
      <c r="F219" t="str">
        <f t="shared" si="0"/>
        <v xml:space="preserve">     El riesgo afecta la imagen de la entidad con algunos usuarios de relevancia frente al logro de los objetivos</v>
      </c>
    </row>
    <row r="220" spans="1:8" x14ac:dyDescent="0.25">
      <c r="A220" s="80"/>
      <c r="B220" s="29"/>
      <c r="C220" s="29"/>
      <c r="E220" t="s">
        <v>177</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181</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197</v>
      </c>
    </row>
    <row r="224" spans="1:8" x14ac:dyDescent="0.25">
      <c r="B224" s="22"/>
      <c r="C224" s="22"/>
      <c r="F224" s="32" t="s">
        <v>198</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topLeftCell="A4" workbookViewId="0">
      <selection activeCell="F10" sqref="F10"/>
    </sheetView>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543" t="s">
        <v>199</v>
      </c>
      <c r="C1" s="544"/>
      <c r="D1" s="544"/>
      <c r="E1" s="544"/>
      <c r="F1" s="545"/>
    </row>
    <row r="2" spans="2:6" ht="16.5" thickBot="1" x14ac:dyDescent="0.3">
      <c r="B2" s="86"/>
      <c r="C2" s="86"/>
      <c r="D2" s="86"/>
      <c r="E2" s="86"/>
      <c r="F2" s="86"/>
    </row>
    <row r="3" spans="2:6" ht="16.5" thickBot="1" x14ac:dyDescent="0.25">
      <c r="B3" s="547" t="s">
        <v>200</v>
      </c>
      <c r="C3" s="548"/>
      <c r="D3" s="548"/>
      <c r="E3" s="98" t="s">
        <v>201</v>
      </c>
      <c r="F3" s="99" t="s">
        <v>202</v>
      </c>
    </row>
    <row r="4" spans="2:6" ht="31.5" x14ac:dyDescent="0.2">
      <c r="B4" s="549" t="s">
        <v>203</v>
      </c>
      <c r="C4" s="551" t="s">
        <v>93</v>
      </c>
      <c r="D4" s="87" t="s">
        <v>119</v>
      </c>
      <c r="E4" s="88" t="s">
        <v>204</v>
      </c>
      <c r="F4" s="89">
        <v>0.25</v>
      </c>
    </row>
    <row r="5" spans="2:6" ht="47.25" x14ac:dyDescent="0.2">
      <c r="B5" s="550"/>
      <c r="C5" s="552"/>
      <c r="D5" s="90" t="s">
        <v>114</v>
      </c>
      <c r="E5" s="91" t="s">
        <v>205</v>
      </c>
      <c r="F5" s="92">
        <v>0.15</v>
      </c>
    </row>
    <row r="6" spans="2:6" ht="47.25" x14ac:dyDescent="0.2">
      <c r="B6" s="550"/>
      <c r="C6" s="552"/>
      <c r="D6" s="90" t="s">
        <v>104</v>
      </c>
      <c r="E6" s="91" t="s">
        <v>206</v>
      </c>
      <c r="F6" s="92">
        <v>0.1</v>
      </c>
    </row>
    <row r="7" spans="2:6" ht="63" x14ac:dyDescent="0.2">
      <c r="B7" s="550"/>
      <c r="C7" s="552" t="s">
        <v>94</v>
      </c>
      <c r="D7" s="90" t="s">
        <v>207</v>
      </c>
      <c r="E7" s="91" t="s">
        <v>208</v>
      </c>
      <c r="F7" s="92">
        <v>0.25</v>
      </c>
    </row>
    <row r="8" spans="2:6" ht="31.5" x14ac:dyDescent="0.2">
      <c r="B8" s="550"/>
      <c r="C8" s="552"/>
      <c r="D8" s="90" t="s">
        <v>105</v>
      </c>
      <c r="E8" s="91" t="s">
        <v>209</v>
      </c>
      <c r="F8" s="92">
        <v>0.15</v>
      </c>
    </row>
    <row r="9" spans="2:6" ht="47.25" x14ac:dyDescent="0.2">
      <c r="B9" s="550" t="s">
        <v>210</v>
      </c>
      <c r="C9" s="552" t="s">
        <v>96</v>
      </c>
      <c r="D9" s="90" t="s">
        <v>106</v>
      </c>
      <c r="E9" s="91" t="s">
        <v>211</v>
      </c>
      <c r="F9" s="93" t="s">
        <v>212</v>
      </c>
    </row>
    <row r="10" spans="2:6" ht="63" x14ac:dyDescent="0.2">
      <c r="B10" s="550"/>
      <c r="C10" s="552"/>
      <c r="D10" s="90" t="s">
        <v>213</v>
      </c>
      <c r="E10" s="91" t="s">
        <v>214</v>
      </c>
      <c r="F10" s="93" t="s">
        <v>212</v>
      </c>
    </row>
    <row r="11" spans="2:6" ht="47.25" x14ac:dyDescent="0.2">
      <c r="B11" s="550"/>
      <c r="C11" s="552" t="s">
        <v>97</v>
      </c>
      <c r="D11" s="90" t="s">
        <v>107</v>
      </c>
      <c r="E11" s="91" t="s">
        <v>215</v>
      </c>
      <c r="F11" s="93" t="s">
        <v>212</v>
      </c>
    </row>
    <row r="12" spans="2:6" ht="47.25" x14ac:dyDescent="0.2">
      <c r="B12" s="550"/>
      <c r="C12" s="552"/>
      <c r="D12" s="90" t="s">
        <v>216</v>
      </c>
      <c r="E12" s="91" t="s">
        <v>217</v>
      </c>
      <c r="F12" s="93" t="s">
        <v>212</v>
      </c>
    </row>
    <row r="13" spans="2:6" ht="31.5" x14ac:dyDescent="0.2">
      <c r="B13" s="550"/>
      <c r="C13" s="552" t="s">
        <v>98</v>
      </c>
      <c r="D13" s="90" t="s">
        <v>108</v>
      </c>
      <c r="E13" s="91" t="s">
        <v>218</v>
      </c>
      <c r="F13" s="93" t="s">
        <v>212</v>
      </c>
    </row>
    <row r="14" spans="2:6" ht="32.25" thickBot="1" x14ac:dyDescent="0.25">
      <c r="B14" s="553"/>
      <c r="C14" s="554"/>
      <c r="D14" s="94" t="s">
        <v>219</v>
      </c>
      <c r="E14" s="95" t="s">
        <v>220</v>
      </c>
      <c r="F14" s="96" t="s">
        <v>212</v>
      </c>
    </row>
    <row r="15" spans="2:6" ht="49.5" customHeight="1" x14ac:dyDescent="0.2">
      <c r="B15" s="546" t="s">
        <v>221</v>
      </c>
      <c r="C15" s="546"/>
      <c r="D15" s="546"/>
      <c r="E15" s="546"/>
      <c r="F15" s="546"/>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208" customWidth="1"/>
    <col min="2" max="2" width="19.7109375" style="208" customWidth="1"/>
    <col min="3" max="3" width="50" style="208" customWidth="1"/>
    <col min="4" max="4" width="16.42578125" style="208" customWidth="1"/>
    <col min="5" max="5" width="2.42578125" style="183" customWidth="1"/>
    <col min="6" max="16384" width="10.85546875" style="183"/>
  </cols>
  <sheetData>
    <row r="1" spans="1:5" ht="16.5" thickBot="1" x14ac:dyDescent="0.3">
      <c r="A1" s="180"/>
      <c r="B1" s="181"/>
      <c r="C1" s="181"/>
      <c r="D1" s="181"/>
      <c r="E1" s="182"/>
    </row>
    <row r="2" spans="1:5" ht="24" customHeight="1" thickBot="1" x14ac:dyDescent="0.3">
      <c r="A2" s="184"/>
      <c r="B2" s="561" t="s">
        <v>258</v>
      </c>
      <c r="C2" s="562"/>
      <c r="D2" s="563"/>
      <c r="E2" s="185"/>
    </row>
    <row r="3" spans="1:5" ht="96.75" customHeight="1" thickBot="1" x14ac:dyDescent="0.3">
      <c r="A3" s="186"/>
      <c r="B3" s="564" t="s">
        <v>283</v>
      </c>
      <c r="C3" s="564"/>
      <c r="D3" s="564"/>
      <c r="E3" s="185"/>
    </row>
    <row r="4" spans="1:5" ht="24.75" customHeight="1" thickBot="1" x14ac:dyDescent="0.3">
      <c r="A4" s="186"/>
      <c r="B4" s="565" t="s">
        <v>259</v>
      </c>
      <c r="C4" s="566"/>
      <c r="D4" s="567"/>
      <c r="E4" s="185"/>
    </row>
    <row r="5" spans="1:5" ht="46.5" customHeight="1" x14ac:dyDescent="0.25">
      <c r="A5" s="186"/>
      <c r="B5" s="568" t="s">
        <v>284</v>
      </c>
      <c r="C5" s="568"/>
      <c r="D5" s="568"/>
      <c r="E5" s="185"/>
    </row>
    <row r="6" spans="1:5" ht="24" customHeight="1" x14ac:dyDescent="0.25">
      <c r="A6" s="186"/>
      <c r="B6" s="187"/>
      <c r="C6" s="188"/>
      <c r="D6" s="189"/>
      <c r="E6" s="185"/>
    </row>
    <row r="7" spans="1:5" ht="24" customHeight="1" x14ac:dyDescent="0.25">
      <c r="A7" s="186"/>
      <c r="B7" s="569" t="s">
        <v>260</v>
      </c>
      <c r="C7" s="569"/>
      <c r="D7" s="569"/>
      <c r="E7" s="185"/>
    </row>
    <row r="8" spans="1:5" ht="63.75" customHeight="1" x14ac:dyDescent="0.25">
      <c r="A8" s="186"/>
      <c r="B8" s="190" t="s">
        <v>261</v>
      </c>
      <c r="C8" s="191" t="s">
        <v>262</v>
      </c>
      <c r="D8" s="191" t="s">
        <v>263</v>
      </c>
      <c r="E8" s="185"/>
    </row>
    <row r="9" spans="1:5" ht="90" customHeight="1" x14ac:dyDescent="0.25">
      <c r="A9" s="186"/>
      <c r="B9" s="192" t="s">
        <v>264</v>
      </c>
      <c r="C9" s="193" t="s">
        <v>285</v>
      </c>
      <c r="D9" s="194" t="s">
        <v>265</v>
      </c>
      <c r="E9" s="185"/>
    </row>
    <row r="10" spans="1:5" ht="75" customHeight="1" x14ac:dyDescent="0.25">
      <c r="A10" s="186"/>
      <c r="B10" s="195" t="s">
        <v>266</v>
      </c>
      <c r="C10" s="196" t="s">
        <v>286</v>
      </c>
      <c r="D10" s="196" t="s">
        <v>267</v>
      </c>
      <c r="E10" s="185"/>
    </row>
    <row r="11" spans="1:5" ht="63.75" customHeight="1" x14ac:dyDescent="0.25">
      <c r="A11" s="186"/>
      <c r="B11" s="197" t="s">
        <v>140</v>
      </c>
      <c r="C11" s="198" t="s">
        <v>287</v>
      </c>
      <c r="D11" s="198" t="s">
        <v>268</v>
      </c>
      <c r="E11" s="185"/>
    </row>
    <row r="12" spans="1:5" ht="29.25" customHeight="1" x14ac:dyDescent="0.25">
      <c r="A12" s="186"/>
      <c r="B12" s="199"/>
      <c r="C12" s="199"/>
      <c r="D12" s="199"/>
      <c r="E12" s="185"/>
    </row>
    <row r="13" spans="1:5" ht="29.25" customHeight="1" x14ac:dyDescent="0.25">
      <c r="A13" s="186"/>
      <c r="B13" s="570" t="s">
        <v>269</v>
      </c>
      <c r="C13" s="571"/>
      <c r="D13" s="571"/>
      <c r="E13" s="185"/>
    </row>
    <row r="14" spans="1:5" ht="32.25" customHeight="1" x14ac:dyDescent="0.25">
      <c r="A14" s="186"/>
      <c r="B14" s="200" t="s">
        <v>270</v>
      </c>
      <c r="C14" s="201" t="s">
        <v>201</v>
      </c>
      <c r="D14" s="201" t="s">
        <v>271</v>
      </c>
      <c r="E14" s="185"/>
    </row>
    <row r="15" spans="1:5" ht="56.25" customHeight="1" x14ac:dyDescent="0.25">
      <c r="A15" s="186"/>
      <c r="B15" s="202" t="s">
        <v>272</v>
      </c>
      <c r="C15" s="203" t="s">
        <v>273</v>
      </c>
      <c r="D15" s="202" t="s">
        <v>274</v>
      </c>
      <c r="E15" s="185"/>
    </row>
    <row r="16" spans="1:5" ht="48" customHeight="1" x14ac:dyDescent="0.25">
      <c r="A16" s="186"/>
      <c r="B16" s="204" t="s">
        <v>275</v>
      </c>
      <c r="C16" s="205" t="s">
        <v>276</v>
      </c>
      <c r="D16" s="204" t="s">
        <v>277</v>
      </c>
      <c r="E16" s="185"/>
    </row>
    <row r="17" spans="1:5" ht="49.5" customHeight="1" x14ac:dyDescent="0.25">
      <c r="A17" s="186"/>
      <c r="B17" s="206" t="s">
        <v>278</v>
      </c>
      <c r="C17" s="207" t="s">
        <v>279</v>
      </c>
      <c r="D17" s="206" t="s">
        <v>280</v>
      </c>
      <c r="E17" s="185"/>
    </row>
    <row r="18" spans="1:5" x14ac:dyDescent="0.25">
      <c r="A18" s="186"/>
      <c r="B18" s="199"/>
      <c r="C18" s="199"/>
      <c r="D18" s="199"/>
      <c r="E18" s="185"/>
    </row>
    <row r="19" spans="1:5" ht="16.5" thickBot="1" x14ac:dyDescent="0.3">
      <c r="A19" s="186"/>
      <c r="B19" s="199"/>
      <c r="D19" s="199"/>
      <c r="E19" s="185"/>
    </row>
    <row r="20" spans="1:5" ht="16.5" thickBot="1" x14ac:dyDescent="0.3">
      <c r="A20" s="186"/>
      <c r="B20" s="555" t="s">
        <v>281</v>
      </c>
      <c r="C20" s="556"/>
      <c r="D20" s="557"/>
      <c r="E20" s="185"/>
    </row>
    <row r="21" spans="1:5" ht="62.25" customHeight="1" x14ac:dyDescent="0.25">
      <c r="A21" s="186"/>
      <c r="B21" s="558" t="s">
        <v>282</v>
      </c>
      <c r="C21" s="559"/>
      <c r="D21" s="560"/>
      <c r="E21" s="185"/>
    </row>
    <row r="22" spans="1:5" ht="16.5" thickBot="1" x14ac:dyDescent="0.3">
      <c r="A22" s="209"/>
      <c r="B22" s="210"/>
      <c r="C22" s="210"/>
      <c r="D22" s="210"/>
      <c r="E22" s="211"/>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222</v>
      </c>
      <c r="E2" t="s">
        <v>120</v>
      </c>
    </row>
    <row r="3" spans="2:5" x14ac:dyDescent="0.25">
      <c r="B3" t="s">
        <v>109</v>
      </c>
      <c r="E3" t="s">
        <v>223</v>
      </c>
    </row>
    <row r="4" spans="2:5" x14ac:dyDescent="0.25">
      <c r="B4" t="s">
        <v>224</v>
      </c>
      <c r="E4" t="s">
        <v>100</v>
      </c>
    </row>
    <row r="5" spans="2:5" x14ac:dyDescent="0.25">
      <c r="B5" t="s">
        <v>115</v>
      </c>
    </row>
    <row r="8" spans="2:5" x14ac:dyDescent="0.25">
      <c r="B8" t="s">
        <v>225</v>
      </c>
    </row>
    <row r="9" spans="2:5" x14ac:dyDescent="0.25">
      <c r="B9" t="s">
        <v>226</v>
      </c>
    </row>
    <row r="10" spans="2:5" x14ac:dyDescent="0.25">
      <c r="B10" t="s">
        <v>227</v>
      </c>
    </row>
    <row r="13" spans="2:5" x14ac:dyDescent="0.25">
      <c r="B13" t="s">
        <v>228</v>
      </c>
    </row>
    <row r="14" spans="2:5" x14ac:dyDescent="0.25">
      <c r="B14" t="s">
        <v>102</v>
      </c>
    </row>
    <row r="15" spans="2:5" x14ac:dyDescent="0.25">
      <c r="B15" t="s">
        <v>229</v>
      </c>
    </row>
    <row r="16" spans="2:5" x14ac:dyDescent="0.25">
      <c r="B16" t="s">
        <v>230</v>
      </c>
    </row>
    <row r="17" spans="2:2" x14ac:dyDescent="0.25">
      <c r="B17" t="s">
        <v>231</v>
      </c>
    </row>
    <row r="18" spans="2:2" x14ac:dyDescent="0.25">
      <c r="B18" t="s">
        <v>232</v>
      </c>
    </row>
    <row r="19" spans="2:2" x14ac:dyDescent="0.25">
      <c r="B19" t="s">
        <v>233</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119</v>
      </c>
    </row>
    <row r="4" spans="1:1" x14ac:dyDescent="0.2">
      <c r="A4" s="10" t="s">
        <v>114</v>
      </c>
    </row>
    <row r="5" spans="1:1" x14ac:dyDescent="0.2">
      <c r="A5" s="10" t="s">
        <v>104</v>
      </c>
    </row>
    <row r="6" spans="1:1" x14ac:dyDescent="0.2">
      <c r="A6" s="10" t="s">
        <v>207</v>
      </c>
    </row>
    <row r="7" spans="1:1" x14ac:dyDescent="0.2">
      <c r="A7" s="10" t="s">
        <v>105</v>
      </c>
    </row>
    <row r="8" spans="1:1" x14ac:dyDescent="0.2">
      <c r="A8" s="10" t="s">
        <v>106</v>
      </c>
    </row>
    <row r="9" spans="1:1" x14ac:dyDescent="0.2">
      <c r="A9" s="10" t="s">
        <v>213</v>
      </c>
    </row>
    <row r="10" spans="1:1" x14ac:dyDescent="0.2">
      <c r="A10" s="10" t="s">
        <v>107</v>
      </c>
    </row>
    <row r="11" spans="1:1" x14ac:dyDescent="0.2">
      <c r="A11" s="10" t="s">
        <v>216</v>
      </c>
    </row>
    <row r="12" spans="1:1" x14ac:dyDescent="0.2">
      <c r="A12" s="10" t="s">
        <v>234</v>
      </c>
    </row>
    <row r="13" spans="1:1" x14ac:dyDescent="0.2">
      <c r="A13" s="10" t="s">
        <v>235</v>
      </c>
    </row>
    <row r="14" spans="1:1" x14ac:dyDescent="0.2">
      <c r="A14" s="10" t="s">
        <v>236</v>
      </c>
    </row>
    <row r="16" spans="1:1" x14ac:dyDescent="0.2">
      <c r="A16" s="10" t="s">
        <v>237</v>
      </c>
    </row>
    <row r="17" spans="1:1" x14ac:dyDescent="0.2">
      <c r="A17" s="10" t="s">
        <v>222</v>
      </c>
    </row>
    <row r="18" spans="1:1" x14ac:dyDescent="0.2">
      <c r="A18" s="10" t="s">
        <v>109</v>
      </c>
    </row>
    <row r="20" spans="1:1" x14ac:dyDescent="0.2">
      <c r="A20" s="10" t="s">
        <v>226</v>
      </c>
    </row>
    <row r="21" spans="1:1" x14ac:dyDescent="0.2">
      <c r="A21" s="10"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2026-04-13T17:29:57Z</dcterms:modified>
  <cp:category/>
  <cp:contentStatus/>
</cp:coreProperties>
</file>