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FEA34342-94DA-4184-935F-28B02DFEEAF7}" xr6:coauthVersionLast="47" xr6:coauthVersionMax="47" xr10:uidLastSave="{00000000-0000-0000-0000-000000000000}"/>
  <bookViews>
    <workbookView xWindow="-120" yWindow="-120" windowWidth="29040" windowHeight="15720" tabRatio="882" firstSheet="1"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2" r:id="rId8"/>
    <sheet name="Opciones Tratamiento" sheetId="16" state="hidden" r:id="rId9"/>
    <sheet name="Hoja1" sheetId="11" state="hidden" r:id="rId10"/>
  </sheets>
  <calcPr calcId="191028"/>
  <pivotCaches>
    <pivotCache cacheId="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5" i="1" l="1"/>
  <c r="W15" i="1" s="1"/>
  <c r="X15" i="1" s="1"/>
  <c r="T15" i="1"/>
  <c r="T12" i="1" l="1"/>
  <c r="T13" i="1"/>
  <c r="V12" i="1"/>
  <c r="W12" i="1" s="1"/>
  <c r="X12" i="1" s="1"/>
  <c r="V13" i="1"/>
  <c r="W13" i="1" s="1"/>
  <c r="X13" i="1" s="1"/>
  <c r="T14" i="1"/>
  <c r="V14" i="1"/>
  <c r="W14" i="1" s="1"/>
  <c r="X14" i="1" s="1"/>
  <c r="T16" i="1"/>
  <c r="V16" i="1"/>
  <c r="W16" i="1" s="1"/>
  <c r="X16" i="1" s="1"/>
  <c r="T17" i="1"/>
  <c r="V17" i="1"/>
  <c r="W17" i="1" s="1"/>
  <c r="X17" i="1" s="1"/>
  <c r="T18" i="1"/>
  <c r="V18" i="1"/>
  <c r="W18" i="1" s="1"/>
  <c r="X18" i="1" s="1"/>
  <c r="T19" i="1"/>
  <c r="V19" i="1"/>
  <c r="W19" i="1" s="1"/>
  <c r="X19" i="1" s="1"/>
  <c r="T20" i="1"/>
  <c r="V20" i="1"/>
  <c r="W20" i="1" s="1"/>
  <c r="X20" i="1" s="1"/>
  <c r="T21" i="1"/>
  <c r="V21" i="1"/>
  <c r="W21" i="1" s="1"/>
  <c r="X21" i="1" s="1"/>
  <c r="T22" i="1"/>
  <c r="V22" i="1"/>
  <c r="W22" i="1" s="1"/>
  <c r="X22" i="1" s="1"/>
  <c r="T23" i="1"/>
  <c r="V23" i="1"/>
  <c r="W23" i="1" s="1"/>
  <c r="X23" i="1" s="1"/>
  <c r="T24" i="1"/>
  <c r="V24" i="1"/>
  <c r="W24" i="1" s="1"/>
  <c r="X24" i="1" s="1"/>
  <c r="T25" i="1"/>
  <c r="V25" i="1"/>
  <c r="W25" i="1" s="1"/>
  <c r="X25" i="1" s="1"/>
  <c r="T26" i="1"/>
  <c r="V26" i="1"/>
  <c r="W26" i="1" s="1"/>
  <c r="X26" i="1" s="1"/>
  <c r="T27" i="1"/>
  <c r="V27" i="1"/>
  <c r="W27" i="1" s="1"/>
  <c r="X27" i="1" s="1"/>
  <c r="T28" i="1"/>
  <c r="V28" i="1"/>
  <c r="W28" i="1" s="1"/>
  <c r="X28" i="1" s="1"/>
  <c r="T29" i="1"/>
  <c r="V29" i="1"/>
  <c r="W29" i="1" s="1"/>
  <c r="X29" i="1" s="1"/>
  <c r="T30" i="1"/>
  <c r="V30" i="1"/>
  <c r="W30" i="1" s="1"/>
  <c r="X30" i="1" s="1"/>
  <c r="T31" i="1"/>
  <c r="V31" i="1"/>
  <c r="W31" i="1" s="1"/>
  <c r="X31" i="1" s="1"/>
  <c r="T32" i="1"/>
  <c r="V32" i="1"/>
  <c r="W32" i="1" s="1"/>
  <c r="X32" i="1" s="1"/>
  <c r="T33" i="1"/>
  <c r="V33" i="1"/>
  <c r="W33" i="1" s="1"/>
  <c r="X33" i="1" s="1"/>
  <c r="T34" i="1"/>
  <c r="V34" i="1"/>
  <c r="W34" i="1" s="1"/>
  <c r="X34" i="1" s="1"/>
  <c r="T35" i="1"/>
  <c r="V35" i="1"/>
  <c r="W35" i="1" s="1"/>
  <c r="X35" i="1" s="1"/>
  <c r="T36" i="1"/>
  <c r="V36" i="1"/>
  <c r="W36" i="1" s="1"/>
  <c r="X36" i="1" s="1"/>
  <c r="T37" i="1"/>
  <c r="V37" i="1"/>
  <c r="W37" i="1" s="1"/>
  <c r="X37" i="1" s="1"/>
  <c r="T38" i="1"/>
  <c r="V38" i="1"/>
  <c r="W38" i="1" s="1"/>
  <c r="X38" i="1" s="1"/>
  <c r="T39" i="1"/>
  <c r="V39" i="1"/>
  <c r="W39" i="1" s="1"/>
  <c r="X39" i="1" s="1"/>
  <c r="T40" i="1"/>
  <c r="V40" i="1"/>
  <c r="W40" i="1" s="1"/>
  <c r="X40" i="1" s="1"/>
  <c r="T41" i="1"/>
  <c r="V41" i="1"/>
  <c r="W41" i="1" s="1"/>
  <c r="X41" i="1" s="1"/>
  <c r="T42" i="1"/>
  <c r="V42" i="1"/>
  <c r="W42" i="1" s="1"/>
  <c r="X42" i="1" s="1"/>
  <c r="T43" i="1"/>
  <c r="V43" i="1"/>
  <c r="W43" i="1" s="1"/>
  <c r="X43" i="1" s="1"/>
  <c r="T44" i="1"/>
  <c r="V44" i="1"/>
  <c r="W44" i="1" s="1"/>
  <c r="X44" i="1" s="1"/>
  <c r="T45" i="1"/>
  <c r="V45" i="1"/>
  <c r="W45" i="1" s="1"/>
  <c r="X45" i="1" s="1"/>
  <c r="T46" i="1"/>
  <c r="V46" i="1"/>
  <c r="W46" i="1" s="1"/>
  <c r="X46" i="1" s="1"/>
  <c r="T47" i="1"/>
  <c r="V47" i="1"/>
  <c r="W47" i="1" s="1"/>
  <c r="X47" i="1" s="1"/>
  <c r="T48" i="1"/>
  <c r="V48" i="1"/>
  <c r="W48" i="1" s="1"/>
  <c r="X48" i="1" s="1"/>
  <c r="T49" i="1"/>
  <c r="V49" i="1"/>
  <c r="W49" i="1" s="1"/>
  <c r="X49" i="1" s="1"/>
  <c r="T50" i="1"/>
  <c r="V50" i="1"/>
  <c r="W50" i="1" s="1"/>
  <c r="X50" i="1" s="1"/>
  <c r="T51" i="1"/>
  <c r="V51" i="1"/>
  <c r="W51" i="1" s="1"/>
  <c r="X51" i="1"/>
  <c r="T52" i="1"/>
  <c r="V52" i="1"/>
  <c r="W52" i="1" s="1"/>
  <c r="X52" i="1" s="1"/>
  <c r="T53" i="1"/>
  <c r="V53" i="1"/>
  <c r="W53" i="1" s="1"/>
  <c r="X53" i="1"/>
  <c r="T54" i="1"/>
  <c r="V54" i="1"/>
  <c r="W54" i="1" s="1"/>
  <c r="X54" i="1" s="1"/>
  <c r="T55" i="1"/>
  <c r="V55" i="1"/>
  <c r="W55" i="1" s="1"/>
  <c r="X55" i="1"/>
  <c r="T56" i="1"/>
  <c r="V56" i="1"/>
  <c r="W56" i="1" s="1"/>
  <c r="X56" i="1" s="1"/>
  <c r="T57" i="1"/>
  <c r="V57" i="1"/>
  <c r="W57" i="1" s="1"/>
  <c r="X57" i="1" s="1"/>
  <c r="T58" i="1"/>
  <c r="V58" i="1"/>
  <c r="W58" i="1" s="1"/>
  <c r="X58" i="1" s="1"/>
  <c r="AP12" i="1"/>
  <c r="AR12" i="1"/>
  <c r="AS12" i="1"/>
  <c r="AT12" i="1" s="1"/>
  <c r="AP13" i="1"/>
  <c r="AR13" i="1"/>
  <c r="AS13" i="1" s="1"/>
  <c r="AT13" i="1" s="1"/>
  <c r="AP14" i="1"/>
  <c r="AR14" i="1"/>
  <c r="AS14" i="1"/>
  <c r="AT14" i="1" s="1"/>
  <c r="AP15" i="1"/>
  <c r="AR15" i="1"/>
  <c r="AS15" i="1"/>
  <c r="AT15" i="1" s="1"/>
  <c r="AP16" i="1"/>
  <c r="AR16" i="1"/>
  <c r="AS16" i="1"/>
  <c r="AT16" i="1" s="1"/>
  <c r="AP17" i="1"/>
  <c r="AR17" i="1"/>
  <c r="AS17" i="1"/>
  <c r="AT17" i="1" s="1"/>
  <c r="AP18" i="1"/>
  <c r="AR18" i="1"/>
  <c r="AS18" i="1"/>
  <c r="AT18" i="1" s="1"/>
  <c r="AP19" i="1"/>
  <c r="AR19" i="1"/>
  <c r="AS19" i="1"/>
  <c r="AT19" i="1" s="1"/>
  <c r="AP20" i="1"/>
  <c r="AR20" i="1"/>
  <c r="AS20" i="1"/>
  <c r="AT20" i="1" s="1"/>
  <c r="AP21" i="1"/>
  <c r="AR21" i="1"/>
  <c r="AS21" i="1" s="1"/>
  <c r="AT21" i="1" s="1"/>
  <c r="AP22" i="1"/>
  <c r="AR22" i="1"/>
  <c r="AS22" i="1"/>
  <c r="AT22" i="1" s="1"/>
  <c r="AP23" i="1"/>
  <c r="AR23" i="1"/>
  <c r="AS23" i="1"/>
  <c r="AT23" i="1" s="1"/>
  <c r="AP24" i="1"/>
  <c r="AR24" i="1"/>
  <c r="AS24" i="1"/>
  <c r="AT24" i="1" s="1"/>
  <c r="AP25" i="1"/>
  <c r="AR25" i="1"/>
  <c r="AS25" i="1"/>
  <c r="AT25" i="1" s="1"/>
  <c r="AP26" i="1"/>
  <c r="AR26" i="1"/>
  <c r="AS26" i="1"/>
  <c r="AT26" i="1" s="1"/>
  <c r="AP27" i="1"/>
  <c r="AR27" i="1"/>
  <c r="AS27" i="1"/>
  <c r="AT27" i="1" s="1"/>
  <c r="AP28" i="1"/>
  <c r="AR28" i="1"/>
  <c r="AS28" i="1"/>
  <c r="AT28" i="1" s="1"/>
  <c r="AP29" i="1"/>
  <c r="AR29" i="1"/>
  <c r="AS29" i="1" s="1"/>
  <c r="AT29" i="1" s="1"/>
  <c r="AP30" i="1"/>
  <c r="AR30" i="1"/>
  <c r="AS30" i="1"/>
  <c r="AT30" i="1" s="1"/>
  <c r="AP11" i="1"/>
  <c r="AR11" i="1"/>
  <c r="AS11" i="1" s="1"/>
  <c r="AT11" i="1" s="1"/>
  <c r="V11" i="1"/>
  <c r="W11" i="1" s="1"/>
  <c r="X11" i="1" s="1"/>
  <c r="T11" i="1"/>
  <c r="AA11" i="1" l="1"/>
  <c r="AD11" i="1"/>
  <c r="L11" i="1"/>
  <c r="M11" i="1" s="1"/>
  <c r="AH11" i="1" s="1"/>
  <c r="F221" i="13"/>
  <c r="F211" i="13"/>
  <c r="F212" i="13"/>
  <c r="F213" i="13"/>
  <c r="F214" i="13"/>
  <c r="F215" i="13"/>
  <c r="F216" i="13"/>
  <c r="F217" i="13"/>
  <c r="F218" i="13"/>
  <c r="F219" i="13"/>
  <c r="F220" i="13"/>
  <c r="F210" i="13"/>
  <c r="AA41" i="1"/>
  <c r="AH41" i="1" s="1"/>
  <c r="AA36" i="1"/>
  <c r="AA30" i="1"/>
  <c r="AL44" i="18"/>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AD58" i="1"/>
  <c r="AA58" i="1"/>
  <c r="AD57" i="1"/>
  <c r="AA57" i="1"/>
  <c r="AH58" i="1" s="1"/>
  <c r="AJ58" i="1" s="1"/>
  <c r="AD56" i="1"/>
  <c r="AA56" i="1"/>
  <c r="AD55" i="1"/>
  <c r="AA55" i="1"/>
  <c r="AD54" i="1"/>
  <c r="AA54" i="1"/>
  <c r="AD53" i="1"/>
  <c r="AA53" i="1"/>
  <c r="L53" i="1"/>
  <c r="M53" i="1" s="1"/>
  <c r="AD52" i="1"/>
  <c r="AA52" i="1"/>
  <c r="AD51" i="1"/>
  <c r="AA51" i="1"/>
  <c r="AH52" i="1" s="1"/>
  <c r="AD50" i="1"/>
  <c r="AA50" i="1"/>
  <c r="AD49" i="1"/>
  <c r="AA49" i="1"/>
  <c r="AD48" i="1"/>
  <c r="AA48" i="1"/>
  <c r="AH49" i="1" s="1"/>
  <c r="AD47" i="1"/>
  <c r="AA47" i="1"/>
  <c r="AH48" i="1" s="1"/>
  <c r="L47" i="1"/>
  <c r="M47" i="1" s="1"/>
  <c r="AD46" i="1"/>
  <c r="AA46" i="1"/>
  <c r="AH46" i="1" s="1"/>
  <c r="AD45" i="1"/>
  <c r="AA45" i="1"/>
  <c r="AD44" i="1"/>
  <c r="AA44" i="1"/>
  <c r="AD43" i="1"/>
  <c r="AA43" i="1"/>
  <c r="AD42" i="1"/>
  <c r="AA42" i="1"/>
  <c r="AH43" i="1" s="1"/>
  <c r="AJ43" i="1" s="1"/>
  <c r="AD41" i="1"/>
  <c r="L41" i="1"/>
  <c r="M41" i="1" s="1"/>
  <c r="AD40" i="1"/>
  <c r="AA40" i="1"/>
  <c r="AD39" i="1"/>
  <c r="AA39" i="1"/>
  <c r="AH40" i="1" s="1"/>
  <c r="AD38" i="1"/>
  <c r="AA38" i="1"/>
  <c r="AD37" i="1"/>
  <c r="AA37" i="1"/>
  <c r="AL38" i="1" s="1"/>
  <c r="AK38" i="1" s="1"/>
  <c r="AD36" i="1"/>
  <c r="AD35" i="1"/>
  <c r="AA35" i="1"/>
  <c r="L35" i="1"/>
  <c r="M35" i="1" s="1"/>
  <c r="AD34" i="1"/>
  <c r="AA34" i="1"/>
  <c r="AD33" i="1"/>
  <c r="AA33" i="1"/>
  <c r="AH34" i="1" s="1"/>
  <c r="AD32" i="1"/>
  <c r="AA32" i="1"/>
  <c r="AL33" i="1" s="1"/>
  <c r="AK33" i="1" s="1"/>
  <c r="AL21" i="19" s="1"/>
  <c r="AD31" i="1"/>
  <c r="AA31" i="1"/>
  <c r="AH31" i="1" s="1"/>
  <c r="AD30" i="1"/>
  <c r="AD29" i="1"/>
  <c r="AA29" i="1"/>
  <c r="L29" i="1"/>
  <c r="M29" i="1" s="1"/>
  <c r="AD28" i="1"/>
  <c r="AA28" i="1"/>
  <c r="AD27" i="1"/>
  <c r="AA27" i="1"/>
  <c r="AH28" i="1" s="1"/>
  <c r="AD26" i="1"/>
  <c r="AA26" i="1"/>
  <c r="AD25" i="1"/>
  <c r="AA25" i="1"/>
  <c r="AL26" i="1" s="1"/>
  <c r="AK26" i="1" s="1"/>
  <c r="AD24" i="1"/>
  <c r="AA24" i="1"/>
  <c r="AH25" i="1" s="1"/>
  <c r="AD23" i="1"/>
  <c r="AA23" i="1"/>
  <c r="AL24" i="1" s="1"/>
  <c r="AK24" i="1" s="1"/>
  <c r="L23" i="1"/>
  <c r="M23" i="1" s="1"/>
  <c r="AD22" i="1"/>
  <c r="AA22" i="1"/>
  <c r="AD21" i="1"/>
  <c r="AA21" i="1"/>
  <c r="AD20" i="1"/>
  <c r="AA20" i="1"/>
  <c r="AD19" i="1"/>
  <c r="AA19" i="1"/>
  <c r="AH19" i="1" s="1"/>
  <c r="AI19" i="1" s="1"/>
  <c r="AD18" i="1"/>
  <c r="AA18" i="1"/>
  <c r="AD17" i="1"/>
  <c r="AA17" i="1"/>
  <c r="AL18" i="1"/>
  <c r="AK18" i="1" s="1"/>
  <c r="L17" i="1"/>
  <c r="M17" i="1"/>
  <c r="AD16" i="1"/>
  <c r="AA16" i="1"/>
  <c r="L16" i="1"/>
  <c r="M16" i="1"/>
  <c r="L14" i="1"/>
  <c r="AD15" i="1"/>
  <c r="AA15" i="1"/>
  <c r="AD14" i="1"/>
  <c r="AA14" i="1"/>
  <c r="M14" i="1"/>
  <c r="AH17" i="1"/>
  <c r="AH14" i="1"/>
  <c r="AJ14" i="1" s="1"/>
  <c r="AH15" i="1" s="1"/>
  <c r="AH18" i="1"/>
  <c r="AH44" i="1"/>
  <c r="AI44" i="1" s="1"/>
  <c r="AH55" i="1"/>
  <c r="AJ55" i="1" s="1"/>
  <c r="AH36" i="1"/>
  <c r="AI36" i="1" s="1"/>
  <c r="AD12" i="1"/>
  <c r="AD13" i="1"/>
  <c r="AH45" i="1"/>
  <c r="AI45" i="1" s="1"/>
  <c r="AL33" i="19" s="1"/>
  <c r="AH38" i="1"/>
  <c r="AI38" i="1" s="1"/>
  <c r="AH32" i="1"/>
  <c r="AJ32" i="1" s="1"/>
  <c r="AH21" i="1"/>
  <c r="AH20" i="1"/>
  <c r="AH26" i="1"/>
  <c r="AH51" i="1"/>
  <c r="AJ51" i="1" s="1"/>
  <c r="AH33" i="1"/>
  <c r="AI33" i="1" s="1"/>
  <c r="AJ38" i="1"/>
  <c r="AH22" i="1"/>
  <c r="AJ22" i="1" s="1"/>
  <c r="AA13" i="1"/>
  <c r="AI34" i="1"/>
  <c r="AJ34" i="1"/>
  <c r="AA12" i="1"/>
  <c r="AL17" i="1"/>
  <c r="AK17" i="1" s="1"/>
  <c r="AL57" i="1"/>
  <c r="AK57" i="1" s="1"/>
  <c r="AL20" i="1"/>
  <c r="AK20" i="1" s="1"/>
  <c r="AL44" i="1"/>
  <c r="AK44" i="1" s="1"/>
  <c r="AK23" i="19" s="1"/>
  <c r="AK2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L45" i="1"/>
  <c r="AK45" i="1" s="1"/>
  <c r="AF53" i="19" s="1"/>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AL51" i="1"/>
  <c r="AK51" i="1" s="1"/>
  <c r="AL21" i="1"/>
  <c r="AK21" i="1" s="1"/>
  <c r="AL22" i="1"/>
  <c r="AK22" i="1" s="1"/>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46" i="1"/>
  <c r="AK46"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N43" i="19"/>
  <c r="AL43" i="19"/>
  <c r="T33" i="19"/>
  <c r="AF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O55" i="1"/>
  <c r="O36" i="1"/>
  <c r="O39" i="1"/>
  <c r="O26" i="1"/>
  <c r="O34" i="1"/>
  <c r="O40" i="1"/>
  <c r="O15" i="1"/>
  <c r="O13" i="1"/>
  <c r="O52" i="1"/>
  <c r="B221" i="13" a="1"/>
  <c r="O57" i="1"/>
  <c r="O28" i="1"/>
  <c r="O22" i="1"/>
  <c r="O19" i="1"/>
  <c r="O20" i="1"/>
  <c r="O46" i="1"/>
  <c r="O32" i="1"/>
  <c r="O30" i="1"/>
  <c r="O27" i="1"/>
  <c r="O37" i="1"/>
  <c r="O12" i="1"/>
  <c r="O25" i="1"/>
  <c r="O48" i="1"/>
  <c r="O43" i="1"/>
  <c r="O49" i="1"/>
  <c r="O51" i="1"/>
  <c r="O31" i="1"/>
  <c r="O38" i="1"/>
  <c r="O42" i="1"/>
  <c r="O50" i="1"/>
  <c r="O18" i="1"/>
  <c r="O45" i="1"/>
  <c r="O24" i="1"/>
  <c r="O33" i="1"/>
  <c r="O54" i="1"/>
  <c r="O44" i="1"/>
  <c r="O58" i="1"/>
  <c r="O21" i="1"/>
  <c r="O56" i="1"/>
  <c r="AJ31" i="1" l="1"/>
  <c r="AI31" i="1"/>
  <c r="AI46" i="1"/>
  <c r="AG23" i="19" s="1"/>
  <c r="AJ46" i="1"/>
  <c r="Z43" i="19"/>
  <c r="AL19" i="1"/>
  <c r="AK19" i="1" s="1"/>
  <c r="AD19" i="19" s="1"/>
  <c r="AI22" i="1"/>
  <c r="O19" i="19" s="1"/>
  <c r="AI32" i="1"/>
  <c r="S41" i="19" s="1"/>
  <c r="AH23" i="1"/>
  <c r="AL55" i="1"/>
  <c r="AK55" i="1" s="1"/>
  <c r="AL43" i="1"/>
  <c r="AK43" i="1" s="1"/>
  <c r="AH39" i="1"/>
  <c r="AI39" i="1" s="1"/>
  <c r="AL32" i="1"/>
  <c r="AK32" i="1" s="1"/>
  <c r="AJ33" i="1"/>
  <c r="AJ44" i="1"/>
  <c r="AH47" i="1"/>
  <c r="AI47" i="1" s="1"/>
  <c r="V24" i="19" s="1"/>
  <c r="AL25" i="1"/>
  <c r="AK25" i="1" s="1"/>
  <c r="AJ45" i="1"/>
  <c r="AL52" i="1"/>
  <c r="AK52" i="1" s="1"/>
  <c r="AL47" i="1"/>
  <c r="AK47" i="1" s="1"/>
  <c r="AL40" i="1"/>
  <c r="AK40" i="1" s="1"/>
  <c r="AH57" i="1"/>
  <c r="AI57" i="1" s="1"/>
  <c r="AL48" i="1"/>
  <c r="AK48" i="1" s="1"/>
  <c r="AH27" i="1"/>
  <c r="AJ27" i="1" s="1"/>
  <c r="AL39" i="1"/>
  <c r="AK39" i="1" s="1"/>
  <c r="AL42" i="1"/>
  <c r="AK42" i="1" s="1"/>
  <c r="AH50" i="1"/>
  <c r="AI50" i="1" s="1"/>
  <c r="B221" i="13"/>
  <c r="H210" i="13" s="1"/>
  <c r="AL31" i="1"/>
  <c r="AK31" i="1" s="1"/>
  <c r="L11" i="19" s="1"/>
  <c r="M41" i="19"/>
  <c r="S53" i="19"/>
  <c r="AD39" i="19"/>
  <c r="AE41" i="19"/>
  <c r="R39" i="19"/>
  <c r="P44" i="19"/>
  <c r="AJ28" i="1"/>
  <c r="AI28" i="1"/>
  <c r="M12" i="19"/>
  <c r="N52" i="19"/>
  <c r="N42" i="19"/>
  <c r="AI40" i="1"/>
  <c r="U32" i="19" s="1"/>
  <c r="AJ40" i="1"/>
  <c r="AI48" i="1"/>
  <c r="AC14" i="19" s="1"/>
  <c r="AJ48" i="1"/>
  <c r="AJ49" i="1"/>
  <c r="AI49" i="1"/>
  <c r="AJ14" i="19" s="1"/>
  <c r="AJ50" i="1"/>
  <c r="AI52" i="1"/>
  <c r="U34" i="19" s="1"/>
  <c r="AJ52" i="1"/>
  <c r="AJ41" i="1"/>
  <c r="AI41" i="1"/>
  <c r="AM23" i="19"/>
  <c r="AL28" i="1"/>
  <c r="AK28" i="1" s="1"/>
  <c r="AM30" i="19" s="1"/>
  <c r="X29" i="19"/>
  <c r="AL27" i="1"/>
  <c r="AK27" i="1" s="1"/>
  <c r="AL34" i="1"/>
  <c r="AK34" i="1" s="1"/>
  <c r="AG41" i="19" s="1"/>
  <c r="AL50" i="1"/>
  <c r="AK50" i="1" s="1"/>
  <c r="AL49" i="1"/>
  <c r="AK49" i="1" s="1"/>
  <c r="AL23" i="1"/>
  <c r="AK23" i="1" s="1"/>
  <c r="AL41" i="1"/>
  <c r="AK41" i="1" s="1"/>
  <c r="V33" i="19" s="1"/>
  <c r="AI51" i="1"/>
  <c r="AF24" i="19" s="1"/>
  <c r="AJ36" i="1"/>
  <c r="AJ19" i="1"/>
  <c r="AH24" i="1"/>
  <c r="AI43" i="1"/>
  <c r="AI14" i="1"/>
  <c r="AJ39" i="1"/>
  <c r="AH42" i="1"/>
  <c r="AJ42" i="1" s="1"/>
  <c r="Y52" i="19"/>
  <c r="L41" i="19"/>
  <c r="AA43" i="19"/>
  <c r="L29" i="19"/>
  <c r="L39" i="19"/>
  <c r="L9" i="19"/>
  <c r="L49" i="19"/>
  <c r="AK51" i="19"/>
  <c r="AE11" i="19"/>
  <c r="L53" i="19"/>
  <c r="K24" i="19"/>
  <c r="S43" i="19"/>
  <c r="R49" i="19"/>
  <c r="AJ9" i="19"/>
  <c r="AJ29" i="19"/>
  <c r="R19" i="19"/>
  <c r="X19" i="19"/>
  <c r="X9" i="19"/>
  <c r="R9" i="19"/>
  <c r="S11" i="19"/>
  <c r="M31" i="19"/>
  <c r="AL11" i="19"/>
  <c r="AJ23" i="19"/>
  <c r="R33" i="19"/>
  <c r="W44" i="19"/>
  <c r="AF44" i="19"/>
  <c r="U50" i="19"/>
  <c r="Z33" i="19"/>
  <c r="AM45" i="1"/>
  <c r="N23" i="19"/>
  <c r="AL23" i="19"/>
  <c r="AL13" i="19"/>
  <c r="AF43" i="19"/>
  <c r="T43" i="19"/>
  <c r="M22" i="19"/>
  <c r="X11" i="19"/>
  <c r="J34" i="19"/>
  <c r="AD24" i="19"/>
  <c r="AE32" i="19"/>
  <c r="M32" i="19"/>
  <c r="AK12" i="19"/>
  <c r="S32" i="19"/>
  <c r="AE22" i="19"/>
  <c r="Y12" i="19"/>
  <c r="AI20" i="1"/>
  <c r="M39" i="19" s="1"/>
  <c r="AJ20" i="1"/>
  <c r="AI25" i="1"/>
  <c r="AJ25" i="1"/>
  <c r="AL30" i="1"/>
  <c r="AK30" i="1" s="1"/>
  <c r="AH30" i="1"/>
  <c r="AL29" i="1"/>
  <c r="AK29" i="1" s="1"/>
  <c r="AL36" i="1"/>
  <c r="AK36" i="1" s="1"/>
  <c r="AI22" i="19" s="1"/>
  <c r="AH35" i="1"/>
  <c r="AL35" i="1"/>
  <c r="AK35" i="1" s="1"/>
  <c r="AL54" i="1"/>
  <c r="AK54" i="1" s="1"/>
  <c r="AH54" i="1"/>
  <c r="AH53" i="1"/>
  <c r="AL56" i="1"/>
  <c r="AK56" i="1" s="1"/>
  <c r="AH56" i="1"/>
  <c r="AJ57" i="1"/>
  <c r="AH37" i="1"/>
  <c r="AL37" i="1"/>
  <c r="AK37" i="1" s="1"/>
  <c r="AI11" i="1"/>
  <c r="AJ11" i="1"/>
  <c r="AL53" i="1"/>
  <c r="AK53" i="1" s="1"/>
  <c r="T13" i="19"/>
  <c r="T53" i="19"/>
  <c r="N33" i="19"/>
  <c r="N53" i="19"/>
  <c r="AL53" i="19"/>
  <c r="N13" i="19"/>
  <c r="AF13" i="19"/>
  <c r="Z23" i="19"/>
  <c r="AF23" i="19"/>
  <c r="Z13" i="19"/>
  <c r="T23" i="19"/>
  <c r="Z53" i="19"/>
  <c r="AG43" i="19"/>
  <c r="AA33" i="19"/>
  <c r="AM43" i="19"/>
  <c r="AJ34" i="19"/>
  <c r="O41" i="19"/>
  <c r="AL58" i="1"/>
  <c r="AK58" i="1" s="1"/>
  <c r="Y32" i="19"/>
  <c r="AE12" i="19"/>
  <c r="M52" i="19"/>
  <c r="Y13" i="19"/>
  <c r="AE43" i="19"/>
  <c r="S13" i="19"/>
  <c r="AI58" i="1"/>
  <c r="AL14" i="19"/>
  <c r="N54" i="19"/>
  <c r="AF14" i="19"/>
  <c r="AL24" i="19"/>
  <c r="O24" i="19"/>
  <c r="AA24" i="19"/>
  <c r="N51" i="19"/>
  <c r="AF51" i="19"/>
  <c r="Y41" i="19"/>
  <c r="Y21" i="19"/>
  <c r="M51" i="19"/>
  <c r="AK21" i="19"/>
  <c r="Y11" i="19"/>
  <c r="M21" i="19"/>
  <c r="AM32" i="1"/>
  <c r="Y31" i="19"/>
  <c r="M11" i="19"/>
  <c r="AJ26" i="1"/>
  <c r="AI26" i="1"/>
  <c r="AI55" i="1"/>
  <c r="AJ35" i="19" s="1"/>
  <c r="AI15" i="1"/>
  <c r="AJ15" i="1"/>
  <c r="AJ18" i="1"/>
  <c r="AI18" i="1"/>
  <c r="AJ17" i="1"/>
  <c r="AI17" i="1"/>
  <c r="P9" i="19" s="1"/>
  <c r="AH29" i="1"/>
  <c r="T52" i="19"/>
  <c r="T32" i="19"/>
  <c r="T12" i="19"/>
  <c r="AF22" i="19"/>
  <c r="N12" i="19"/>
  <c r="AI21" i="1"/>
  <c r="AL9" i="19" s="1"/>
  <c r="AJ21" i="1"/>
  <c r="U22" i="19"/>
  <c r="AH16" i="1"/>
  <c r="O49" i="19"/>
  <c r="AM39" i="19"/>
  <c r="AA9" i="19"/>
  <c r="AM22" i="1"/>
  <c r="AG9" i="19"/>
  <c r="AA49" i="19"/>
  <c r="T31" i="19"/>
  <c r="T21" i="19"/>
  <c r="AK42" i="19"/>
  <c r="AM38" i="1"/>
  <c r="S12" i="19"/>
  <c r="S52" i="19"/>
  <c r="Y42" i="19"/>
  <c r="S22" i="19"/>
  <c r="Y22" i="19"/>
  <c r="AK52" i="19"/>
  <c r="AK32" i="19"/>
  <c r="AE42" i="19"/>
  <c r="M42" i="19"/>
  <c r="AE52" i="19"/>
  <c r="S42" i="19"/>
  <c r="AM41" i="1"/>
  <c r="V43" i="19"/>
  <c r="J53" i="19"/>
  <c r="AH53" i="19"/>
  <c r="AD55" i="19"/>
  <c r="X45" i="19"/>
  <c r="X15" i="19"/>
  <c r="L35" i="19"/>
  <c r="L25" i="19"/>
  <c r="R35" i="19"/>
  <c r="AJ45" i="19"/>
  <c r="AM55" i="1"/>
  <c r="R25" i="19"/>
  <c r="AD15" i="19"/>
  <c r="AD45" i="19"/>
  <c r="X25" i="19"/>
  <c r="R45" i="19"/>
  <c r="K54" i="19"/>
  <c r="AA42" i="19"/>
  <c r="U13" i="19"/>
  <c r="AA53" i="19"/>
  <c r="O53" i="19"/>
  <c r="O13" i="19"/>
  <c r="U33" i="19"/>
  <c r="AM13" i="19"/>
  <c r="AG13" i="19"/>
  <c r="AG33" i="19"/>
  <c r="AM33" i="19"/>
  <c r="AM46" i="1"/>
  <c r="U53" i="19"/>
  <c r="O43" i="19"/>
  <c r="O33" i="19"/>
  <c r="O39" i="19"/>
  <c r="AG49" i="19"/>
  <c r="U29" i="19"/>
  <c r="U49" i="19"/>
  <c r="U39" i="19"/>
  <c r="AA39" i="19"/>
  <c r="AM9" i="19"/>
  <c r="AG19" i="19"/>
  <c r="U19" i="19"/>
  <c r="AA29" i="19"/>
  <c r="AL39" i="19"/>
  <c r="AL49" i="19"/>
  <c r="AK19" i="19"/>
  <c r="Y39" i="19"/>
  <c r="S19" i="19"/>
  <c r="M9" i="19"/>
  <c r="Y33" i="19"/>
  <c r="S23" i="19"/>
  <c r="AE23" i="19"/>
  <c r="AK13" i="19"/>
  <c r="M23" i="19"/>
  <c r="M43" i="19"/>
  <c r="AE53" i="19"/>
  <c r="AK43" i="19"/>
  <c r="Y23" i="19"/>
  <c r="M53" i="19"/>
  <c r="S33" i="19"/>
  <c r="Y53" i="19"/>
  <c r="AM44" i="1"/>
  <c r="Z11" i="19"/>
  <c r="T51" i="19"/>
  <c r="Z41" i="19"/>
  <c r="AL31" i="19"/>
  <c r="Z31" i="19"/>
  <c r="N31" i="19"/>
  <c r="T11" i="19"/>
  <c r="AL41" i="19"/>
  <c r="Z21" i="19"/>
  <c r="N11" i="19"/>
  <c r="N41" i="19"/>
  <c r="AM33" i="1"/>
  <c r="T41" i="19"/>
  <c r="AD44" i="19"/>
  <c r="AD34" i="19"/>
  <c r="X24" i="19"/>
  <c r="AM49" i="1"/>
  <c r="L44" i="19"/>
  <c r="AJ44" i="19"/>
  <c r="AD33" i="19"/>
  <c r="L43" i="19"/>
  <c r="R43" i="19"/>
  <c r="R13" i="19"/>
  <c r="X43" i="19"/>
  <c r="L13" i="19"/>
  <c r="R53" i="19"/>
  <c r="W29" i="19"/>
  <c r="Q49" i="19"/>
  <c r="Q29" i="19"/>
  <c r="AC19" i="19"/>
  <c r="Q39" i="19"/>
  <c r="AI39" i="19"/>
  <c r="AC29" i="19"/>
  <c r="Q9" i="19"/>
  <c r="AG53" i="19"/>
  <c r="AA13" i="19"/>
  <c r="AA23" i="19"/>
  <c r="U23" i="19"/>
  <c r="O23" i="19"/>
  <c r="AM53" i="19"/>
  <c r="M33" i="19"/>
  <c r="AK53" i="19"/>
  <c r="AE33" i="19"/>
  <c r="M13" i="19"/>
  <c r="Y43" i="19"/>
  <c r="AK33" i="19"/>
  <c r="AE13" i="19"/>
  <c r="O44" i="19"/>
  <c r="O34" i="19"/>
  <c r="O14" i="19"/>
  <c r="U14" i="19"/>
  <c r="AG44" i="19"/>
  <c r="U24" i="19"/>
  <c r="AA14" i="19"/>
  <c r="U44" i="19"/>
  <c r="S49" i="19"/>
  <c r="T9" i="19"/>
  <c r="AF39" i="19"/>
  <c r="U9" i="19"/>
  <c r="O9" i="19"/>
  <c r="AM49" i="19"/>
  <c r="AM19" i="19"/>
  <c r="O20" i="19"/>
  <c r="AA50" i="19"/>
  <c r="O50" i="19"/>
  <c r="O40" i="19"/>
  <c r="AG50" i="19"/>
  <c r="R44" i="19"/>
  <c r="AJ24" i="19"/>
  <c r="X54" i="19"/>
  <c r="AF41" i="19"/>
  <c r="Z51" i="19"/>
  <c r="AL51" i="19"/>
  <c r="AF11" i="19"/>
  <c r="N21" i="19"/>
  <c r="AF21" i="19"/>
  <c r="AF31" i="19"/>
  <c r="AD23" i="19"/>
  <c r="X53" i="19"/>
  <c r="AJ53" i="19"/>
  <c r="AD53" i="19"/>
  <c r="AM43" i="1"/>
  <c r="X33" i="19"/>
  <c r="AJ10" i="19"/>
  <c r="AM25" i="1"/>
  <c r="AJ40" i="19"/>
  <c r="AJ30" i="19"/>
  <c r="L40" i="19"/>
  <c r="R10" i="19"/>
  <c r="AG51" i="19"/>
  <c r="Q19" i="19"/>
  <c r="W19" i="19"/>
  <c r="AI49" i="19"/>
  <c r="AJ21" i="19"/>
  <c r="AJ11" i="19"/>
  <c r="AM31" i="1"/>
  <c r="AD11" i="19"/>
  <c r="R31" i="19"/>
  <c r="L31" i="19"/>
  <c r="X41" i="19"/>
  <c r="AD51" i="19"/>
  <c r="AD21" i="19"/>
  <c r="L21" i="19"/>
  <c r="R11" i="19"/>
  <c r="AJ31" i="19"/>
  <c r="L51" i="19"/>
  <c r="AB53" i="19"/>
  <c r="V23" i="19"/>
  <c r="P53" i="19"/>
  <c r="V13" i="19"/>
  <c r="J43" i="19"/>
  <c r="P33" i="19"/>
  <c r="AH24" i="19"/>
  <c r="AF32" i="19"/>
  <c r="AL32" i="19"/>
  <c r="AL12" i="19"/>
  <c r="AL42" i="19"/>
  <c r="AF12" i="19"/>
  <c r="T42" i="19"/>
  <c r="Z52" i="19"/>
  <c r="AL22" i="19"/>
  <c r="T22" i="19"/>
  <c r="AF52" i="19"/>
  <c r="Z22" i="19"/>
  <c r="Z12" i="19"/>
  <c r="N22" i="19"/>
  <c r="AL52" i="19"/>
  <c r="N32" i="19"/>
  <c r="Z42" i="19"/>
  <c r="Z32" i="19"/>
  <c r="AF42" i="19"/>
  <c r="AM39" i="1"/>
  <c r="O12" i="19"/>
  <c r="AM52" i="19"/>
  <c r="AA32" i="19"/>
  <c r="AA12" i="19"/>
  <c r="O42" i="19"/>
  <c r="AG32" i="19"/>
  <c r="O52" i="19"/>
  <c r="AM40" i="1"/>
  <c r="T15" i="19" l="1"/>
  <c r="N45" i="19"/>
  <c r="AL55" i="19"/>
  <c r="AL45" i="19"/>
  <c r="Z45" i="19"/>
  <c r="Z35" i="19"/>
  <c r="AF45" i="19"/>
  <c r="Z55" i="19"/>
  <c r="AF35" i="19"/>
  <c r="AM57" i="1"/>
  <c r="T35" i="19"/>
  <c r="AF55" i="19"/>
  <c r="N15" i="19"/>
  <c r="Z15" i="19"/>
  <c r="T25" i="19"/>
  <c r="AL15" i="19"/>
  <c r="AL25" i="19"/>
  <c r="Z25" i="19"/>
  <c r="N35" i="19"/>
  <c r="AF25" i="19"/>
  <c r="AM50" i="1"/>
  <c r="M54" i="19"/>
  <c r="M44" i="19"/>
  <c r="Y24" i="19"/>
  <c r="M24" i="19"/>
  <c r="S34" i="19"/>
  <c r="AE14" i="19"/>
  <c r="Y54" i="19"/>
  <c r="AK14" i="19"/>
  <c r="AK54" i="19"/>
  <c r="AE54" i="19"/>
  <c r="AK24" i="19"/>
  <c r="M14" i="19"/>
  <c r="S54" i="19"/>
  <c r="AK44" i="19"/>
  <c r="AE24" i="19"/>
  <c r="J39" i="19"/>
  <c r="AM17" i="1"/>
  <c r="O21" i="19"/>
  <c r="Z19" i="19"/>
  <c r="AC24" i="19"/>
  <c r="O22" i="19"/>
  <c r="AM44" i="19"/>
  <c r="X51" i="19"/>
  <c r="R41" i="19"/>
  <c r="AH44" i="19"/>
  <c r="AH29" i="19"/>
  <c r="J44" i="19"/>
  <c r="U31" i="19"/>
  <c r="Q44" i="19"/>
  <c r="O32" i="19"/>
  <c r="AM22" i="19"/>
  <c r="AB19" i="19"/>
  <c r="P24" i="19"/>
  <c r="AM47" i="1"/>
  <c r="R51" i="19"/>
  <c r="X31" i="19"/>
  <c r="R21" i="19"/>
  <c r="O31" i="19"/>
  <c r="AF49" i="19"/>
  <c r="AG54" i="19"/>
  <c r="AM14" i="19"/>
  <c r="S39" i="19"/>
  <c r="Q34" i="19"/>
  <c r="AB29" i="19"/>
  <c r="AB13" i="19"/>
  <c r="AI42" i="1"/>
  <c r="AK11" i="19"/>
  <c r="S31" i="19"/>
  <c r="V44" i="19"/>
  <c r="W22" i="19"/>
  <c r="AG10" i="19"/>
  <c r="AA41" i="19"/>
  <c r="AG22" i="19"/>
  <c r="R29" i="19"/>
  <c r="L19" i="19"/>
  <c r="Y51" i="19"/>
  <c r="AJ19" i="19"/>
  <c r="AJ39" i="19"/>
  <c r="AK41" i="19"/>
  <c r="AD9" i="19"/>
  <c r="V54" i="19"/>
  <c r="J24" i="19"/>
  <c r="AH39" i="19"/>
  <c r="P34" i="19"/>
  <c r="AB54" i="19"/>
  <c r="U51" i="19"/>
  <c r="AB34" i="19"/>
  <c r="AI14" i="19"/>
  <c r="AM24" i="19"/>
  <c r="AH54" i="19"/>
  <c r="P39" i="19"/>
  <c r="V39" i="19"/>
  <c r="AB24" i="19"/>
  <c r="AI44" i="19"/>
  <c r="AK31" i="19"/>
  <c r="X39" i="19"/>
  <c r="S21" i="19"/>
  <c r="AD49" i="19"/>
  <c r="J54" i="19"/>
  <c r="K34" i="19"/>
  <c r="P49" i="19"/>
  <c r="AB14" i="19"/>
  <c r="AG11" i="19"/>
  <c r="T29" i="19"/>
  <c r="AM34" i="19"/>
  <c r="N9" i="19"/>
  <c r="AA22" i="19"/>
  <c r="J9" i="19"/>
  <c r="N19" i="19"/>
  <c r="AI27" i="1"/>
  <c r="AL30" i="19" s="1"/>
  <c r="AG30" i="19"/>
  <c r="O29" i="19"/>
  <c r="AK39" i="19"/>
  <c r="AM54" i="19"/>
  <c r="S9" i="19"/>
  <c r="Z39" i="19"/>
  <c r="AM29" i="19"/>
  <c r="AG29" i="19"/>
  <c r="AM12" i="19"/>
  <c r="J49" i="19"/>
  <c r="Z29" i="19"/>
  <c r="AG39" i="19"/>
  <c r="AE51" i="19"/>
  <c r="N34" i="19"/>
  <c r="V14" i="19"/>
  <c r="U43" i="19"/>
  <c r="W34" i="19"/>
  <c r="Z44" i="19"/>
  <c r="S51" i="19"/>
  <c r="AM19" i="1"/>
  <c r="AD29" i="19"/>
  <c r="AH14" i="19"/>
  <c r="U12" i="19"/>
  <c r="AJ47" i="1"/>
  <c r="J14" i="19"/>
  <c r="AM32" i="19"/>
  <c r="AG12" i="19"/>
  <c r="V29" i="19"/>
  <c r="P14" i="19"/>
  <c r="P54" i="19"/>
  <c r="AH23" i="19"/>
  <c r="AJ51" i="19"/>
  <c r="X21" i="19"/>
  <c r="U11" i="19"/>
  <c r="AA52" i="19"/>
  <c r="AM42" i="19"/>
  <c r="V9" i="19"/>
  <c r="AB44" i="19"/>
  <c r="AB23" i="19"/>
  <c r="AD31" i="19"/>
  <c r="AA40" i="19"/>
  <c r="AA19" i="19"/>
  <c r="S29" i="19"/>
  <c r="AA34" i="19"/>
  <c r="N49" i="19"/>
  <c r="Q24" i="19"/>
  <c r="AH9" i="19"/>
  <c r="N39" i="19"/>
  <c r="AE21" i="19"/>
  <c r="N44" i="19"/>
  <c r="AH34" i="19"/>
  <c r="V34" i="19"/>
  <c r="Z54" i="19"/>
  <c r="AE31" i="19"/>
  <c r="AJ49" i="19"/>
  <c r="T14" i="19"/>
  <c r="X49" i="19"/>
  <c r="R23" i="19"/>
  <c r="AE34" i="19"/>
  <c r="AI23" i="1"/>
  <c r="AJ23" i="1"/>
  <c r="AD14" i="19"/>
  <c r="R24" i="19"/>
  <c r="AG21" i="19"/>
  <c r="O51" i="19"/>
  <c r="AM21" i="19"/>
  <c r="AM41" i="19"/>
  <c r="P23" i="19"/>
  <c r="V53" i="19"/>
  <c r="AH13" i="19"/>
  <c r="P43" i="19"/>
  <c r="J13" i="19"/>
  <c r="AH43" i="19"/>
  <c r="P13" i="19"/>
  <c r="AB43" i="19"/>
  <c r="AB33" i="19"/>
  <c r="AA11" i="19"/>
  <c r="AA21" i="19"/>
  <c r="U41" i="19"/>
  <c r="AM51" i="19"/>
  <c r="AM11" i="19"/>
  <c r="AA31" i="19"/>
  <c r="R54" i="19"/>
  <c r="X34" i="19"/>
  <c r="R34" i="19"/>
  <c r="AA20" i="19"/>
  <c r="AA30" i="19"/>
  <c r="AM28" i="1"/>
  <c r="AA10" i="19"/>
  <c r="AM10" i="19"/>
  <c r="O30" i="19"/>
  <c r="AJ54" i="19"/>
  <c r="AD54" i="19"/>
  <c r="L14" i="19"/>
  <c r="X44" i="19"/>
  <c r="L34" i="19"/>
  <c r="R14" i="19"/>
  <c r="L54" i="19"/>
  <c r="J33" i="19"/>
  <c r="J23" i="19"/>
  <c r="AH33" i="19"/>
  <c r="AM31" i="19"/>
  <c r="AA51" i="19"/>
  <c r="L24" i="19"/>
  <c r="U40" i="19"/>
  <c r="AG31" i="19"/>
  <c r="X14" i="19"/>
  <c r="O11" i="1"/>
  <c r="P11" i="1" s="1"/>
  <c r="O17" i="1"/>
  <c r="P17" i="1" s="1"/>
  <c r="O35" i="1"/>
  <c r="P35" i="1" s="1"/>
  <c r="O53" i="1"/>
  <c r="P53" i="1" s="1"/>
  <c r="O14" i="1"/>
  <c r="P14" i="1" s="1"/>
  <c r="O16" i="1"/>
  <c r="P16" i="1" s="1"/>
  <c r="O29" i="1"/>
  <c r="P29" i="1" s="1"/>
  <c r="O41" i="1"/>
  <c r="P41" i="1" s="1"/>
  <c r="O23" i="1"/>
  <c r="P23" i="1" s="1"/>
  <c r="O47" i="1"/>
  <c r="P47" i="1" s="1"/>
  <c r="U20" i="19"/>
  <c r="AD41" i="19"/>
  <c r="AJ41" i="19"/>
  <c r="AM55" i="19"/>
  <c r="AH50" i="19"/>
  <c r="AH20" i="19"/>
  <c r="V10" i="19"/>
  <c r="P50" i="19"/>
  <c r="V20" i="19"/>
  <c r="AB30" i="19"/>
  <c r="P20" i="19"/>
  <c r="AB20" i="19"/>
  <c r="AB10" i="19"/>
  <c r="AB40" i="19"/>
  <c r="AH10" i="19"/>
  <c r="AJ33" i="19"/>
  <c r="AD13" i="19"/>
  <c r="L33" i="19"/>
  <c r="AJ13" i="19"/>
  <c r="X23" i="19"/>
  <c r="X13" i="19"/>
  <c r="S14" i="19"/>
  <c r="AE44" i="19"/>
  <c r="Y44" i="19"/>
  <c r="S44" i="19"/>
  <c r="AK34" i="19"/>
  <c r="Y34" i="19"/>
  <c r="S24" i="19"/>
  <c r="AG42" i="19"/>
  <c r="U52" i="19"/>
  <c r="AI54" i="19"/>
  <c r="W24" i="19"/>
  <c r="W14" i="19"/>
  <c r="AI24" i="19"/>
  <c r="AM48" i="1"/>
  <c r="K14" i="19"/>
  <c r="AG52" i="19"/>
  <c r="U42" i="19"/>
  <c r="M34" i="19"/>
  <c r="AM52" i="1"/>
  <c r="AG14" i="19"/>
  <c r="AA44" i="19"/>
  <c r="AM51" i="1"/>
  <c r="AL54" i="19"/>
  <c r="Z14" i="19"/>
  <c r="Z24" i="19"/>
  <c r="N24" i="19"/>
  <c r="T44" i="19"/>
  <c r="AL34" i="19"/>
  <c r="AM20" i="19"/>
  <c r="AG40" i="19"/>
  <c r="U10" i="19"/>
  <c r="AM50" i="19"/>
  <c r="Q14" i="19"/>
  <c r="AI34" i="19"/>
  <c r="AC54" i="19"/>
  <c r="AC34" i="19"/>
  <c r="Y14" i="19"/>
  <c r="U30" i="19"/>
  <c r="O10" i="19"/>
  <c r="T24" i="19"/>
  <c r="T34" i="19"/>
  <c r="Z34" i="19"/>
  <c r="AC44" i="19"/>
  <c r="W54" i="19"/>
  <c r="L23" i="19"/>
  <c r="N14" i="19"/>
  <c r="T54" i="19"/>
  <c r="AG20" i="19"/>
  <c r="AD43" i="19"/>
  <c r="AL44" i="19"/>
  <c r="AF34" i="19"/>
  <c r="AI24" i="1"/>
  <c r="AJ24" i="1"/>
  <c r="AM34" i="1"/>
  <c r="O11" i="19"/>
  <c r="AM40" i="19"/>
  <c r="U21" i="19"/>
  <c r="AA54" i="19"/>
  <c r="O54" i="19"/>
  <c r="AG24" i="19"/>
  <c r="U54" i="19"/>
  <c r="K44" i="19"/>
  <c r="Q54" i="19"/>
  <c r="AJ43" i="19"/>
  <c r="AG34" i="19"/>
  <c r="AF54" i="19"/>
  <c r="U45" i="19"/>
  <c r="U55" i="19"/>
  <c r="AC52" i="19"/>
  <c r="AA15" i="19"/>
  <c r="AM45" i="19"/>
  <c r="AM15" i="19"/>
  <c r="O45" i="19"/>
  <c r="AG25" i="19"/>
  <c r="AM58" i="1"/>
  <c r="U25" i="19"/>
  <c r="AG35" i="19"/>
  <c r="AJ16" i="1"/>
  <c r="AI16" i="1"/>
  <c r="W49" i="19"/>
  <c r="K29" i="19"/>
  <c r="AI29" i="19"/>
  <c r="AM18" i="1"/>
  <c r="K19" i="19"/>
  <c r="AI53" i="19"/>
  <c r="K53" i="19"/>
  <c r="Q43" i="19"/>
  <c r="AC53" i="19"/>
  <c r="W33" i="19"/>
  <c r="AC33" i="19"/>
  <c r="AI37" i="1"/>
  <c r="AJ37" i="1"/>
  <c r="AJ54" i="1"/>
  <c r="AI54" i="1"/>
  <c r="AI45" i="19" s="1"/>
  <c r="AC32" i="19"/>
  <c r="Q32" i="19"/>
  <c r="AC42" i="19"/>
  <c r="AI42" i="19"/>
  <c r="AI32" i="19"/>
  <c r="AM36" i="1"/>
  <c r="AC22" i="19"/>
  <c r="AI30" i="1"/>
  <c r="AJ30" i="1"/>
  <c r="K52" i="19"/>
  <c r="Q52" i="19"/>
  <c r="W12" i="19"/>
  <c r="W52" i="19"/>
  <c r="Q42" i="19"/>
  <c r="K22" i="19"/>
  <c r="K42" i="19"/>
  <c r="R40" i="19"/>
  <c r="R50" i="19"/>
  <c r="L10" i="19"/>
  <c r="AD30" i="19"/>
  <c r="AJ50" i="19"/>
  <c r="X50" i="19"/>
  <c r="L30" i="19"/>
  <c r="R30" i="19"/>
  <c r="AD50" i="19"/>
  <c r="AD40" i="19"/>
  <c r="X40" i="19"/>
  <c r="AJ20" i="19"/>
  <c r="AD20" i="19"/>
  <c r="Y9" i="19"/>
  <c r="M19" i="19"/>
  <c r="AE29" i="19"/>
  <c r="M49" i="19"/>
  <c r="AK9" i="19"/>
  <c r="AK49" i="19"/>
  <c r="Y29" i="19"/>
  <c r="AH19" i="19"/>
  <c r="P19" i="19"/>
  <c r="AB49" i="19"/>
  <c r="J29" i="19"/>
  <c r="AB9" i="19"/>
  <c r="AB39" i="19"/>
  <c r="W39" i="19"/>
  <c r="AI19" i="19"/>
  <c r="AI43" i="19"/>
  <c r="K43" i="19"/>
  <c r="AC13" i="19"/>
  <c r="W53" i="19"/>
  <c r="L20" i="19"/>
  <c r="X20" i="19"/>
  <c r="X30" i="19"/>
  <c r="R20" i="19"/>
  <c r="L50" i="19"/>
  <c r="X10" i="19"/>
  <c r="AD10" i="19"/>
  <c r="AM25" i="19"/>
  <c r="AG45" i="19"/>
  <c r="AG15" i="19"/>
  <c r="AF19" i="19"/>
  <c r="Z9" i="19"/>
  <c r="T49" i="19"/>
  <c r="AE49" i="19"/>
  <c r="AE39" i="19"/>
  <c r="AM20" i="1"/>
  <c r="Q23" i="19"/>
  <c r="Q13" i="19"/>
  <c r="AC23" i="19"/>
  <c r="AM42" i="1"/>
  <c r="K33" i="19"/>
  <c r="W43" i="19"/>
  <c r="K23" i="19"/>
  <c r="K49" i="19"/>
  <c r="AC49" i="19"/>
  <c r="K9" i="19"/>
  <c r="AI9" i="19"/>
  <c r="AC39" i="19"/>
  <c r="AC9" i="19"/>
  <c r="W9" i="19"/>
  <c r="K39" i="19"/>
  <c r="U15" i="19"/>
  <c r="O35" i="19"/>
  <c r="U35" i="19"/>
  <c r="AA35" i="19"/>
  <c r="AM35" i="19"/>
  <c r="Y49" i="19"/>
  <c r="Y19" i="19"/>
  <c r="AE9" i="19"/>
  <c r="AK29" i="19"/>
  <c r="M29" i="19"/>
  <c r="AE19" i="19"/>
  <c r="AF29" i="19"/>
  <c r="AM21" i="1"/>
  <c r="T39" i="19"/>
  <c r="Z49" i="19"/>
  <c r="AF9" i="19"/>
  <c r="N29" i="19"/>
  <c r="AL19" i="19"/>
  <c r="L55" i="19"/>
  <c r="AJ25" i="19"/>
  <c r="AD25" i="19"/>
  <c r="L15" i="19"/>
  <c r="R55" i="19"/>
  <c r="AJ15" i="19"/>
  <c r="R15" i="19"/>
  <c r="AD35" i="19"/>
  <c r="X35" i="19"/>
  <c r="L45" i="19"/>
  <c r="X55" i="19"/>
  <c r="AJ55" i="19"/>
  <c r="V49" i="19"/>
  <c r="J19" i="19"/>
  <c r="AH49" i="19"/>
  <c r="V19" i="19"/>
  <c r="P29" i="19"/>
  <c r="T19" i="19"/>
  <c r="AL29" i="19"/>
  <c r="T30" i="19"/>
  <c r="AI29" i="1"/>
  <c r="AJ29" i="1"/>
  <c r="AE40" i="19"/>
  <c r="M20" i="19"/>
  <c r="Y20" i="19"/>
  <c r="M10" i="19"/>
  <c r="AK10" i="19"/>
  <c r="Y40" i="19"/>
  <c r="AE30" i="19"/>
  <c r="M30" i="19"/>
  <c r="AE20" i="19"/>
  <c r="S10" i="19"/>
  <c r="S30" i="19"/>
  <c r="AE10" i="19"/>
  <c r="M50" i="19"/>
  <c r="AM26" i="1"/>
  <c r="AK20" i="19"/>
  <c r="S40" i="19"/>
  <c r="AE50" i="19"/>
  <c r="Y50" i="19"/>
  <c r="S20" i="19"/>
  <c r="Y30" i="19"/>
  <c r="M40" i="19"/>
  <c r="AK30" i="19"/>
  <c r="Y10" i="19"/>
  <c r="S50" i="19"/>
  <c r="AK50" i="19"/>
  <c r="AK40" i="19"/>
  <c r="O55" i="19"/>
  <c r="O25" i="19"/>
  <c r="O15" i="19"/>
  <c r="AA25" i="19"/>
  <c r="AG55" i="19"/>
  <c r="AA55" i="19"/>
  <c r="AA45" i="19"/>
  <c r="AI52" i="19"/>
  <c r="Q22" i="19"/>
  <c r="Q12" i="19"/>
  <c r="AH13" i="1"/>
  <c r="AH12" i="1"/>
  <c r="T45" i="19"/>
  <c r="T55" i="19"/>
  <c r="N55" i="19"/>
  <c r="AL35" i="19"/>
  <c r="N25" i="19"/>
  <c r="AF15" i="19"/>
  <c r="AJ56" i="1"/>
  <c r="AI56" i="1"/>
  <c r="AI53" i="1"/>
  <c r="AJ53" i="1"/>
  <c r="AI35" i="1"/>
  <c r="AJ35" i="1"/>
  <c r="K32" i="19"/>
  <c r="AC12" i="19"/>
  <c r="W32" i="19"/>
  <c r="K12" i="19"/>
  <c r="AI12" i="19"/>
  <c r="W42" i="19"/>
  <c r="AL40" i="19" l="1"/>
  <c r="AM27" i="1"/>
  <c r="AL20" i="19"/>
  <c r="Z50" i="19"/>
  <c r="Z30" i="19"/>
  <c r="AF10" i="19"/>
  <c r="AF40" i="19"/>
  <c r="AF50" i="19"/>
  <c r="AL10" i="19"/>
  <c r="AL50" i="19"/>
  <c r="Z10" i="19"/>
  <c r="T40" i="19"/>
  <c r="AF30" i="19"/>
  <c r="Z20" i="19"/>
  <c r="AF20" i="19"/>
  <c r="AH30" i="19"/>
  <c r="AH40" i="19"/>
  <c r="P10" i="19"/>
  <c r="AM23" i="1"/>
  <c r="P40" i="19"/>
  <c r="J40" i="19"/>
  <c r="J30" i="19"/>
  <c r="J10" i="19"/>
  <c r="P30" i="19"/>
  <c r="J50" i="19"/>
  <c r="V50" i="19"/>
  <c r="AB50" i="19"/>
  <c r="V40" i="19"/>
  <c r="J20" i="19"/>
  <c r="N50" i="19"/>
  <c r="T50" i="19"/>
  <c r="T10" i="19"/>
  <c r="N40" i="19"/>
  <c r="V30" i="19"/>
  <c r="AC43" i="19"/>
  <c r="Q53" i="19"/>
  <c r="AI33" i="19"/>
  <c r="AI23" i="19"/>
  <c r="AI13" i="19"/>
  <c r="W23" i="19"/>
  <c r="W13" i="19"/>
  <c r="Q33" i="19"/>
  <c r="K13" i="19"/>
  <c r="N10" i="19"/>
  <c r="N30" i="19"/>
  <c r="T20" i="19"/>
  <c r="N20" i="19"/>
  <c r="Z40" i="19"/>
  <c r="T42" i="18"/>
  <c r="N18" i="18"/>
  <c r="AF34" i="18"/>
  <c r="N26" i="18"/>
  <c r="AL42" i="18"/>
  <c r="N10" i="18"/>
  <c r="AF26" i="18"/>
  <c r="N34" i="18"/>
  <c r="Z34" i="18"/>
  <c r="AF18" i="18"/>
  <c r="T34" i="18"/>
  <c r="Z10" i="18"/>
  <c r="Z18" i="18"/>
  <c r="T18" i="18"/>
  <c r="Z42" i="18"/>
  <c r="AL10" i="18"/>
  <c r="Q47" i="1"/>
  <c r="N42" i="18"/>
  <c r="AL34" i="18"/>
  <c r="T26" i="18"/>
  <c r="AF42" i="18"/>
  <c r="Z26" i="18"/>
  <c r="T10" i="18"/>
  <c r="AF10" i="18"/>
  <c r="R47" i="1"/>
  <c r="AL18" i="18"/>
  <c r="AL26" i="18"/>
  <c r="AD34" i="18"/>
  <c r="X42" i="18"/>
  <c r="L18" i="18"/>
  <c r="X34" i="18"/>
  <c r="X26" i="18"/>
  <c r="L34" i="18"/>
  <c r="L10" i="18"/>
  <c r="R41" i="1"/>
  <c r="AD18" i="18"/>
  <c r="R18" i="18"/>
  <c r="AD10" i="18"/>
  <c r="AJ18" i="18"/>
  <c r="AJ42" i="18"/>
  <c r="AJ26" i="18"/>
  <c r="AJ34" i="18"/>
  <c r="X10" i="18"/>
  <c r="L42" i="18"/>
  <c r="R10" i="18"/>
  <c r="L26" i="18"/>
  <c r="R34" i="18"/>
  <c r="AJ10" i="18"/>
  <c r="AD26" i="18"/>
  <c r="AD42" i="18"/>
  <c r="R26" i="18"/>
  <c r="R42" i="18"/>
  <c r="Q41" i="1"/>
  <c r="X18" i="18"/>
  <c r="T22" i="18"/>
  <c r="Z30" i="18"/>
  <c r="AL38" i="18"/>
  <c r="AF14" i="18"/>
  <c r="N38" i="18"/>
  <c r="Z14" i="18"/>
  <c r="AL22" i="18"/>
  <c r="N22" i="18"/>
  <c r="AL6" i="18"/>
  <c r="AF30" i="18"/>
  <c r="AL30" i="18"/>
  <c r="N6" i="18"/>
  <c r="AL14" i="18"/>
  <c r="N14" i="18"/>
  <c r="AF22" i="18"/>
  <c r="AF6" i="18"/>
  <c r="Z38" i="18"/>
  <c r="T6" i="18"/>
  <c r="R16" i="1"/>
  <c r="T14" i="18"/>
  <c r="Q16" i="1"/>
  <c r="AL16" i="1" s="1"/>
  <c r="AK16" i="1" s="1"/>
  <c r="AM16" i="1" s="1"/>
  <c r="N30" i="18"/>
  <c r="Z22" i="18"/>
  <c r="Z6" i="18"/>
  <c r="T30" i="18"/>
  <c r="AF38" i="18"/>
  <c r="T38" i="18"/>
  <c r="AB20" i="18"/>
  <c r="J20" i="18"/>
  <c r="P36" i="18"/>
  <c r="AH36" i="18"/>
  <c r="AH12" i="18"/>
  <c r="AH28" i="18"/>
  <c r="V44" i="18"/>
  <c r="P12" i="18"/>
  <c r="P28" i="18"/>
  <c r="P44" i="18"/>
  <c r="V28" i="18"/>
  <c r="J44" i="18"/>
  <c r="V36" i="18"/>
  <c r="AH44" i="18"/>
  <c r="J28" i="18"/>
  <c r="J36" i="18"/>
  <c r="AH20" i="18"/>
  <c r="AB28" i="18"/>
  <c r="J12" i="18"/>
  <c r="V20" i="18"/>
  <c r="P20" i="18"/>
  <c r="AB36" i="18"/>
  <c r="AB44" i="18"/>
  <c r="R53" i="1"/>
  <c r="Q53" i="1"/>
  <c r="V12" i="18"/>
  <c r="AB12" i="18"/>
  <c r="AB40" i="18"/>
  <c r="V16" i="18"/>
  <c r="J8" i="18"/>
  <c r="V8" i="18"/>
  <c r="J40" i="18"/>
  <c r="AB8" i="18"/>
  <c r="AH16" i="18"/>
  <c r="J16" i="18"/>
  <c r="P40" i="18"/>
  <c r="J32" i="18"/>
  <c r="AH8" i="18"/>
  <c r="AH32" i="18"/>
  <c r="J24" i="18"/>
  <c r="AH40" i="18"/>
  <c r="AB16" i="18"/>
  <c r="P16" i="18"/>
  <c r="P32" i="18"/>
  <c r="AB24" i="18"/>
  <c r="V24" i="18"/>
  <c r="R17" i="1"/>
  <c r="V40" i="18"/>
  <c r="P8" i="18"/>
  <c r="AH24" i="18"/>
  <c r="P24" i="18"/>
  <c r="AB32" i="18"/>
  <c r="V32" i="18"/>
  <c r="Q17" i="1"/>
  <c r="L8" i="18"/>
  <c r="AJ8" i="18"/>
  <c r="AJ40" i="18"/>
  <c r="AD16" i="18"/>
  <c r="R23" i="1"/>
  <c r="AJ24" i="18"/>
  <c r="AD24" i="18"/>
  <c r="R40" i="18"/>
  <c r="AD8" i="18"/>
  <c r="L16" i="18"/>
  <c r="R32" i="18"/>
  <c r="AJ32" i="18"/>
  <c r="L32" i="18"/>
  <c r="Q23" i="1"/>
  <c r="L24" i="18"/>
  <c r="R16" i="18"/>
  <c r="X16" i="18"/>
  <c r="AD40" i="18"/>
  <c r="X8" i="18"/>
  <c r="AJ16" i="18"/>
  <c r="R8" i="18"/>
  <c r="X24" i="18"/>
  <c r="X32" i="18"/>
  <c r="R24" i="18"/>
  <c r="X40" i="18"/>
  <c r="L40" i="18"/>
  <c r="AD32" i="18"/>
  <c r="AL40" i="18"/>
  <c r="T8" i="18"/>
  <c r="N40" i="18"/>
  <c r="AF24" i="18"/>
  <c r="T16" i="18"/>
  <c r="AL16" i="18"/>
  <c r="N24" i="18"/>
  <c r="T24" i="18"/>
  <c r="AF32" i="18"/>
  <c r="Z24" i="18"/>
  <c r="AF40" i="18"/>
  <c r="N8" i="18"/>
  <c r="N32" i="18"/>
  <c r="Z16" i="18"/>
  <c r="Z40" i="18"/>
  <c r="Q29" i="1"/>
  <c r="AF16" i="18"/>
  <c r="AL8" i="18"/>
  <c r="AL32" i="18"/>
  <c r="Z8" i="18"/>
  <c r="AF8" i="18"/>
  <c r="Z32" i="18"/>
  <c r="N16" i="18"/>
  <c r="R29" i="1"/>
  <c r="T32" i="18"/>
  <c r="AL24" i="18"/>
  <c r="T40" i="18"/>
  <c r="R30" i="18"/>
  <c r="AD14" i="18"/>
  <c r="R38" i="18"/>
  <c r="AD30" i="18"/>
  <c r="R14" i="1"/>
  <c r="L14" i="18"/>
  <c r="AJ30" i="18"/>
  <c r="X22" i="18"/>
  <c r="AD22" i="18"/>
  <c r="AJ14" i="18"/>
  <c r="AJ38" i="18"/>
  <c r="L22" i="18"/>
  <c r="R6" i="18"/>
  <c r="AJ22" i="18"/>
  <c r="X14" i="18"/>
  <c r="R22" i="18"/>
  <c r="X6" i="18"/>
  <c r="Q14" i="1"/>
  <c r="AD38" i="18"/>
  <c r="AD6" i="18"/>
  <c r="L38" i="18"/>
  <c r="AJ6" i="18"/>
  <c r="X38" i="18"/>
  <c r="L6" i="18"/>
  <c r="L30" i="18"/>
  <c r="X30" i="18"/>
  <c r="R14" i="18"/>
  <c r="P26" i="18"/>
  <c r="V18" i="18"/>
  <c r="AH42" i="18"/>
  <c r="AH10" i="18"/>
  <c r="AH18" i="18"/>
  <c r="P42" i="18"/>
  <c r="AH26" i="18"/>
  <c r="P34" i="18"/>
  <c r="J26" i="18"/>
  <c r="AB10" i="18"/>
  <c r="V10" i="18"/>
  <c r="AB26" i="18"/>
  <c r="V34" i="18"/>
  <c r="J42" i="18"/>
  <c r="AB18" i="18"/>
  <c r="AB34" i="18"/>
  <c r="P10" i="18"/>
  <c r="J10" i="18"/>
  <c r="J18" i="18"/>
  <c r="Q35" i="1"/>
  <c r="P18" i="18"/>
  <c r="J34" i="18"/>
  <c r="V42" i="18"/>
  <c r="AB42" i="18"/>
  <c r="R35" i="1"/>
  <c r="V26" i="18"/>
  <c r="AH34" i="18"/>
  <c r="Q11" i="1"/>
  <c r="J30" i="18"/>
  <c r="J22" i="18"/>
  <c r="J38" i="18"/>
  <c r="P14" i="18"/>
  <c r="V6" i="18"/>
  <c r="AB14" i="18"/>
  <c r="V14" i="18"/>
  <c r="V38" i="18"/>
  <c r="AB22" i="18"/>
  <c r="AB6" i="18"/>
  <c r="AH22" i="18"/>
  <c r="AB30" i="18"/>
  <c r="AH30" i="18"/>
  <c r="P38" i="18"/>
  <c r="V30" i="18"/>
  <c r="AH14" i="18"/>
  <c r="V22" i="18"/>
  <c r="P6" i="18"/>
  <c r="P30" i="18"/>
  <c r="AH38" i="18"/>
  <c r="J6" i="18"/>
  <c r="J14" i="18"/>
  <c r="R11" i="1"/>
  <c r="AH6" i="18"/>
  <c r="AB38" i="18"/>
  <c r="P22" i="18"/>
  <c r="AI50" i="19"/>
  <c r="AM24" i="1"/>
  <c r="Q20" i="19"/>
  <c r="AC20" i="19"/>
  <c r="Q30" i="19"/>
  <c r="AI10" i="19"/>
  <c r="Q50" i="19"/>
  <c r="AC30" i="19"/>
  <c r="W10" i="19"/>
  <c r="W40" i="19"/>
  <c r="W50" i="19"/>
  <c r="AC50" i="19"/>
  <c r="K40" i="19"/>
  <c r="K10" i="19"/>
  <c r="AI20" i="19"/>
  <c r="K20" i="19"/>
  <c r="AI30" i="19"/>
  <c r="Q10" i="19"/>
  <c r="Q40" i="19"/>
  <c r="AC10" i="19"/>
  <c r="AC40" i="19"/>
  <c r="W20" i="19"/>
  <c r="K30" i="19"/>
  <c r="AI40" i="19"/>
  <c r="W30" i="19"/>
  <c r="K50" i="19"/>
  <c r="V32" i="19"/>
  <c r="J12" i="19"/>
  <c r="AB52" i="19"/>
  <c r="J22" i="19"/>
  <c r="J52" i="19"/>
  <c r="J42" i="19"/>
  <c r="P32" i="19"/>
  <c r="AH32" i="19"/>
  <c r="AB42" i="19"/>
  <c r="V12" i="19"/>
  <c r="AB22" i="19"/>
  <c r="AH22" i="19"/>
  <c r="P12" i="19"/>
  <c r="P42" i="19"/>
  <c r="AM35" i="1"/>
  <c r="AH12" i="19"/>
  <c r="AB12" i="19"/>
  <c r="V42" i="19"/>
  <c r="AH52" i="19"/>
  <c r="P52" i="19"/>
  <c r="V22" i="19"/>
  <c r="AB32" i="19"/>
  <c r="P22" i="19"/>
  <c r="J32" i="19"/>
  <c r="AH42" i="19"/>
  <c r="V52" i="19"/>
  <c r="M55" i="19"/>
  <c r="Y35" i="19"/>
  <c r="S35" i="19"/>
  <c r="AK45" i="19"/>
  <c r="S25" i="19"/>
  <c r="Y45" i="19"/>
  <c r="S15" i="19"/>
  <c r="S55" i="19"/>
  <c r="M35" i="19"/>
  <c r="AK25" i="19"/>
  <c r="AE25" i="19"/>
  <c r="AE45" i="19"/>
  <c r="Y25" i="19"/>
  <c r="AM56" i="1"/>
  <c r="S45" i="19"/>
  <c r="Y15" i="19"/>
  <c r="M45" i="19"/>
  <c r="AE15" i="19"/>
  <c r="Y55" i="19"/>
  <c r="AK15" i="19"/>
  <c r="M25" i="19"/>
  <c r="M15" i="19"/>
  <c r="AE55" i="19"/>
  <c r="AK35" i="19"/>
  <c r="AE35" i="19"/>
  <c r="AK55" i="19"/>
  <c r="AI12" i="1"/>
  <c r="AJ12" i="1"/>
  <c r="AJ42" i="19"/>
  <c r="X32" i="19"/>
  <c r="AD12" i="19"/>
  <c r="AJ32" i="19"/>
  <c r="X42" i="19"/>
  <c r="R22" i="19"/>
  <c r="R42" i="19"/>
  <c r="AJ52" i="19"/>
  <c r="L12" i="19"/>
  <c r="AD42" i="19"/>
  <c r="R52" i="19"/>
  <c r="L22" i="19"/>
  <c r="AD32" i="19"/>
  <c r="L42" i="19"/>
  <c r="R12" i="19"/>
  <c r="AJ22" i="19"/>
  <c r="AD52" i="19"/>
  <c r="L52" i="19"/>
  <c r="R32" i="19"/>
  <c r="AD22" i="19"/>
  <c r="L32" i="19"/>
  <c r="X12" i="19"/>
  <c r="AJ12" i="19"/>
  <c r="X22" i="19"/>
  <c r="AM37" i="1"/>
  <c r="X52" i="19"/>
  <c r="AB45" i="19"/>
  <c r="P15" i="19"/>
  <c r="AH45" i="19"/>
  <c r="V35" i="19"/>
  <c r="AB25" i="19"/>
  <c r="P25" i="19"/>
  <c r="V25" i="19"/>
  <c r="AH25" i="19"/>
  <c r="P45" i="19"/>
  <c r="J25" i="19"/>
  <c r="J55" i="19"/>
  <c r="AH35" i="19"/>
  <c r="P35" i="19"/>
  <c r="V45" i="19"/>
  <c r="AH55" i="19"/>
  <c r="V15" i="19"/>
  <c r="AB35" i="19"/>
  <c r="AB55" i="19"/>
  <c r="P55" i="19"/>
  <c r="V55" i="19"/>
  <c r="J15" i="19"/>
  <c r="AB15" i="19"/>
  <c r="J35" i="19"/>
  <c r="AH15" i="19"/>
  <c r="AM53" i="1"/>
  <c r="J45" i="19"/>
  <c r="AJ13" i="1"/>
  <c r="AI13" i="1"/>
  <c r="J31" i="19"/>
  <c r="V51" i="19"/>
  <c r="P41" i="19"/>
  <c r="J41" i="19"/>
  <c r="P31" i="19"/>
  <c r="AH41" i="19"/>
  <c r="AB51" i="19"/>
  <c r="AH21" i="19"/>
  <c r="AH31" i="19"/>
  <c r="AH11" i="19"/>
  <c r="AB21" i="19"/>
  <c r="AB31" i="19"/>
  <c r="V21" i="19"/>
  <c r="P21" i="19"/>
  <c r="J11" i="19"/>
  <c r="AB11" i="19"/>
  <c r="V11" i="19"/>
  <c r="AB41" i="19"/>
  <c r="J21" i="19"/>
  <c r="V41" i="19"/>
  <c r="P51" i="19"/>
  <c r="J51" i="19"/>
  <c r="P11" i="19"/>
  <c r="AM29" i="1"/>
  <c r="V31" i="19"/>
  <c r="AH51" i="19"/>
  <c r="W11" i="19"/>
  <c r="W21" i="19"/>
  <c r="AI51" i="19"/>
  <c r="K41" i="19"/>
  <c r="AC41" i="19"/>
  <c r="K31" i="19"/>
  <c r="Q21" i="19"/>
  <c r="AI21" i="19"/>
  <c r="K21" i="19"/>
  <c r="Q41" i="19"/>
  <c r="AC31" i="19"/>
  <c r="W31" i="19"/>
  <c r="AM30" i="1"/>
  <c r="Q51" i="19"/>
  <c r="W41" i="19"/>
  <c r="AC21" i="19"/>
  <c r="Q31" i="19"/>
  <c r="AI31" i="19"/>
  <c r="AC51" i="19"/>
  <c r="AI41" i="19"/>
  <c r="AC11" i="19"/>
  <c r="AI11" i="19"/>
  <c r="W51" i="19"/>
  <c r="K51" i="19"/>
  <c r="K11" i="19"/>
  <c r="Q11" i="19"/>
  <c r="AC25" i="19"/>
  <c r="AC35" i="19"/>
  <c r="W25" i="19"/>
  <c r="Q35" i="19"/>
  <c r="K25" i="19"/>
  <c r="AM54" i="1"/>
  <c r="AI15" i="19"/>
  <c r="Q25" i="19"/>
  <c r="Q55" i="19"/>
  <c r="K45" i="19"/>
  <c r="K55" i="19"/>
  <c r="AI35" i="19"/>
  <c r="AC55" i="19"/>
  <c r="AC45" i="19"/>
  <c r="Q45" i="19"/>
  <c r="W35" i="19"/>
  <c r="W15" i="19"/>
  <c r="AC15" i="19"/>
  <c r="K35" i="19"/>
  <c r="W45" i="19"/>
  <c r="Q15" i="19"/>
  <c r="AI25" i="19"/>
  <c r="K15" i="19"/>
  <c r="W55" i="19"/>
  <c r="AI55" i="19"/>
  <c r="V38" i="19" l="1"/>
  <c r="J48" i="19"/>
  <c r="V48" i="19"/>
  <c r="AB48" i="19"/>
  <c r="AH8" i="19"/>
  <c r="AB38" i="19"/>
  <c r="P48" i="19"/>
  <c r="AH18" i="19"/>
  <c r="AB8" i="19"/>
  <c r="P18" i="19"/>
  <c r="V18" i="19"/>
  <c r="J8" i="19"/>
  <c r="P38" i="19"/>
  <c r="AB28" i="19"/>
  <c r="J38" i="19"/>
  <c r="V8" i="19"/>
  <c r="P28" i="19"/>
  <c r="V28" i="19"/>
  <c r="J28" i="19"/>
  <c r="P8" i="19"/>
  <c r="AH28" i="19"/>
  <c r="AH48" i="19"/>
  <c r="J18" i="19"/>
  <c r="AB18" i="19"/>
  <c r="AH38" i="19"/>
  <c r="AL12" i="1"/>
  <c r="AL11" i="1"/>
  <c r="AK11" i="1" s="1"/>
  <c r="AL15" i="1"/>
  <c r="AK15" i="1" s="1"/>
  <c r="AL14" i="1"/>
  <c r="AK14" i="1" s="1"/>
  <c r="V27" i="19" l="1"/>
  <c r="J17" i="19"/>
  <c r="AB37" i="19"/>
  <c r="P27" i="19"/>
  <c r="AH47" i="19"/>
  <c r="V37" i="19"/>
  <c r="AB47" i="19"/>
  <c r="AB27" i="19"/>
  <c r="AH37" i="19"/>
  <c r="J7" i="19"/>
  <c r="V47" i="19"/>
  <c r="AH17" i="19"/>
  <c r="P37" i="19"/>
  <c r="P47" i="19"/>
  <c r="J37" i="19"/>
  <c r="V7" i="19"/>
  <c r="P17" i="19"/>
  <c r="AB17" i="19"/>
  <c r="P7" i="19"/>
  <c r="J47" i="19"/>
  <c r="AM14" i="1"/>
  <c r="V17" i="19"/>
  <c r="AH27" i="19"/>
  <c r="AB7" i="19"/>
  <c r="AH7" i="19"/>
  <c r="J27" i="19"/>
  <c r="P6" i="19"/>
  <c r="AB46" i="19"/>
  <c r="AB16" i="19"/>
  <c r="AH36" i="19"/>
  <c r="AM11" i="1"/>
  <c r="AB6" i="19"/>
  <c r="J46" i="19"/>
  <c r="AH6" i="19"/>
  <c r="J6" i="19"/>
  <c r="AH26" i="19"/>
  <c r="P26" i="19"/>
  <c r="AH16" i="19"/>
  <c r="P36" i="19"/>
  <c r="V46" i="19"/>
  <c r="P46" i="19"/>
  <c r="J16" i="19"/>
  <c r="V16" i="19"/>
  <c r="V6" i="19"/>
  <c r="J36" i="19"/>
  <c r="P16" i="19"/>
  <c r="AH46" i="19"/>
  <c r="AB26" i="19"/>
  <c r="V26" i="19"/>
  <c r="V36" i="19"/>
  <c r="AB36" i="19"/>
  <c r="J26" i="19"/>
  <c r="W37" i="19"/>
  <c r="Q47" i="19"/>
  <c r="AI47" i="19"/>
  <c r="AC37" i="19"/>
  <c r="K37" i="19"/>
  <c r="AI27" i="19"/>
  <c r="K7" i="19"/>
  <c r="K47" i="19"/>
  <c r="AC17" i="19"/>
  <c r="K17" i="19"/>
  <c r="AI37" i="19"/>
  <c r="AI7" i="19"/>
  <c r="AC7" i="19"/>
  <c r="W17" i="19"/>
  <c r="AI17" i="19"/>
  <c r="AC27" i="19"/>
  <c r="AM15" i="1"/>
  <c r="W47" i="19"/>
  <c r="K27" i="19"/>
  <c r="W27" i="19"/>
  <c r="AC47" i="19"/>
  <c r="Q37" i="19"/>
  <c r="W7" i="19"/>
  <c r="Q7" i="19"/>
  <c r="Q27" i="19"/>
  <c r="Q17" i="19"/>
  <c r="AL13" i="1"/>
  <c r="AK13" i="1" s="1"/>
  <c r="AK12" i="1"/>
  <c r="W26" i="19" l="1"/>
  <c r="K26" i="19"/>
  <c r="W46" i="19"/>
  <c r="AI6" i="19"/>
  <c r="Q36" i="19"/>
  <c r="K36" i="19"/>
  <c r="AC6" i="19"/>
  <c r="AC36" i="19"/>
  <c r="K46" i="19"/>
  <c r="Q26" i="19"/>
  <c r="Q46" i="19"/>
  <c r="AC26" i="19"/>
  <c r="AC16" i="19"/>
  <c r="AI16" i="19"/>
  <c r="W6" i="19"/>
  <c r="AI36" i="19"/>
  <c r="AM12" i="1"/>
  <c r="Q6" i="19"/>
  <c r="K6" i="19"/>
  <c r="Q16" i="19"/>
  <c r="AI46" i="19"/>
  <c r="W16" i="19"/>
  <c r="AI26" i="19"/>
  <c r="W36" i="19"/>
  <c r="K16" i="19"/>
  <c r="AC46" i="19"/>
  <c r="L36" i="19"/>
  <c r="AJ6" i="19"/>
  <c r="X26" i="19"/>
  <c r="AD46" i="19"/>
  <c r="X46" i="19"/>
  <c r="R36" i="19"/>
  <c r="L26" i="19"/>
  <c r="AJ26" i="19"/>
  <c r="R46" i="19"/>
  <c r="R26" i="19"/>
  <c r="L46" i="19"/>
  <c r="AD6" i="19"/>
  <c r="AD36" i="19"/>
  <c r="X6" i="19"/>
  <c r="L16" i="19"/>
  <c r="L6" i="19"/>
  <c r="R6" i="19"/>
  <c r="AJ16" i="19"/>
  <c r="AD16" i="19"/>
  <c r="AJ46" i="19"/>
  <c r="X36" i="19"/>
  <c r="AM13" i="1"/>
  <c r="R16" i="19"/>
  <c r="AD26" i="19"/>
  <c r="X16" i="19"/>
  <c r="AJ36"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<sst xmlns="http://schemas.openxmlformats.org/spreadsheetml/2006/main" count="473" uniqueCount="317">
  <si>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</si>
  <si>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</si>
  <si>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</si>
  <si>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</si>
  <si>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</si>
  <si>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</si>
  <si>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</si>
  <si>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</si>
  <si>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</si>
  <si>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</si>
  <si>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</si>
  <si>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</si>
  <si>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</si>
  <si>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</si>
  <si>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</si>
  <si>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</si>
  <si>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</si>
  <si>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</si>
  <si>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</si>
  <si>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</si>
  <si>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</si>
  <si>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</si>
  <si>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</si>
  <si>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</si>
  <si>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</si>
  <si>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</si>
  <si>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</si>
  <si>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</si>
  <si>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</si>
  <si>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</si>
  <si>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</si>
  <si>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</si>
  <si>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</si>
  <si>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</si>
  <si>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</si>
  <si>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</si>
  <si>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</si>
  <si>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</si>
  <si>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</si>
  <si>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</si>
  <si>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</si>
  <si>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</si>
  <si>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</si>
  <si>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</si>
  <si>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</si>
  <si>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</si>
  <si>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</si>
  <si>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</si>
  <si>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</si>
  <si>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</si>
  <si>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</si>
  <si>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</si>
  <si>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</si>
  <si>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</si>
  <si>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</si>
  <si>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</si>
  <si>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</si>
  <si>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</si>
  <si>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</si>
  <si>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</si>
  <si>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t>SISTEMA INTEGRADO DE GESTIÓN
PLANEACIÓN ESTRATEGICA
MAPA DE RIESGOS y OPORTUNIDADES POR PROCESOS</t>
  </si>
  <si>
    <r>
      <rPr>
        <b/>
        <sz val="14"/>
        <color theme="1"/>
        <rFont val="Arial Narrow"/>
        <family val="2"/>
      </rPr>
      <t xml:space="preserve">CODIGO: </t>
    </r>
    <r>
      <rPr>
        <sz val="14"/>
        <color theme="1"/>
        <rFont val="Arial Narrow"/>
        <family val="2"/>
      </rPr>
      <t>PCE-01-F-02</t>
    </r>
  </si>
  <si>
    <r>
      <t xml:space="preserve">versión: </t>
    </r>
    <r>
      <rPr>
        <sz val="14"/>
        <color theme="1"/>
        <rFont val="Arial Narrow"/>
        <family val="2"/>
      </rPr>
      <t>4.0</t>
    </r>
  </si>
  <si>
    <t>Proceso:</t>
  </si>
  <si>
    <t xml:space="preserve"> Gestión y mejora del Sistema Integrado de Gestión.</t>
  </si>
  <si>
    <t>Objetivo:</t>
  </si>
  <si>
    <t>Coordinar que la planeación, documentación, implementación y mejora continua del Sistema Integrado de Gestión sean conformes con las disposiciones de la Corporación Autónoma Regional del Cesar -CORPOCESAR  y con la normatividad vigente.</t>
  </si>
  <si>
    <t>Alcance:</t>
  </si>
  <si>
    <t xml:space="preserve">Inicia con la planificación de acciones de soporte en el marco de la implementación y mejora continua del Sistema Integrado de Gestión de Calidad hasta la toma de acciones definidas dentro del ""Actuar"" del proceso.   
   </t>
  </si>
  <si>
    <t>Identificación del Riesgo y/o Oportunidades</t>
  </si>
  <si>
    <t>Análisis del riesgo inherente</t>
  </si>
  <si>
    <t>Análisis de Oportunidades</t>
  </si>
  <si>
    <t>Evaluación del riesgo - Valoración de los controles</t>
  </si>
  <si>
    <t>Evaluación del riesgo - Nivel del riesgo residual</t>
  </si>
  <si>
    <t>Análisis de Oportunidades con Tratamiento</t>
  </si>
  <si>
    <t>Plan de Acción</t>
  </si>
  <si>
    <t xml:space="preserve">Referencia </t>
  </si>
  <si>
    <t>Contexto Estrategico Interno -Externo- Proceso</t>
  </si>
  <si>
    <t xml:space="preserve">Causa </t>
  </si>
  <si>
    <t>Riesgo</t>
  </si>
  <si>
    <t>Frecuencia con la cual se realiza la actividad</t>
  </si>
  <si>
    <t>Probabilidad Inherente</t>
  </si>
  <si>
    <t>%</t>
  </si>
  <si>
    <t>Criterios de impacto</t>
  </si>
  <si>
    <t>Observación de criterio</t>
  </si>
  <si>
    <t>Impacto 
Inherente</t>
  </si>
  <si>
    <t>Calificación</t>
  </si>
  <si>
    <t>Evaluación</t>
  </si>
  <si>
    <t>No. Control</t>
  </si>
  <si>
    <t>Descripción del Control para Riesgo/Oportunidad</t>
  </si>
  <si>
    <t>Atributos</t>
  </si>
  <si>
    <t>Probabilidad Residual</t>
  </si>
  <si>
    <t>Probabilidad Residual Final</t>
  </si>
  <si>
    <t>Impacto Residual Final</t>
  </si>
  <si>
    <t>Zona de Riesgo Final</t>
  </si>
  <si>
    <t>Responsable</t>
  </si>
  <si>
    <t>Fecha Implementación</t>
  </si>
  <si>
    <t>Fecha Seguimiento</t>
  </si>
  <si>
    <t>Seguimiento</t>
  </si>
  <si>
    <t>Objetivo Estrategico</t>
  </si>
  <si>
    <t>Oportunidad (es)</t>
  </si>
  <si>
    <t>Consecuencia</t>
  </si>
  <si>
    <t>Probabilidad</t>
  </si>
  <si>
    <t>Nivel de la Oportunidad</t>
  </si>
  <si>
    <t>Zona de Oportunidad</t>
  </si>
  <si>
    <t>Tipo</t>
  </si>
  <si>
    <t>Implementación</t>
  </si>
  <si>
    <t>Documentación</t>
  </si>
  <si>
    <t>Frecuencia</t>
  </si>
  <si>
    <t>Evidencia</t>
  </si>
  <si>
    <t>Nivel de la oportunidad</t>
  </si>
  <si>
    <t>Zona de la Oportunidad con Tratamiento</t>
  </si>
  <si>
    <t>Lograr la satisfacción de los diferentes actores sociales involucrados en la ejecución de la misión de la Corporación.
Mejorar continuamente la eficacia, eficiencia y efectividad del Sistema Integrado de Gestión</t>
  </si>
  <si>
    <t>Reputacional</t>
  </si>
  <si>
    <t>POLITICOS</t>
  </si>
  <si>
    <t>Cambios en la normatividad para la implementación de los sistemas</t>
  </si>
  <si>
    <t>Inadecuado mejoramiento continuo del Sistema Integrado de Gestión</t>
  </si>
  <si>
    <t>Posibilidad de no realizar un adecuado mejoramiento continuo por:
-  la no aplicación de nuevas legislaciones adoptadas para la implementacion de los Sistemas Integrados de Gestión.
-  La falta del personal idoneo y suficiente para asegurar la administracion del Sistema Integrado de Gestión
- Los ajustes en la estructura organizacional por parte de la alta direccion.</t>
  </si>
  <si>
    <t>Conservar la Certificación de Calidad ISO 9001</t>
  </si>
  <si>
    <t>Sanciones disciplinarias
Identificacion de no conformidasdes en las auditorias internas .
Inoperancia en los procesos 
Retrasos en el mejoramiento continuo del SIG</t>
  </si>
  <si>
    <t>Usuarios, productos y practicas , organizacionales</t>
  </si>
  <si>
    <t xml:space="preserve">     El riesgo afecta la imagen de la entidad internamente, de conocimiento general, nivel interno, de junta dircetiva y accionistas y/o de provedores</t>
  </si>
  <si>
    <t>Detectivo</t>
  </si>
  <si>
    <t>Manual</t>
  </si>
  <si>
    <t>Documentado</t>
  </si>
  <si>
    <t>Continua</t>
  </si>
  <si>
    <t>Con Registro</t>
  </si>
  <si>
    <t>Reducir (mitigar)</t>
  </si>
  <si>
    <t>Asegurar el recurso humano necesario y/o requerido para la operatividad del 
Sistema Integrado de Gestión
Asegurar el recurso financiero para la ejecución de auditorías externas de certificación, renovación y seguimiento al Sistema de Calidad
Actualizar los Normogramas de los procesos.</t>
  </si>
  <si>
    <t>Subdirección General del Área de Planeacion
Líderes de Procesos.</t>
  </si>
  <si>
    <t>Anual</t>
  </si>
  <si>
    <t>PERSONAL</t>
  </si>
  <si>
    <t>Debilidad en el seguimiento realizado al SIGC
Falta de compromiso de la alta dirección de la entidad, representante de la dirección,  lideres de procesos, funcionarios, contratistas,  en cada uno de sus roles dentro del sistema integrado de gestión</t>
  </si>
  <si>
    <t>Socialización y actualización constante en la normatividad vigente por parte de los responsables de procesos</t>
  </si>
  <si>
    <t>Auditoria interna</t>
  </si>
  <si>
    <t>Correctivo</t>
  </si>
  <si>
    <t xml:space="preserve">Realizar Plan de acción para el proceso Gestión y Mejora del SIG-C y Planeación Estrategica, para apalancar el mejoramiento continuo del Sistema Integrado de Gestión, producto de las no conformidades de la auditoria interna </t>
  </si>
  <si>
    <t>Finalizado</t>
  </si>
  <si>
    <t>ESTRATÉGICO</t>
  </si>
  <si>
    <t xml:space="preserve">Cambios en la estructura organizacional </t>
  </si>
  <si>
    <t>Seguimiento a los indicadores de los procesos</t>
  </si>
  <si>
    <t>Preventivo</t>
  </si>
  <si>
    <t>Desarrollar las actividades necesarias para el cumplimiento de los indicadores de gestión de cada uno de los procesos del Sistema Integrado de Gestión de la Entidad</t>
  </si>
  <si>
    <t xml:space="preserve">todos los procesos </t>
  </si>
  <si>
    <t>anual</t>
  </si>
  <si>
    <t>Finalizada</t>
  </si>
  <si>
    <t>COMUNICACIÓN</t>
  </si>
  <si>
    <t>Falta de conocimiento de los lidreses de los procesos y personal de apoyo, sobre documentos establecidos en el SIGC para cada uno de los procesos</t>
  </si>
  <si>
    <t xml:space="preserve">inadecuado control de la información documentada establecida en el SIGC </t>
  </si>
  <si>
    <t>probabilidad de que los lideres de los procesos o personal de apoyo a los mismos, realiza cambios a la información documentada sin el cumplimiento de lo establecido en el procedimiento o hacer uso de documentos en versiones no vigentes</t>
  </si>
  <si>
    <t>Mayor claridad en la aplicación de los controles y su efectividad para las herramientas de medición y control.</t>
  </si>
  <si>
    <t xml:space="preserve">Debilidad en el control de la información documentada del sistema, generando procedimientos no conformes. </t>
  </si>
  <si>
    <t>Ejecucion y Administracion de procesos</t>
  </si>
  <si>
    <t>Procedimiento establecido para el control de la información documentada.</t>
  </si>
  <si>
    <t>Cumplir con el procedimiento para la aprobación de creación, modificación o eliminación de documentos</t>
  </si>
  <si>
    <t>permanente</t>
  </si>
  <si>
    <t>Para el Riesgo:
Auditoria interna con seguimiento al control de la información documentada.
Para la Oportunidad:
Acompañamiento en el desarrollo y actualización de indicadores.</t>
  </si>
  <si>
    <t>Anualmente se realizan auditoría interna a los procesos para evaluar la gestión de los mismos, por parte de la Oficina de Control Interno de la Corporación.
Adicionalmente, se realizan reuniones con los líderes de procesos con el fin de actualizar y acompañarlos y asesorarlos en el manejo de las herramientas de control (mapas de riesgos y oportunidades, matriz de indicadores, caracterizaciones de procesos, etc.) tal como se puede evidenciar en reunión realizada el 29 de abril de 2025. Soporte: Listados de asistencias y temas tratados y Formatos de Acompañamiento y asesoría.</t>
  </si>
  <si>
    <t>Falta de conocimientos plenos para el registro y la gestión de las salidas no conformes</t>
  </si>
  <si>
    <t>Inadecuada identificación y/o tratamiento de las salidas no conformes de los procesos</t>
  </si>
  <si>
    <t>Este riesgo se puede presentar cuando en los procesos de la entidad se presenten salidas no conformes y estas no sean registradas ni gestionadas por los lideres de los procesos</t>
  </si>
  <si>
    <t xml:space="preserve"> Identificación y análisis de salidas no conformes con mayor claridad en la aplicación de la metodología y entendimiento de los responsables de procesos</t>
  </si>
  <si>
    <t>Limitación en la mejora del Sistema Integrado de Gestion 
 No cumplir con los lineamientos de los estándares definidos en el numeral 8.7 Control de Salidas No Conformes de la norma ISO 9001</t>
  </si>
  <si>
    <t xml:space="preserve">Procedimiento establecido para el tratamiento al producto o servicio no conforme </t>
  </si>
  <si>
    <t>Sin Registro</t>
  </si>
  <si>
    <t xml:space="preserve">Asegurar que se identifiquen y registren las salidas no conformes </t>
  </si>
  <si>
    <t>lideres de los procesos</t>
  </si>
  <si>
    <t>semestrales</t>
  </si>
  <si>
    <t>semestral</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</si>
  <si>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</si>
  <si>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</si>
  <si>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</si>
  <si>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</si>
  <si>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</si>
  <si>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</si>
  <si>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</si>
  <si>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</si>
  <si>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</si>
  <si>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</si>
  <si>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</si>
  <si>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</si>
  <si>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</si>
  <si>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</si>
  <si>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</si>
  <si>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</si>
  <si>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</si>
  <si>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</si>
  <si>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</si>
  <si>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</si>
  <si>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</si>
  <si>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</si>
  <si>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</si>
  <si>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</si>
  <si>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</si>
  <si>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</si>
  <si>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</si>
  <si>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</si>
  <si>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</si>
  <si>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</si>
  <si>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</si>
  <si>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</si>
  <si>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</si>
  <si>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</si>
  <si>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</si>
  <si>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</si>
  <si>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</si>
  <si>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</si>
  <si>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</si>
  <si>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</si>
  <si>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</si>
  <si>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</si>
  <si>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</si>
  <si>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</si>
  <si>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</si>
  <si>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</si>
  <si>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</si>
  <si>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</si>
  <si>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</si>
  <si>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</si>
  <si>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</si>
  <si>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</si>
  <si>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</si>
  <si>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</si>
  <si>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</si>
  <si>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</si>
  <si>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</si>
  <si>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50 y 100 SMLMV </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</si>
  <si>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</si>
  <si>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</si>
  <si>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</si>
  <si>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</si>
  <si>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</si>
  <si>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</si>
  <si>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</si>
  <si>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</si>
  <si>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</si>
  <si>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</si>
  <si>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</si>
  <si>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</si>
  <si>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</si>
  <si>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</si>
  <si>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</si>
  <si>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</si>
  <si>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</si>
  <si>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</si>
  <si>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</si>
  <si>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</si>
  <si>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</si>
  <si>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</si>
  <si>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</si>
  <si>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</si>
  <si>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</si>
  <si>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</si>
  <si>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</si>
  <si>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</si>
  <si>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</si>
  <si>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</si>
  <si>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</si>
  <si>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</si>
  <si>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</si>
  <si>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CRITERIOS DE EVALUACIÓN DE OPORTUNIDADES DEL SIG</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</si>
  <si>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</si>
  <si>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ALCANCE</t>
  </si>
  <si>
    <t>Esta matriz será aplicable para el análisis de las oportunidades identificadas en la matriz de Contexto Interno y Externo y/o las identificadas en el proceso de autoevaluación y/o auditorías al sistema.</t>
  </si>
  <si>
    <t>TABLA 1: Análisis de Oportunidades</t>
  </si>
  <si>
    <t>CLASIFICACION 
(De acuerdo a la probabilidad y el impacto)</t>
  </si>
  <si>
    <t>Criterio</t>
  </si>
  <si>
    <t>Evaluación (Valor)</t>
  </si>
  <si>
    <t xml:space="preserve">Alto </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</si>
  <si>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</si>
  <si>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≥10</t>
  </si>
  <si>
    <t xml:space="preserve">Medio </t>
  </si>
  <si>
    <t>Oportunidad cuyo aprovechamiento requiere recursos (Talento Humano, logísticos, tecnológicos, económicos), o que puede ameritar una mediana inversión, y afectar de forma importante el presupuesto.</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</si>
  <si>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</si>
  <si>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</si>
  <si>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</si>
  <si>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</si>
  <si>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</si>
  <si>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</si>
  <si>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</si>
  <si>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</si>
  <si>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</si>
  <si>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</si>
  <si>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</si>
  <si>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</si>
  <si>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</si>
  <si>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</si>
  <si>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</si>
  <si>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</si>
  <si>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</si>
  <si>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Aceptar</t>
  </si>
  <si>
    <t>Económico</t>
  </si>
  <si>
    <t>Evitar</t>
  </si>
  <si>
    <t>Reducir (compartir)</t>
  </si>
  <si>
    <t>Económico y Reputacional</t>
  </si>
  <si>
    <t>Plan de accion (solo para la opción reducir)</t>
  </si>
  <si>
    <t>En curso</t>
  </si>
  <si>
    <t>Daños Activos Fisicos</t>
  </si>
  <si>
    <t>Fallas Tecnologicas</t>
  </si>
  <si>
    <t>Fraude Externo</t>
  </si>
  <si>
    <t>Fraude Interno</t>
  </si>
  <si>
    <t>Relaciones Laborales</t>
  </si>
  <si>
    <t>Registro Sustancial</t>
  </si>
  <si>
    <t>Registro Material</t>
  </si>
  <si>
    <t>Sin registro</t>
  </si>
  <si>
    <t>Reducir</t>
  </si>
  <si>
    <t>Durante la vigencia 2025 el proceso no tuvo no conformidades derivadas de auditorías Internas.</t>
  </si>
  <si>
    <t>Subdirección General del Área de Planeación</t>
  </si>
  <si>
    <t xml:space="preserve">Control Interno </t>
  </si>
  <si>
    <t>Programar y ejecutar auditorias en donde se evalue la gestión de información documentada de la entidad</t>
  </si>
  <si>
    <t>Para el Riesgo:
Revisión por la dirección
Para las Oportunidades:
Certificado ISO 9001 e IQNet
Actualizaciones de Normogramas</t>
  </si>
  <si>
    <t>Se tiene contratado un profesional de apoyo a la gestión del Sistema de Calidad con terminación de contrato diciembre de 2025. Contrato No 19-6-0017-0-2025
Se asegura el recurso financiero para la ejecución anual de auditorías externas de certificación, renovación y seguimiento al Sistema de Calidad.
La Auditoría Externa de seguimiento al certificado de calidad ISO 9001 se llevó a cabo el día 16 de junio de 2025. Contrato No 19-6-0128-0-2025 de 23 de abril de 2025.
En los meses de Noviembre y Diciembre de 2025, se proyectó un presupuesto de alrededor de $14 millones para incluir en el plan de adquisiciones de la vigencia 2026, con el fin de contratar la auditoría de seguimiento y además adquirir una capacitación tipo diplomado en temas de actualización de la norma ISO 9001:2026 que impactará la mejora e implementación del Sistema de Calidad de la Corporación.
Se realizan periodicamente actualizaciones a los Normogramas de los procesos, cada tanto se emiten normas o se actualizan las existentes.</t>
  </si>
  <si>
    <t>Durante el mes de Junio de 2025, se llevó a cabo acompañamiento a los líderes de procesos como preparación para afrontar la auditoría externa ICONTEC, en tal acompañamiento se brindó apoyo en el seguimiento a los indicadores de gestión de cada proceso.
-Con Oficio DG-1000-029 de 16 de febrero de 2026 se solicitó a los líderes de procesos la información insumo para Informe Revisión por la Dirección a corte 31 diciembre 2025, en el que se incluía la solicitud de seguimiento a los indicadores de procesos.</t>
  </si>
  <si>
    <t>Cada tanto se presentan solicitudes de creación, modificación de documentos, se atienden, revisan y aprueban en el Sistema de Calidad.
Durante el cuarto trimestre de la vigencia 2025, se atendieron las Solicitudes de Creación, Modificación de documentos dentro del Sistema de Gestión de Calidad:
-PCA-03-MA-01 MANUAL DE CONTRATACIÓN Y SUPERVISIÓN E INTERVENTORIA _V_3.0_Oct 2025
-PCA-03-F-39 FORMATO ACTA DE CONCERTACIÓN CON BENEFICIARIOS DEL PROYECTO_V1.0_
-PCA-05-F-26 FORMATO JUSTIFICACIÓN PARA LA CONSTITUCIÓN DE RESERVAS PRESUPUESTALES_V1_06_11_2025
-PCA-05-F-27 RELACIÓN RESERVAS PRESUPUESTALES POR NÚMERO DE CONTRATO - CIFRAS EN $ CORRIENTES_V1_06_11_2025
-PCA-05-P-18_ Procedimiento para la Constitución de Reservas Presupuestales_V1_06_11_2025
-PCM-01-F-121 Planilla Registro Planificación y Seguimiento a Trámites Ambientales_V1.0_25_11_2025 dentro de la documentación del Sistema Integrado de Gestión de Calidad
-PCEV-01-P-01 Procedimiento Auditoría Interna V10_01_12_2025 ajuste realizado por la necesidad de Laboratorio Ambiental de incluir formatos en el procedimiento en cumplimiento de requisitos de la norma y auditoria IDEAM.
-Formato de AUTODECLARACIÓN Y REGISTRO DE VERTIMIENTOS codificado como PCM-01-F-08 en el Sistema Integrado de Gestión de Calidad, el mismo fue aprobado bajo la versión 4.0 de fecha 10 de diciembre de 2025.</t>
  </si>
  <si>
    <t>Se vienen registrando y dándole seguimiento a las salidas no conformes a través de planes de acción y/o mejoramiento.
Un ejemplo de esto durante la vigencia 2025, es: En el marco de la No Conformidad detectada en auditoría externa de certificación, se atendió la salida no conforme de Laboratorio Ambiental en la que se informa mediante comunicación que el día 29 de enero de 2026, se ejecutaron actividades de mantenimiento de la cabina de extracción ubicada en el Laboratorio Ambiental. Durante la intervención, el experto técnico responsable del mantenimiento indicó que la cabina de extracción se encuentra en buenas condiciones operativas. El motor del sistema de extracción presenta un funcionamiento óptimo, lo cual se evidenció mediante la prueba de validación de la fuerza de extracción de gases, realizada tanto para la operación con un (1) motor como con dos (2) motores.</t>
  </si>
  <si>
    <r>
      <t xml:space="preserve">FECHA: </t>
    </r>
    <r>
      <rPr>
        <sz val="14"/>
        <color theme="1"/>
        <rFont val="Arial Narrow"/>
        <family val="2"/>
      </rPr>
      <t>27/12/2024</t>
    </r>
  </si>
  <si>
    <r>
      <t xml:space="preserve">Fecha Actualización: </t>
    </r>
    <r>
      <rPr>
        <sz val="10"/>
        <color theme="1"/>
        <rFont val="Arial Narrow"/>
        <family val="2"/>
      </rPr>
      <t>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</si>
</sst>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6"/>
      <color theme="1"/>
      <name val="Arial Narrow"/>
      <family val="2"/>
    </font>
    <font>
      <sz val="11"/>
      <color theme="1"/>
      <name val="Arial"/>
      <family val="2"/>
    </font>
    <font>
      <b/>
      <sz val="12"/>
      <color theme="0"/>
      <name val="Arial Narrow"/>
      <family val="2"/>
    </font>
    <font>
      <b/>
      <sz val="12"/>
      <color theme="1"/>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b/>
      <sz val="10"/>
      <color theme="1"/>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8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dashed">
        <color theme="9" tint="-0.24994659260841701"/>
      </left>
      <right/>
      <top style="dashed">
        <color theme="9" tint="-0.24994659260841701"/>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3" fillId="0" borderId="0"/>
  </cellStyleXfs>
  <cellXfs count="50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0" xfId="2" applyFont="1" applyFill="1" applyBorder="1"/>
    <xf numFmtId="0" fontId="50" fillId="3" borderId="51" xfId="2" applyFont="1" applyFill="1" applyBorder="1"/>
    <xf numFmtId="0" fontId="50" fillId="3" borderId="52"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9" fillId="3" borderId="33" xfId="0" applyFont="1" applyFill="1" applyBorder="1" applyAlignment="1">
      <alignment horizontal="justify" vertical="center" wrapText="1" readingOrder="1"/>
    </xf>
    <xf numFmtId="9" fontId="38" fillId="3" borderId="42" xfId="0" applyNumberFormat="1" applyFont="1" applyFill="1" applyBorder="1" applyAlignment="1">
      <alignment horizontal="center" vertical="center" wrapText="1" readingOrder="1"/>
    </xf>
    <xf numFmtId="0" fontId="39" fillId="3" borderId="32" xfId="0" applyFont="1" applyFill="1" applyBorder="1" applyAlignment="1">
      <alignment horizontal="justify" vertical="center" wrapText="1" readingOrder="1"/>
    </xf>
    <xf numFmtId="9" fontId="38" fillId="3" borderId="37" xfId="0" applyNumberFormat="1" applyFont="1" applyFill="1" applyBorder="1" applyAlignment="1">
      <alignment horizontal="center" vertical="center" wrapText="1" readingOrder="1"/>
    </xf>
    <xf numFmtId="0" fontId="39" fillId="3" borderId="37" xfId="0" applyFont="1" applyFill="1" applyBorder="1" applyAlignment="1">
      <alignment horizontal="center" vertical="center" wrapText="1" readingOrder="1"/>
    </xf>
    <xf numFmtId="0" fontId="39" fillId="3" borderId="39" xfId="0" applyFont="1" applyFill="1" applyBorder="1" applyAlignment="1">
      <alignment horizontal="justify" vertical="center" wrapText="1" readingOrder="1"/>
    </xf>
    <xf numFmtId="0" fontId="39" fillId="3" borderId="40"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6" fillId="0" borderId="2" xfId="0" applyFont="1" applyBorder="1" applyAlignment="1" applyProtection="1">
      <alignment horizontal="justify" vertical="top" wrapText="1"/>
      <protection locked="0"/>
    </xf>
    <xf numFmtId="0" fontId="1" fillId="0" borderId="2" xfId="0" applyFont="1" applyBorder="1" applyAlignment="1" applyProtection="1">
      <alignment horizontal="center" vertical="top"/>
      <protection hidden="1"/>
    </xf>
    <xf numFmtId="0" fontId="1" fillId="0" borderId="2" xfId="0" applyFont="1" applyBorder="1" applyAlignment="1" applyProtection="1">
      <alignment horizontal="center" vertical="top" textRotation="90"/>
      <protection locked="0"/>
    </xf>
    <xf numFmtId="9" fontId="1" fillId="0" borderId="2" xfId="0" applyNumberFormat="1" applyFont="1" applyBorder="1" applyAlignment="1" applyProtection="1">
      <alignment horizontal="center" vertical="top"/>
      <protection hidden="1"/>
    </xf>
    <xf numFmtId="164" fontId="1" fillId="0" borderId="2" xfId="1" applyNumberFormat="1" applyFont="1" applyBorder="1" applyAlignment="1">
      <alignment horizontal="center" vertical="top"/>
    </xf>
    <xf numFmtId="0" fontId="4" fillId="0" borderId="2" xfId="0" applyFont="1" applyBorder="1" applyAlignment="1" applyProtection="1">
      <alignment horizontal="center" vertical="top" textRotation="90" wrapText="1"/>
      <protection hidden="1"/>
    </xf>
    <xf numFmtId="9" fontId="1" fillId="0" borderId="4" xfId="0" applyNumberFormat="1" applyFont="1" applyBorder="1" applyAlignment="1" applyProtection="1">
      <alignment horizontal="center" vertical="top"/>
      <protection hidden="1"/>
    </xf>
    <xf numFmtId="0" fontId="4" fillId="0" borderId="2" xfId="0" applyFont="1" applyBorder="1" applyAlignment="1" applyProtection="1">
      <alignment horizontal="center" vertical="top" textRotation="90"/>
      <protection hidden="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0" fontId="1" fillId="0" borderId="2" xfId="0" applyFont="1" applyBorder="1" applyAlignment="1" applyProtection="1">
      <alignment horizontal="justify" vertical="top"/>
      <protection locked="0"/>
    </xf>
    <xf numFmtId="164" fontId="1" fillId="9" borderId="2" xfId="1" applyNumberFormat="1" applyFont="1" applyFill="1" applyBorder="1" applyAlignment="1">
      <alignment horizontal="center" vertical="top"/>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center"/>
    </xf>
    <xf numFmtId="0" fontId="27" fillId="2" borderId="5" xfId="0" applyFont="1" applyFill="1" applyBorder="1" applyAlignment="1">
      <alignment horizontal="center" vertical="top" textRotation="90" wrapText="1"/>
    </xf>
    <xf numFmtId="0" fontId="4" fillId="2" borderId="8" xfId="0" applyFont="1" applyFill="1" applyBorder="1" applyAlignment="1">
      <alignment horizontal="center" vertical="center"/>
    </xf>
    <xf numFmtId="0" fontId="26" fillId="2" borderId="28" xfId="0" applyFont="1" applyFill="1" applyBorder="1" applyAlignment="1">
      <alignment vertical="center"/>
    </xf>
    <xf numFmtId="0" fontId="26" fillId="2" borderId="29" xfId="0" applyFont="1" applyFill="1" applyBorder="1" applyAlignment="1">
      <alignment vertical="center"/>
    </xf>
    <xf numFmtId="0" fontId="26" fillId="2" borderId="3" xfId="0" applyFont="1" applyFill="1" applyBorder="1" applyAlignment="1">
      <alignment vertical="center"/>
    </xf>
    <xf numFmtId="0" fontId="26" fillId="2" borderId="0" xfId="0" applyFont="1" applyFill="1" applyAlignment="1">
      <alignment vertical="center"/>
    </xf>
    <xf numFmtId="0" fontId="1" fillId="0" borderId="2" xfId="0" applyFont="1" applyBorder="1" applyAlignment="1" applyProtection="1">
      <alignment horizontal="justify" vertical="center" wrapText="1"/>
      <protection locked="0"/>
    </xf>
    <xf numFmtId="0" fontId="1"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2" fillId="0" borderId="8" xfId="0" applyFont="1" applyBorder="1" applyAlignment="1" applyProtection="1">
      <alignment vertical="center" wrapText="1"/>
      <protection locked="0"/>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4" fillId="2" borderId="31" xfId="0" applyFont="1" applyFill="1" applyBorder="1" applyAlignment="1">
      <alignment horizontal="center" vertical="center" textRotation="90" wrapText="1"/>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center" textRotation="90"/>
      <protection hidden="1"/>
    </xf>
    <xf numFmtId="14" fontId="1" fillId="0" borderId="2" xfId="0" applyNumberFormat="1" applyFont="1" applyBorder="1" applyAlignment="1" applyProtection="1">
      <alignment horizontal="center" vertical="center"/>
      <protection locked="0"/>
    </xf>
    <xf numFmtId="0" fontId="26" fillId="2" borderId="28" xfId="0" applyFont="1" applyFill="1" applyBorder="1" applyAlignment="1">
      <alignment horizontal="center" vertical="center"/>
    </xf>
    <xf numFmtId="0" fontId="26" fillId="2" borderId="0" xfId="0" applyFont="1" applyFill="1" applyAlignment="1">
      <alignment horizontal="center" vertical="center"/>
    </xf>
    <xf numFmtId="0" fontId="1" fillId="3" borderId="0" xfId="0" applyFont="1" applyFill="1" applyAlignment="1">
      <alignment horizontal="center" vertical="center"/>
    </xf>
    <xf numFmtId="0" fontId="36" fillId="3" borderId="12" xfId="5" applyFont="1" applyFill="1" applyBorder="1" applyAlignment="1">
      <alignment vertical="center"/>
    </xf>
    <xf numFmtId="0" fontId="36" fillId="3" borderId="19" xfId="5" applyFont="1" applyFill="1" applyBorder="1" applyAlignment="1">
      <alignment vertical="center"/>
    </xf>
    <xf numFmtId="0" fontId="60" fillId="3" borderId="13" xfId="5" applyFont="1" applyFill="1" applyBorder="1" applyAlignment="1">
      <alignment vertical="center"/>
    </xf>
    <xf numFmtId="0" fontId="60" fillId="3" borderId="0" xfId="5" applyFont="1" applyFill="1" applyAlignment="1">
      <alignment vertical="center"/>
    </xf>
    <xf numFmtId="0" fontId="61" fillId="3" borderId="14" xfId="5" applyFont="1" applyFill="1" applyBorder="1" applyAlignment="1">
      <alignment vertical="center"/>
    </xf>
    <xf numFmtId="0" fontId="60" fillId="3" borderId="15" xfId="5" applyFont="1" applyFill="1" applyBorder="1" applyAlignment="1">
      <alignment vertical="center"/>
    </xf>
    <xf numFmtId="0" fontId="36" fillId="3" borderId="14" xfId="5" applyFont="1" applyFill="1" applyBorder="1" applyAlignment="1">
      <alignment vertical="center"/>
    </xf>
    <xf numFmtId="0" fontId="64" fillId="3" borderId="0" xfId="6" applyFont="1" applyFill="1" applyAlignment="1">
      <alignment horizontal="center" vertical="center"/>
    </xf>
    <xf numFmtId="0" fontId="65" fillId="3" borderId="0" xfId="6" applyFont="1" applyFill="1" applyAlignment="1">
      <alignment horizontal="center" vertical="center" wrapText="1"/>
    </xf>
    <xf numFmtId="0" fontId="65" fillId="3" borderId="0" xfId="6" applyFont="1" applyFill="1" applyAlignment="1">
      <alignment horizontal="center" vertical="center"/>
    </xf>
    <xf numFmtId="0" fontId="66" fillId="17" borderId="32" xfId="6" applyFont="1" applyFill="1" applyBorder="1" applyAlignment="1">
      <alignment horizontal="center" vertical="center" wrapText="1"/>
    </xf>
    <xf numFmtId="0" fontId="66" fillId="17" borderId="32" xfId="6" applyFont="1" applyFill="1" applyBorder="1" applyAlignment="1">
      <alignment horizontal="center" vertical="center"/>
    </xf>
    <xf numFmtId="0" fontId="66" fillId="9" borderId="32" xfId="6" applyFont="1" applyFill="1" applyBorder="1" applyAlignment="1">
      <alignment horizontal="center" vertical="center"/>
    </xf>
    <xf numFmtId="0" fontId="67" fillId="9" borderId="32" xfId="6" applyFont="1" applyFill="1" applyBorder="1" applyAlignment="1">
      <alignment horizontal="center" vertical="center" wrapText="1"/>
    </xf>
    <xf numFmtId="0" fontId="67" fillId="9" borderId="32" xfId="6" applyFont="1" applyFill="1" applyBorder="1" applyAlignment="1">
      <alignment horizontal="center" vertical="center"/>
    </xf>
    <xf numFmtId="0" fontId="66" fillId="18" borderId="32" xfId="6" applyFont="1" applyFill="1" applyBorder="1" applyAlignment="1">
      <alignment horizontal="center" vertical="center"/>
    </xf>
    <xf numFmtId="0" fontId="67" fillId="18" borderId="32" xfId="6" applyFont="1" applyFill="1" applyBorder="1" applyAlignment="1">
      <alignment horizontal="center" vertical="center" wrapText="1"/>
    </xf>
    <xf numFmtId="0" fontId="66" fillId="5" borderId="32" xfId="6" applyFont="1" applyFill="1" applyBorder="1" applyAlignment="1">
      <alignment horizontal="center" vertical="center"/>
    </xf>
    <xf numFmtId="0" fontId="67" fillId="5" borderId="32"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2" xfId="0" applyFont="1" applyFill="1" applyBorder="1" applyAlignment="1">
      <alignment horizontal="center" vertical="center" wrapText="1"/>
    </xf>
    <xf numFmtId="0" fontId="38" fillId="20" borderId="32" xfId="0" applyFont="1" applyFill="1" applyBorder="1" applyAlignment="1">
      <alignment horizontal="center" vertical="center"/>
    </xf>
    <xf numFmtId="0" fontId="38" fillId="21" borderId="32" xfId="0" applyFont="1" applyFill="1" applyBorder="1" applyAlignment="1">
      <alignment horizontal="center" vertical="center" wrapText="1"/>
    </xf>
    <xf numFmtId="0" fontId="65" fillId="4" borderId="32" xfId="6" applyFont="1" applyFill="1" applyBorder="1" applyAlignment="1">
      <alignment horizontal="center" vertical="center" wrapText="1"/>
    </xf>
    <xf numFmtId="0" fontId="38" fillId="22" borderId="32" xfId="0" applyFont="1" applyFill="1" applyBorder="1" applyAlignment="1">
      <alignment horizontal="center" vertical="center" wrapText="1"/>
    </xf>
    <xf numFmtId="0" fontId="65" fillId="8" borderId="32" xfId="6" applyFont="1" applyFill="1" applyBorder="1" applyAlignment="1">
      <alignment horizontal="center" vertical="center" wrapText="1"/>
    </xf>
    <xf numFmtId="0" fontId="38" fillId="23" borderId="32" xfId="0" applyFont="1" applyFill="1" applyBorder="1" applyAlignment="1">
      <alignment horizontal="center" vertical="center" wrapText="1"/>
    </xf>
    <xf numFmtId="0" fontId="65" fillId="5" borderId="32"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0" fillId="3" borderId="17" xfId="5" applyFont="1" applyFill="1" applyBorder="1" applyAlignment="1">
      <alignment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1" fillId="0" borderId="4" xfId="0" applyFont="1" applyBorder="1" applyAlignment="1">
      <alignment horizontal="center" vertical="center"/>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4" fillId="2" borderId="5" xfId="0" applyFont="1" applyFill="1" applyBorder="1" applyAlignment="1">
      <alignment horizontal="center" vertical="center" wrapText="1"/>
    </xf>
    <xf numFmtId="0" fontId="27" fillId="2" borderId="4" xfId="0" applyFont="1" applyFill="1" applyBorder="1" applyAlignment="1">
      <alignment horizontal="center" vertical="center" textRotation="90"/>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textRotation="90" wrapText="1"/>
    </xf>
    <xf numFmtId="9" fontId="1" fillId="0" borderId="4" xfId="0" applyNumberFormat="1" applyFont="1" applyBorder="1" applyAlignment="1" applyProtection="1">
      <alignment horizontal="center" vertical="top" wrapText="1"/>
      <protection locked="0"/>
    </xf>
    <xf numFmtId="9" fontId="1" fillId="0" borderId="4" xfId="0" applyNumberFormat="1"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38" fillId="15" borderId="4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50" fillId="0" borderId="2" xfId="0" applyFont="1" applyBorder="1" applyAlignment="1" applyProtection="1">
      <alignment horizontal="justify" vertical="center" wrapText="1"/>
      <protection locked="0"/>
    </xf>
    <xf numFmtId="0" fontId="1" fillId="0" borderId="2" xfId="0" applyFont="1" applyBorder="1" applyAlignment="1" applyProtection="1">
      <alignment horizontal="justify" vertical="top" wrapText="1"/>
      <protection locked="0"/>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8" fillId="3" borderId="32" xfId="0" applyFont="1" applyFill="1" applyBorder="1" applyAlignment="1">
      <alignment horizontal="center"/>
    </xf>
    <xf numFmtId="0" fontId="27" fillId="3" borderId="32" xfId="0" applyFont="1" applyFill="1" applyBorder="1" applyAlignment="1">
      <alignment horizontal="center" vertical="center"/>
    </xf>
    <xf numFmtId="0" fontId="68" fillId="3" borderId="32" xfId="0" applyFont="1" applyFill="1" applyBorder="1" applyAlignment="1">
      <alignment horizontal="center"/>
    </xf>
    <xf numFmtId="0" fontId="27" fillId="3" borderId="32" xfId="0" applyFont="1" applyFill="1" applyBorder="1" applyAlignment="1">
      <alignment horizontal="center"/>
    </xf>
    <xf numFmtId="0" fontId="26" fillId="3" borderId="32" xfId="0" applyFont="1" applyFill="1" applyBorder="1" applyAlignment="1">
      <alignment horizontal="center" vertical="center"/>
    </xf>
    <xf numFmtId="0" fontId="59" fillId="0" borderId="32" xfId="0" applyFont="1" applyBorder="1" applyAlignment="1">
      <alignment horizontal="center" vertical="center" wrapText="1"/>
    </xf>
    <xf numFmtId="0" fontId="59" fillId="0" borderId="32"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2" fillId="0" borderId="4"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5" fillId="2" borderId="3" xfId="0" applyFont="1" applyFill="1" applyBorder="1" applyAlignment="1">
      <alignment horizontal="left" vertical="center"/>
    </xf>
    <xf numFmtId="0" fontId="25" fillId="2" borderId="30"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7" fillId="2" borderId="4"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4" fillId="2" borderId="74" xfId="0" applyFont="1" applyFill="1" applyBorder="1" applyAlignment="1">
      <alignment horizontal="center" vertical="center" textRotation="90" wrapText="1"/>
    </xf>
    <xf numFmtId="0" fontId="4" fillId="2" borderId="3" xfId="0" applyFont="1" applyFill="1" applyBorder="1" applyAlignment="1">
      <alignment horizontal="center" vertical="center" textRotation="90" wrapText="1"/>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4" fillId="2" borderId="29"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8" fillId="3" borderId="3" xfId="0" applyFont="1" applyFill="1" applyBorder="1" applyAlignment="1" applyProtection="1">
      <alignment horizontal="left" vertical="center"/>
      <protection locked="0"/>
    </xf>
    <xf numFmtId="0" fontId="8" fillId="3" borderId="30" xfId="0" applyFont="1" applyFill="1" applyBorder="1" applyAlignment="1" applyProtection="1">
      <alignment horizontal="left" vertical="center"/>
      <protection locked="0"/>
    </xf>
    <xf numFmtId="0" fontId="8" fillId="3" borderId="10" xfId="0" applyFont="1" applyFill="1" applyBorder="1" applyAlignment="1" applyProtection="1">
      <alignment horizontal="left" vertical="center"/>
      <protection locked="0"/>
    </xf>
    <xf numFmtId="0" fontId="8" fillId="3" borderId="7" xfId="0" applyFont="1" applyFill="1" applyBorder="1" applyAlignment="1" applyProtection="1">
      <alignment horizontal="left" vertical="center"/>
      <protection locked="0"/>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locked="0"/>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9" fontId="1" fillId="0" borderId="5" xfId="0" applyNumberFormat="1" applyFont="1" applyBorder="1" applyAlignment="1" applyProtection="1">
      <alignment horizontal="center" vertical="top" wrapText="1"/>
      <protection hidden="1"/>
    </xf>
    <xf numFmtId="0" fontId="4" fillId="0" borderId="5" xfId="0" applyFont="1" applyBorder="1" applyAlignment="1" applyProtection="1">
      <alignment horizontal="center" vertical="top" wrapText="1"/>
      <protection hidden="1"/>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0" fontId="4" fillId="0" borderId="5" xfId="0" applyFont="1" applyBorder="1" applyAlignment="1" applyProtection="1">
      <alignment horizontal="center" vertical="top"/>
      <protection hidden="1"/>
    </xf>
    <xf numFmtId="0" fontId="1" fillId="0" borderId="5" xfId="0" applyFont="1" applyBorder="1" applyAlignment="1">
      <alignment horizontal="center" vertical="center"/>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1" fillId="0" borderId="5" xfId="0" applyFont="1" applyBorder="1" applyAlignment="1" applyProtection="1">
      <alignment horizontal="center" vertical="top"/>
      <protection locked="0"/>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3" borderId="0" xfId="0" applyFont="1" applyFill="1" applyAlignment="1">
      <alignment horizontal="left"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75" xfId="0" applyFont="1" applyFill="1" applyBorder="1" applyAlignment="1">
      <alignment horizontal="center" vertical="center" wrapText="1"/>
    </xf>
    <xf numFmtId="0" fontId="4" fillId="2" borderId="76"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75" xfId="0" applyFont="1" applyFill="1" applyBorder="1" applyAlignment="1">
      <alignment horizontal="center" vertical="center"/>
    </xf>
    <xf numFmtId="0" fontId="4" fillId="2" borderId="7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79" xfId="0" applyFont="1" applyFill="1" applyBorder="1" applyAlignment="1">
      <alignment horizontal="center" vertical="center" textRotation="90" wrapText="1"/>
    </xf>
    <xf numFmtId="0" fontId="4" fillId="2" borderId="80" xfId="0" applyFont="1" applyFill="1" applyBorder="1" applyAlignment="1">
      <alignment horizontal="center" vertical="center" textRotation="90" wrapText="1"/>
    </xf>
    <xf numFmtId="0" fontId="4" fillId="2" borderId="3" xfId="0" applyFont="1" applyFill="1" applyBorder="1" applyAlignment="1">
      <alignment horizontal="center" vertical="center" wrapText="1"/>
    </xf>
    <xf numFmtId="0" fontId="51" fillId="14" borderId="47" xfId="2" applyFont="1" applyFill="1" applyBorder="1" applyAlignment="1">
      <alignment horizontal="center" vertical="center" wrapText="1"/>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7"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2" fillId="3" borderId="50" xfId="2" quotePrefix="1" applyFont="1" applyFill="1" applyBorder="1" applyAlignment="1">
      <alignment horizontal="left" vertical="top" wrapText="1"/>
    </xf>
    <xf numFmtId="0" fontId="53"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3" xfId="3" applyFont="1" applyFill="1" applyBorder="1" applyAlignment="1">
      <alignment horizontal="center" vertical="center" wrapText="1"/>
    </xf>
    <xf numFmtId="0" fontId="55" fillId="14" borderId="54" xfId="3" applyFont="1" applyFill="1" applyBorder="1" applyAlignment="1">
      <alignment horizontal="center" vertical="center" wrapText="1"/>
    </xf>
    <xf numFmtId="0" fontId="55" fillId="14" borderId="55" xfId="2" applyFont="1" applyFill="1" applyBorder="1" applyAlignment="1">
      <alignment horizontal="center" vertical="center"/>
    </xf>
    <xf numFmtId="0" fontId="55" fillId="14" borderId="56" xfId="2" applyFont="1" applyFill="1" applyBorder="1" applyAlignment="1">
      <alignment horizontal="center" vertical="center"/>
    </xf>
    <xf numFmtId="0" fontId="2" fillId="3" borderId="67" xfId="2" quotePrefix="1" applyFont="1" applyFill="1" applyBorder="1" applyAlignment="1">
      <alignment horizontal="justify" vertical="center" wrapText="1"/>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55" fillId="3" borderId="57" xfId="3" applyFont="1" applyFill="1" applyBorder="1" applyAlignment="1">
      <alignment horizontal="left" vertical="top" wrapText="1" readingOrder="1"/>
    </xf>
    <xf numFmtId="0" fontId="55" fillId="3" borderId="58" xfId="3" applyFont="1" applyFill="1" applyBorder="1" applyAlignment="1">
      <alignment horizontal="left" vertical="top" wrapText="1" readingOrder="1"/>
    </xf>
    <xf numFmtId="0" fontId="56" fillId="3" borderId="59" xfId="2" applyFont="1" applyFill="1" applyBorder="1" applyAlignment="1">
      <alignment horizontal="justify" vertical="center" wrapText="1"/>
    </xf>
    <xf numFmtId="0" fontId="56" fillId="3" borderId="60" xfId="2" applyFont="1" applyFill="1" applyBorder="1" applyAlignment="1">
      <alignment horizontal="justify" vertical="center" wrapText="1"/>
    </xf>
    <xf numFmtId="0" fontId="55" fillId="3" borderId="61" xfId="0" applyFont="1" applyFill="1" applyBorder="1" applyAlignment="1">
      <alignment horizontal="left" vertical="center" wrapText="1"/>
    </xf>
    <xf numFmtId="0" fontId="55" fillId="3" borderId="62" xfId="0" applyFont="1" applyFill="1" applyBorder="1" applyAlignment="1">
      <alignment horizontal="left" vertical="center" wrapText="1"/>
    </xf>
    <xf numFmtId="0" fontId="56" fillId="3" borderId="63" xfId="2" applyFont="1" applyFill="1" applyBorder="1" applyAlignment="1">
      <alignment horizontal="justify" vertical="center" wrapText="1"/>
    </xf>
    <xf numFmtId="0" fontId="56" fillId="3" borderId="64"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0" xfId="0" applyFont="1" applyFill="1" applyBorder="1" applyAlignment="1">
      <alignment horizontal="left" vertical="center"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6" fillId="3" borderId="65" xfId="0" applyFont="1" applyFill="1" applyBorder="1" applyAlignment="1">
      <alignment horizontal="justify" vertical="center" wrapText="1"/>
    </xf>
    <xf numFmtId="0" fontId="56" fillId="3" borderId="66"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4" xfId="0" applyFont="1" applyFill="1" applyBorder="1" applyAlignment="1">
      <alignment horizontal="center" vertical="center" wrapText="1" readingOrder="1"/>
    </xf>
    <xf numFmtId="0" fontId="41" fillId="15" borderId="35" xfId="0" applyFont="1" applyFill="1" applyBorder="1" applyAlignment="1">
      <alignment horizontal="center" vertical="center" wrapText="1" readingOrder="1"/>
    </xf>
    <xf numFmtId="0" fontId="41" fillId="15" borderId="46"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3" xfId="0" applyFont="1" applyFill="1" applyBorder="1" applyAlignment="1">
      <alignment horizontal="center" vertical="center" wrapText="1" readingOrder="1"/>
    </xf>
    <xf numFmtId="0" fontId="38" fillId="15" borderId="44" xfId="0" applyFont="1" applyFill="1" applyBorder="1" applyAlignment="1">
      <alignment horizontal="center" vertical="center" wrapText="1" readingOrder="1"/>
    </xf>
    <xf numFmtId="0" fontId="38" fillId="3" borderId="41" xfId="0" applyFont="1" applyFill="1" applyBorder="1" applyAlignment="1">
      <alignment horizontal="center" vertical="center" wrapText="1" readingOrder="1"/>
    </xf>
    <xf numFmtId="0" fontId="38" fillId="3" borderId="36"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2" xfId="0" applyFont="1" applyFill="1" applyBorder="1" applyAlignment="1">
      <alignment horizontal="center" vertical="center" wrapText="1" readingOrder="1"/>
    </xf>
    <xf numFmtId="0" fontId="38" fillId="3" borderId="38"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62" fillId="14" borderId="34" xfId="5" applyFont="1" applyFill="1" applyBorder="1" applyAlignment="1">
      <alignment horizontal="center" vertical="center"/>
    </xf>
    <xf numFmtId="0" fontId="62" fillId="14" borderId="35" xfId="5" applyFont="1" applyFill="1" applyBorder="1" applyAlignment="1">
      <alignment horizontal="center" vertical="center"/>
    </xf>
    <xf numFmtId="0" fontId="62" fillId="14" borderId="46" xfId="5" applyFont="1" applyFill="1" applyBorder="1" applyAlignment="1">
      <alignment horizontal="center" vertical="center"/>
    </xf>
    <xf numFmtId="0" fontId="36" fillId="3" borderId="81" xfId="5" applyFont="1" applyFill="1" applyBorder="1" applyAlignment="1">
      <alignment horizontal="center" vertical="center" wrapText="1"/>
    </xf>
    <xf numFmtId="0" fontId="36" fillId="3" borderId="68" xfId="5" applyFont="1" applyFill="1" applyBorder="1" applyAlignment="1">
      <alignment horizontal="center" vertical="center" wrapText="1"/>
    </xf>
    <xf numFmtId="0" fontId="36" fillId="3" borderId="82" xfId="5" applyFont="1" applyFill="1" applyBorder="1" applyAlignment="1">
      <alignment horizontal="center" vertical="center" wrapText="1"/>
    </xf>
    <xf numFmtId="0" fontId="61" fillId="16" borderId="34" xfId="5" applyFont="1" applyFill="1" applyBorder="1" applyAlignment="1">
      <alignment horizontal="center" vertical="center"/>
    </xf>
    <xf numFmtId="0" fontId="61" fillId="16" borderId="35" xfId="5" applyFont="1" applyFill="1" applyBorder="1" applyAlignment="1">
      <alignment horizontal="center" vertical="center"/>
    </xf>
    <xf numFmtId="0" fontId="61" fillId="16" borderId="46" xfId="5" applyFont="1" applyFill="1" applyBorder="1" applyAlignment="1">
      <alignment horizontal="center" vertical="center"/>
    </xf>
    <xf numFmtId="0" fontId="36" fillId="3" borderId="35" xfId="5" applyFont="1" applyFill="1" applyBorder="1" applyAlignment="1">
      <alignment horizontal="center" vertical="center" wrapText="1"/>
    </xf>
    <xf numFmtId="0" fontId="62" fillId="8" borderId="43" xfId="5" applyFont="1" applyFill="1" applyBorder="1" applyAlignment="1">
      <alignment horizontal="center" vertical="center" wrapText="1"/>
    </xf>
    <xf numFmtId="0" fontId="62" fillId="8" borderId="44" xfId="5" applyFont="1" applyFill="1" applyBorder="1" applyAlignment="1">
      <alignment horizontal="center" vertical="center" wrapText="1"/>
    </xf>
    <xf numFmtId="0" fontId="62" fillId="8" borderId="45" xfId="5" applyFont="1" applyFill="1" applyBorder="1" applyAlignment="1">
      <alignment horizontal="center" vertical="center" wrapText="1"/>
    </xf>
    <xf numFmtId="0" fontId="36" fillId="3" borderId="33" xfId="5" applyFont="1" applyFill="1" applyBorder="1" applyAlignment="1">
      <alignment horizontal="center" vertical="center" wrapText="1"/>
    </xf>
    <xf numFmtId="0" fontId="64" fillId="8" borderId="32" xfId="6" applyFont="1" applyFill="1" applyBorder="1" applyAlignment="1">
      <alignment horizontal="center" vertical="center"/>
    </xf>
    <xf numFmtId="0" fontId="38" fillId="19" borderId="32" xfId="0" applyFont="1" applyFill="1" applyBorder="1" applyAlignment="1">
      <alignment horizontal="center" vertical="center" wrapText="1"/>
    </xf>
    <xf numFmtId="0" fontId="38" fillId="19" borderId="32" xfId="0" applyFont="1" applyFill="1" applyBorder="1" applyAlignment="1">
      <alignment horizontal="center" vertical="center"/>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104">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rgb="FF9C0006"/>
      </font>
      <fill>
        <patternFill>
          <bgColor rgb="FFFFC7CE"/>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522514</xdr:colOff>
      <xdr:row>0</xdr:row>
      <xdr:rowOff>21772</xdr:rowOff>
    </xdr:from>
    <xdr:to>
      <xdr:col>3</xdr:col>
      <xdr:colOff>763310</xdr:colOff>
      <xdr:row>3</xdr:row>
      <xdr:rowOff>250464</xdr:rowOff>
    </xdr:to>
    <xdr:pic>
      <xdr:nvPicPr>
        <xdr:cNvPr id="3" name="Imagen 2">
          <a:extLst>
            <a:ext uri="{FF2B5EF4-FFF2-40B4-BE49-F238E27FC236}">
              <a16:creationId xmlns:a16="http://schemas.microsoft.com/office/drawing/2014/main" id="{C7264219-8154-4D66-857E-560F06193A23}"/>
            </a:ext>
          </a:extLst>
        </xdr:cNvPr>
        <xdr:cNvPicPr>
          <a:picLocks noChangeAspect="1"/>
        </xdr:cNvPicPr>
      </xdr:nvPicPr>
      <xdr:blipFill>
        <a:blip xmlns:r="http://schemas.openxmlformats.org/officeDocument/2006/relationships" r:embed="rId1"/>
        <a:stretch>
          <a:fillRect/>
        </a:stretch>
      </xdr:blipFill>
      <xdr:spPr>
        <a:xfrm>
          <a:off x="794657" y="21772"/>
          <a:ext cx="2274005" cy="106689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7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103" dataDxfId="102">
  <autoFilter ref="B209:C219" xr:uid="{00000000-0009-0000-0100-000001000000}"/>
  <tableColumns count="2">
    <tableColumn id="1" xr3:uid="{00000000-0010-0000-0000-000001000000}" name="Criterios" dataDxfId="101"/>
    <tableColumn id="2" xr3:uid="{00000000-0010-0000-0000-000002000000}" name="Subcriterios" dataDxfId="10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opLeftCell="B1"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298" t="s">
        <v>0</v>
      </c>
      <c r="C2" s="299"/>
      <c r="D2" s="299"/>
      <c r="E2" s="299"/>
      <c r="F2" s="299"/>
      <c r="G2" s="299"/>
      <c r="H2" s="300"/>
    </row>
    <row r="3" spans="2:8" x14ac:dyDescent="0.25">
      <c r="B3" s="81"/>
      <c r="C3" s="82"/>
      <c r="D3" s="82"/>
      <c r="E3" s="82"/>
      <c r="F3" s="82"/>
      <c r="G3" s="82"/>
      <c r="H3" s="83"/>
    </row>
    <row r="4" spans="2:8" ht="63" customHeight="1" x14ac:dyDescent="0.25">
      <c r="B4" s="301" t="s">
        <v>1</v>
      </c>
      <c r="C4" s="302"/>
      <c r="D4" s="302"/>
      <c r="E4" s="302"/>
      <c r="F4" s="302"/>
      <c r="G4" s="302"/>
      <c r="H4" s="303"/>
    </row>
    <row r="5" spans="2:8" ht="63" customHeight="1" x14ac:dyDescent="0.25">
      <c r="B5" s="304"/>
      <c r="C5" s="305"/>
      <c r="D5" s="305"/>
      <c r="E5" s="305"/>
      <c r="F5" s="305"/>
      <c r="G5" s="305"/>
      <c r="H5" s="306"/>
    </row>
    <row r="6" spans="2:8" ht="16.5" x14ac:dyDescent="0.25">
      <c r="B6" s="307" t="s">
        <v>2</v>
      </c>
      <c r="C6" s="308"/>
      <c r="D6" s="308"/>
      <c r="E6" s="308"/>
      <c r="F6" s="308"/>
      <c r="G6" s="308"/>
      <c r="H6" s="309"/>
    </row>
    <row r="7" spans="2:8" ht="95.25" customHeight="1" x14ac:dyDescent="0.25">
      <c r="B7" s="317" t="s">
        <v>3</v>
      </c>
      <c r="C7" s="318"/>
      <c r="D7" s="318"/>
      <c r="E7" s="318"/>
      <c r="F7" s="318"/>
      <c r="G7" s="318"/>
      <c r="H7" s="319"/>
    </row>
    <row r="8" spans="2:8" ht="16.5" x14ac:dyDescent="0.25">
      <c r="B8" s="113"/>
      <c r="C8" s="114"/>
      <c r="D8" s="114"/>
      <c r="E8" s="114"/>
      <c r="F8" s="114"/>
      <c r="G8" s="114"/>
      <c r="H8" s="115"/>
    </row>
    <row r="9" spans="2:8" ht="16.5" customHeight="1" x14ac:dyDescent="0.25">
      <c r="B9" s="310" t="s">
        <v>4</v>
      </c>
      <c r="C9" s="311"/>
      <c r="D9" s="311"/>
      <c r="E9" s="311"/>
      <c r="F9" s="311"/>
      <c r="G9" s="311"/>
      <c r="H9" s="312"/>
    </row>
    <row r="10" spans="2:8" ht="44.25" customHeight="1" x14ac:dyDescent="0.25">
      <c r="B10" s="310"/>
      <c r="C10" s="311"/>
      <c r="D10" s="311"/>
      <c r="E10" s="311"/>
      <c r="F10" s="311"/>
      <c r="G10" s="311"/>
      <c r="H10" s="312"/>
    </row>
    <row r="11" spans="2:8" ht="15.75" thickBot="1" x14ac:dyDescent="0.3">
      <c r="B11" s="102"/>
      <c r="C11" s="105"/>
      <c r="D11" s="110"/>
      <c r="E11" s="111"/>
      <c r="F11" s="111"/>
      <c r="G11" s="112"/>
      <c r="H11" s="106"/>
    </row>
    <row r="12" spans="2:8" ht="15.75" thickTop="1" x14ac:dyDescent="0.25">
      <c r="B12" s="102"/>
      <c r="C12" s="313" t="s">
        <v>5</v>
      </c>
      <c r="D12" s="314"/>
      <c r="E12" s="315" t="s">
        <v>6</v>
      </c>
      <c r="F12" s="316"/>
      <c r="G12" s="105"/>
      <c r="H12" s="106"/>
    </row>
    <row r="13" spans="2:8" ht="35.25" customHeight="1" x14ac:dyDescent="0.25">
      <c r="B13" s="102"/>
      <c r="C13" s="320" t="s">
        <v>7</v>
      </c>
      <c r="D13" s="321"/>
      <c r="E13" s="322" t="s">
        <v>8</v>
      </c>
      <c r="F13" s="323"/>
      <c r="G13" s="105"/>
      <c r="H13" s="106"/>
    </row>
    <row r="14" spans="2:8" ht="17.25" customHeight="1" x14ac:dyDescent="0.25">
      <c r="B14" s="102"/>
      <c r="C14" s="320" t="s">
        <v>9</v>
      </c>
      <c r="D14" s="321"/>
      <c r="E14" s="322" t="s">
        <v>10</v>
      </c>
      <c r="F14" s="323"/>
      <c r="G14" s="105"/>
      <c r="H14" s="106"/>
    </row>
    <row r="15" spans="2:8" ht="19.5" customHeight="1" x14ac:dyDescent="0.25">
      <c r="B15" s="102"/>
      <c r="C15" s="320" t="s">
        <v>11</v>
      </c>
      <c r="D15" s="321"/>
      <c r="E15" s="322" t="s">
        <v>12</v>
      </c>
      <c r="F15" s="323"/>
      <c r="G15" s="105"/>
      <c r="H15" s="106"/>
    </row>
    <row r="16" spans="2:8" ht="69.75" customHeight="1" x14ac:dyDescent="0.25">
      <c r="B16" s="102"/>
      <c r="C16" s="320" t="s">
        <v>13</v>
      </c>
      <c r="D16" s="321"/>
      <c r="E16" s="322" t="s">
        <v>14</v>
      </c>
      <c r="F16" s="323"/>
      <c r="G16" s="105"/>
      <c r="H16" s="106"/>
    </row>
    <row r="17" spans="2:8" ht="34.5" customHeight="1" x14ac:dyDescent="0.25">
      <c r="B17" s="102"/>
      <c r="C17" s="324" t="s">
        <v>15</v>
      </c>
      <c r="D17" s="325"/>
      <c r="E17" s="326" t="s">
        <v>16</v>
      </c>
      <c r="F17" s="327"/>
      <c r="G17" s="105"/>
      <c r="H17" s="106"/>
    </row>
    <row r="18" spans="2:8" ht="27.75" customHeight="1" x14ac:dyDescent="0.25">
      <c r="B18" s="102"/>
      <c r="C18" s="324" t="s">
        <v>17</v>
      </c>
      <c r="D18" s="325"/>
      <c r="E18" s="326" t="s">
        <v>18</v>
      </c>
      <c r="F18" s="327"/>
      <c r="G18" s="105"/>
      <c r="H18" s="106"/>
    </row>
    <row r="19" spans="2:8" ht="28.5" customHeight="1" x14ac:dyDescent="0.25">
      <c r="B19" s="102"/>
      <c r="C19" s="324" t="s">
        <v>19</v>
      </c>
      <c r="D19" s="325"/>
      <c r="E19" s="326" t="s">
        <v>20</v>
      </c>
      <c r="F19" s="327"/>
      <c r="G19" s="105"/>
      <c r="H19" s="106"/>
    </row>
    <row r="20" spans="2:8" ht="72.75" customHeight="1" x14ac:dyDescent="0.25">
      <c r="B20" s="102"/>
      <c r="C20" s="324" t="s">
        <v>21</v>
      </c>
      <c r="D20" s="325"/>
      <c r="E20" s="326" t="s">
        <v>22</v>
      </c>
      <c r="F20" s="327"/>
      <c r="G20" s="105"/>
      <c r="H20" s="106"/>
    </row>
    <row r="21" spans="2:8" ht="64.5" customHeight="1" x14ac:dyDescent="0.25">
      <c r="B21" s="102"/>
      <c r="C21" s="324" t="s">
        <v>23</v>
      </c>
      <c r="D21" s="325"/>
      <c r="E21" s="326" t="s">
        <v>24</v>
      </c>
      <c r="F21" s="327"/>
      <c r="G21" s="105"/>
      <c r="H21" s="106"/>
    </row>
    <row r="22" spans="2:8" ht="71.25" customHeight="1" x14ac:dyDescent="0.25">
      <c r="B22" s="102"/>
      <c r="C22" s="324" t="s">
        <v>25</v>
      </c>
      <c r="D22" s="325"/>
      <c r="E22" s="326" t="s">
        <v>26</v>
      </c>
      <c r="F22" s="327"/>
      <c r="G22" s="105"/>
      <c r="H22" s="106"/>
    </row>
    <row r="23" spans="2:8" ht="55.5" customHeight="1" x14ac:dyDescent="0.25">
      <c r="B23" s="102"/>
      <c r="C23" s="331" t="s">
        <v>27</v>
      </c>
      <c r="D23" s="332"/>
      <c r="E23" s="326" t="s">
        <v>28</v>
      </c>
      <c r="F23" s="327"/>
      <c r="G23" s="105"/>
      <c r="H23" s="106"/>
    </row>
    <row r="24" spans="2:8" ht="42" customHeight="1" x14ac:dyDescent="0.25">
      <c r="B24" s="102"/>
      <c r="C24" s="331" t="s">
        <v>29</v>
      </c>
      <c r="D24" s="332"/>
      <c r="E24" s="326" t="s">
        <v>30</v>
      </c>
      <c r="F24" s="327"/>
      <c r="G24" s="105"/>
      <c r="H24" s="106"/>
    </row>
    <row r="25" spans="2:8" ht="59.25" customHeight="1" x14ac:dyDescent="0.25">
      <c r="B25" s="102"/>
      <c r="C25" s="331" t="s">
        <v>31</v>
      </c>
      <c r="D25" s="332"/>
      <c r="E25" s="326" t="s">
        <v>32</v>
      </c>
      <c r="F25" s="327"/>
      <c r="G25" s="105"/>
      <c r="H25" s="106"/>
    </row>
    <row r="26" spans="2:8" ht="23.25" customHeight="1" x14ac:dyDescent="0.25">
      <c r="B26" s="102"/>
      <c r="C26" s="331" t="s">
        <v>33</v>
      </c>
      <c r="D26" s="332"/>
      <c r="E26" s="326" t="s">
        <v>34</v>
      </c>
      <c r="F26" s="327"/>
      <c r="G26" s="105"/>
      <c r="H26" s="106"/>
    </row>
    <row r="27" spans="2:8" ht="30.75" customHeight="1" x14ac:dyDescent="0.25">
      <c r="B27" s="102"/>
      <c r="C27" s="331" t="s">
        <v>35</v>
      </c>
      <c r="D27" s="332"/>
      <c r="E27" s="326" t="s">
        <v>36</v>
      </c>
      <c r="F27" s="327"/>
      <c r="G27" s="105"/>
      <c r="H27" s="106"/>
    </row>
    <row r="28" spans="2:8" ht="35.25" customHeight="1" x14ac:dyDescent="0.25">
      <c r="B28" s="102"/>
      <c r="C28" s="331" t="s">
        <v>37</v>
      </c>
      <c r="D28" s="332"/>
      <c r="E28" s="326" t="s">
        <v>38</v>
      </c>
      <c r="F28" s="327"/>
      <c r="G28" s="105"/>
      <c r="H28" s="106"/>
    </row>
    <row r="29" spans="2:8" ht="33" customHeight="1" x14ac:dyDescent="0.25">
      <c r="B29" s="102"/>
      <c r="C29" s="331" t="s">
        <v>37</v>
      </c>
      <c r="D29" s="332"/>
      <c r="E29" s="326" t="s">
        <v>38</v>
      </c>
      <c r="F29" s="327"/>
      <c r="G29" s="105"/>
      <c r="H29" s="106"/>
    </row>
    <row r="30" spans="2:8" ht="30" customHeight="1" x14ac:dyDescent="0.25">
      <c r="B30" s="102"/>
      <c r="C30" s="331" t="s">
        <v>39</v>
      </c>
      <c r="D30" s="332"/>
      <c r="E30" s="326" t="s">
        <v>40</v>
      </c>
      <c r="F30" s="327"/>
      <c r="G30" s="105"/>
      <c r="H30" s="106"/>
    </row>
    <row r="31" spans="2:8" ht="35.25" customHeight="1" x14ac:dyDescent="0.25">
      <c r="B31" s="102"/>
      <c r="C31" s="331" t="s">
        <v>41</v>
      </c>
      <c r="D31" s="332"/>
      <c r="E31" s="326" t="s">
        <v>42</v>
      </c>
      <c r="F31" s="327"/>
      <c r="G31" s="105"/>
      <c r="H31" s="106"/>
    </row>
    <row r="32" spans="2:8" ht="31.5" customHeight="1" x14ac:dyDescent="0.25">
      <c r="B32" s="102"/>
      <c r="C32" s="331" t="s">
        <v>43</v>
      </c>
      <c r="D32" s="332"/>
      <c r="E32" s="326" t="s">
        <v>44</v>
      </c>
      <c r="F32" s="327"/>
      <c r="G32" s="105"/>
      <c r="H32" s="106"/>
    </row>
    <row r="33" spans="2:8" ht="35.25" customHeight="1" x14ac:dyDescent="0.25">
      <c r="B33" s="102"/>
      <c r="C33" s="331" t="s">
        <v>45</v>
      </c>
      <c r="D33" s="332"/>
      <c r="E33" s="326" t="s">
        <v>46</v>
      </c>
      <c r="F33" s="327"/>
      <c r="G33" s="105"/>
      <c r="H33" s="106"/>
    </row>
    <row r="34" spans="2:8" ht="59.25" customHeight="1" x14ac:dyDescent="0.25">
      <c r="B34" s="102"/>
      <c r="C34" s="331" t="s">
        <v>47</v>
      </c>
      <c r="D34" s="332"/>
      <c r="E34" s="326" t="s">
        <v>48</v>
      </c>
      <c r="F34" s="327"/>
      <c r="G34" s="105"/>
      <c r="H34" s="106"/>
    </row>
    <row r="35" spans="2:8" ht="29.25" customHeight="1" x14ac:dyDescent="0.25">
      <c r="B35" s="102"/>
      <c r="C35" s="331" t="s">
        <v>49</v>
      </c>
      <c r="D35" s="332"/>
      <c r="E35" s="326" t="s">
        <v>50</v>
      </c>
      <c r="F35" s="327"/>
      <c r="G35" s="105"/>
      <c r="H35" s="106"/>
    </row>
    <row r="36" spans="2:8" ht="82.5" customHeight="1" x14ac:dyDescent="0.25">
      <c r="B36" s="102"/>
      <c r="C36" s="331" t="s">
        <v>51</v>
      </c>
      <c r="D36" s="332"/>
      <c r="E36" s="326" t="s">
        <v>52</v>
      </c>
      <c r="F36" s="327"/>
      <c r="G36" s="105"/>
      <c r="H36" s="106"/>
    </row>
    <row r="37" spans="2:8" ht="46.5" customHeight="1" x14ac:dyDescent="0.25">
      <c r="B37" s="102"/>
      <c r="C37" s="331" t="s">
        <v>53</v>
      </c>
      <c r="D37" s="332"/>
      <c r="E37" s="326" t="s">
        <v>54</v>
      </c>
      <c r="F37" s="327"/>
      <c r="G37" s="105"/>
      <c r="H37" s="106"/>
    </row>
    <row r="38" spans="2:8" ht="6.75" customHeight="1" thickBot="1" x14ac:dyDescent="0.3">
      <c r="B38" s="102"/>
      <c r="C38" s="333"/>
      <c r="D38" s="334"/>
      <c r="E38" s="335"/>
      <c r="F38" s="336"/>
      <c r="G38" s="105"/>
      <c r="H38" s="106"/>
    </row>
    <row r="39" spans="2:8" ht="15.75" thickTop="1" x14ac:dyDescent="0.25">
      <c r="B39" s="102"/>
      <c r="C39" s="103"/>
      <c r="D39" s="103"/>
      <c r="E39" s="104"/>
      <c r="F39" s="104"/>
      <c r="G39" s="105"/>
      <c r="H39" s="106"/>
    </row>
    <row r="40" spans="2:8" ht="21" customHeight="1" x14ac:dyDescent="0.25">
      <c r="B40" s="328" t="s">
        <v>55</v>
      </c>
      <c r="C40" s="329"/>
      <c r="D40" s="329"/>
      <c r="E40" s="329"/>
      <c r="F40" s="329"/>
      <c r="G40" s="329"/>
      <c r="H40" s="330"/>
    </row>
    <row r="41" spans="2:8" ht="20.25" customHeight="1" x14ac:dyDescent="0.25">
      <c r="B41" s="328" t="s">
        <v>56</v>
      </c>
      <c r="C41" s="329"/>
      <c r="D41" s="329"/>
      <c r="E41" s="329"/>
      <c r="F41" s="329"/>
      <c r="G41" s="329"/>
      <c r="H41" s="330"/>
    </row>
    <row r="42" spans="2:8" ht="20.25" customHeight="1" x14ac:dyDescent="0.25">
      <c r="B42" s="328" t="s">
        <v>57</v>
      </c>
      <c r="C42" s="329"/>
      <c r="D42" s="329"/>
      <c r="E42" s="329"/>
      <c r="F42" s="329"/>
      <c r="G42" s="329"/>
      <c r="H42" s="330"/>
    </row>
    <row r="43" spans="2:8" ht="20.25" customHeight="1" x14ac:dyDescent="0.25">
      <c r="B43" s="328" t="s">
        <v>58</v>
      </c>
      <c r="C43" s="329"/>
      <c r="D43" s="329"/>
      <c r="E43" s="329"/>
      <c r="F43" s="329"/>
      <c r="G43" s="329"/>
      <c r="H43" s="330"/>
    </row>
    <row r="44" spans="2:8" x14ac:dyDescent="0.25">
      <c r="B44" s="328" t="s">
        <v>59</v>
      </c>
      <c r="C44" s="329"/>
      <c r="D44" s="329"/>
      <c r="E44" s="329"/>
      <c r="F44" s="329"/>
      <c r="G44" s="329"/>
      <c r="H44" s="330"/>
    </row>
    <row r="45" spans="2:8" ht="15.75" thickBot="1" x14ac:dyDescent="0.3">
      <c r="B45" s="107"/>
      <c r="C45" s="108"/>
      <c r="D45" s="108"/>
      <c r="E45" s="108"/>
      <c r="F45" s="108"/>
      <c r="G45" s="108"/>
      <c r="H45" s="109"/>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61"/>
  <sheetViews>
    <sheetView tabSelected="1" topLeftCell="AG15" zoomScale="90" zoomScaleNormal="90" workbookViewId="0">
      <selection activeCell="BB16" sqref="BB16"/>
    </sheetView>
  </sheetViews>
  <sheetFormatPr baseColWidth="10" defaultColWidth="11.42578125" defaultRowHeight="16.5" x14ac:dyDescent="0.3"/>
  <cols>
    <col min="1" max="1" width="4" style="2" bestFit="1" customWidth="1"/>
    <col min="2" max="2" width="16.5703125" style="2" customWidth="1"/>
    <col min="3" max="3" width="13.140625" style="2" customWidth="1"/>
    <col min="4" max="4" width="14" style="2" customWidth="1"/>
    <col min="5" max="6" width="16.140625" style="2" customWidth="1"/>
    <col min="7" max="8" width="32.42578125" style="1" customWidth="1"/>
    <col min="9" max="9" width="19.8554687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17.7109375" style="1" customWidth="1"/>
    <col min="16" max="16" width="17.5703125" style="1" customWidth="1"/>
    <col min="17" max="17" width="6.28515625" style="1" bestFit="1" customWidth="1"/>
    <col min="18" max="18" width="16" style="1" customWidth="1"/>
    <col min="19" max="19" width="7.28515625" style="1" customWidth="1"/>
    <col min="20" max="20" width="11.140625" style="1" customWidth="1"/>
    <col min="21" max="21" width="8.140625" style="1" customWidth="1"/>
    <col min="22" max="22" width="9.85546875" style="1" customWidth="1"/>
    <col min="23" max="23" width="12.7109375" style="1" customWidth="1"/>
    <col min="24" max="24" width="13.140625" style="1" customWidth="1"/>
    <col min="25" max="25" width="5.85546875" style="3" customWidth="1"/>
    <col min="26" max="26" width="31" style="1" customWidth="1"/>
    <col min="27" max="27" width="15.140625" style="1" bestFit="1" customWidth="1"/>
    <col min="28" max="28" width="6.85546875" style="1" customWidth="1"/>
    <col min="29" max="29" width="5" style="1" customWidth="1"/>
    <col min="30" max="30" width="5.5703125" style="1" customWidth="1"/>
    <col min="31" max="31" width="7.140625" style="1" customWidth="1"/>
    <col min="32" max="32" width="6.7109375" style="1" customWidth="1"/>
    <col min="33" max="33" width="7.5703125" style="1" customWidth="1"/>
    <col min="34" max="34" width="38.28515625" style="1" hidden="1" customWidth="1"/>
    <col min="35" max="35" width="8.7109375" style="1" customWidth="1"/>
    <col min="36" max="36" width="10.42578125" style="1" customWidth="1"/>
    <col min="37" max="37" width="9.28515625" style="1" customWidth="1"/>
    <col min="38" max="38" width="9.140625" style="1" customWidth="1"/>
    <col min="39" max="39" width="8.42578125" style="1" customWidth="1"/>
    <col min="40" max="44" width="7.28515625" style="1" customWidth="1"/>
    <col min="45" max="45" width="5.7109375" style="1" customWidth="1"/>
    <col min="46" max="46" width="10" style="1" customWidth="1"/>
    <col min="47" max="47" width="23" style="2" customWidth="1"/>
    <col min="48" max="48" width="18.85546875" style="2" customWidth="1"/>
    <col min="49" max="49" width="16.85546875" style="2" customWidth="1"/>
    <col min="50" max="50" width="14.85546875" style="2" customWidth="1"/>
    <col min="51" max="51" width="72.28515625" style="1" customWidth="1"/>
    <col min="52" max="52" width="21" style="1" customWidth="1"/>
    <col min="53" max="16384" width="11.42578125" style="1"/>
  </cols>
  <sheetData>
    <row r="1" spans="1:84" ht="25.9" customHeight="1" x14ac:dyDescent="0.3">
      <c r="A1" s="216"/>
      <c r="B1" s="216"/>
      <c r="C1" s="216"/>
      <c r="D1" s="216"/>
      <c r="E1" s="216"/>
      <c r="F1" s="217" t="s">
        <v>60</v>
      </c>
      <c r="G1" s="218"/>
      <c r="H1" s="218"/>
      <c r="I1" s="218"/>
      <c r="J1" s="218"/>
      <c r="K1" s="218"/>
      <c r="L1" s="218"/>
      <c r="M1" s="218"/>
      <c r="N1" s="212" t="s">
        <v>61</v>
      </c>
      <c r="O1" s="212"/>
      <c r="P1" s="212"/>
    </row>
    <row r="2" spans="1:84" ht="16.5" customHeight="1" x14ac:dyDescent="0.3">
      <c r="A2" s="216"/>
      <c r="B2" s="216"/>
      <c r="C2" s="216"/>
      <c r="D2" s="216"/>
      <c r="E2" s="216"/>
      <c r="F2" s="218"/>
      <c r="G2" s="218"/>
      <c r="H2" s="218"/>
      <c r="I2" s="218"/>
      <c r="J2" s="218"/>
      <c r="K2" s="218"/>
      <c r="L2" s="218"/>
      <c r="M2" s="218"/>
      <c r="N2" s="213" t="s">
        <v>62</v>
      </c>
      <c r="O2" s="213"/>
      <c r="P2" s="213"/>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49"/>
      <c r="AV2" s="149"/>
      <c r="AW2" s="149"/>
      <c r="AX2" s="149"/>
      <c r="AY2" s="135"/>
      <c r="AZ2" s="136"/>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s="137" customFormat="1" ht="24" customHeight="1" x14ac:dyDescent="0.25">
      <c r="A3" s="216"/>
      <c r="B3" s="216"/>
      <c r="C3" s="216"/>
      <c r="D3" s="216"/>
      <c r="E3" s="216"/>
      <c r="F3" s="218"/>
      <c r="G3" s="218"/>
      <c r="H3" s="218"/>
      <c r="I3" s="218"/>
      <c r="J3" s="218"/>
      <c r="K3" s="218"/>
      <c r="L3" s="218"/>
      <c r="M3" s="218"/>
      <c r="N3" s="213" t="s">
        <v>315</v>
      </c>
      <c r="O3" s="213"/>
      <c r="P3" s="213"/>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50"/>
      <c r="AV3" s="150"/>
      <c r="AW3" s="150"/>
      <c r="AX3" s="150"/>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row>
    <row r="4" spans="1:84" ht="27.6" customHeight="1" x14ac:dyDescent="0.3">
      <c r="A4" s="216"/>
      <c r="B4" s="216"/>
      <c r="C4" s="216"/>
      <c r="D4" s="216"/>
      <c r="E4" s="216"/>
      <c r="F4" s="218"/>
      <c r="G4" s="218"/>
      <c r="H4" s="218"/>
      <c r="I4" s="218"/>
      <c r="J4" s="218"/>
      <c r="K4" s="218"/>
      <c r="L4" s="218"/>
      <c r="M4" s="218"/>
      <c r="N4" s="214" t="s">
        <v>316</v>
      </c>
      <c r="O4" s="215"/>
      <c r="P4" s="215"/>
      <c r="Q4" s="8"/>
      <c r="R4" s="8"/>
      <c r="S4" s="8"/>
      <c r="T4" s="8"/>
      <c r="U4" s="8"/>
      <c r="V4" s="8"/>
      <c r="W4" s="8"/>
      <c r="X4" s="8"/>
      <c r="Y4" s="26"/>
      <c r="Z4" s="8"/>
      <c r="AA4" s="8"/>
      <c r="AB4" s="8"/>
      <c r="AC4" s="8"/>
      <c r="AD4" s="8"/>
      <c r="AE4" s="8"/>
      <c r="AF4" s="8"/>
      <c r="AG4" s="8"/>
      <c r="AH4" s="8"/>
      <c r="AI4" s="8"/>
      <c r="AJ4" s="8"/>
      <c r="AK4" s="8"/>
      <c r="AL4" s="8"/>
      <c r="AM4" s="8"/>
      <c r="AN4" s="8"/>
      <c r="AO4" s="8"/>
      <c r="AP4" s="8"/>
      <c r="AQ4" s="8"/>
      <c r="AR4" s="8"/>
      <c r="AS4" s="8"/>
      <c r="AT4" s="8"/>
      <c r="AU4" s="151"/>
      <c r="AV4" s="151"/>
      <c r="AW4" s="151"/>
      <c r="AX4" s="151"/>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233" t="s">
        <v>63</v>
      </c>
      <c r="B5" s="234"/>
      <c r="C5" s="235"/>
      <c r="D5" s="250" t="s">
        <v>64</v>
      </c>
      <c r="E5" s="251"/>
      <c r="F5" s="251"/>
      <c r="G5" s="251"/>
      <c r="H5" s="251"/>
      <c r="I5" s="251"/>
      <c r="J5" s="251"/>
      <c r="K5" s="251"/>
      <c r="L5" s="251"/>
      <c r="M5" s="251"/>
      <c r="N5" s="251"/>
      <c r="O5" s="251"/>
      <c r="P5" s="251"/>
      <c r="Q5" s="252"/>
      <c r="R5" s="253"/>
      <c r="S5" s="143"/>
      <c r="T5" s="143"/>
      <c r="U5" s="143"/>
      <c r="V5" s="143"/>
      <c r="W5" s="143"/>
      <c r="X5" s="143"/>
      <c r="Y5" s="282"/>
      <c r="Z5" s="282"/>
      <c r="AA5" s="282"/>
      <c r="AB5" s="8"/>
      <c r="AC5" s="8"/>
      <c r="AD5" s="8"/>
      <c r="AE5" s="8"/>
      <c r="AF5" s="8"/>
      <c r="AG5" s="8"/>
      <c r="AH5" s="8"/>
      <c r="AI5" s="8"/>
      <c r="AJ5" s="8"/>
      <c r="AK5" s="8"/>
      <c r="AL5" s="8"/>
      <c r="AM5" s="8"/>
      <c r="AN5" s="8"/>
      <c r="AO5" s="8"/>
      <c r="AP5" s="8"/>
      <c r="AQ5" s="8"/>
      <c r="AR5" s="8"/>
      <c r="AS5" s="8"/>
      <c r="AT5" s="8"/>
      <c r="AU5" s="151"/>
      <c r="AV5" s="151"/>
      <c r="AW5" s="151"/>
      <c r="AX5" s="151"/>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40.15" customHeight="1" x14ac:dyDescent="0.3">
      <c r="A6" s="236" t="s">
        <v>65</v>
      </c>
      <c r="B6" s="237"/>
      <c r="C6" s="238"/>
      <c r="D6" s="244" t="s">
        <v>66</v>
      </c>
      <c r="E6" s="245"/>
      <c r="F6" s="245"/>
      <c r="G6" s="245"/>
      <c r="H6" s="245"/>
      <c r="I6" s="245"/>
      <c r="J6" s="245"/>
      <c r="K6" s="245"/>
      <c r="L6" s="245"/>
      <c r="M6" s="245"/>
      <c r="N6" s="245"/>
      <c r="O6" s="245"/>
      <c r="P6" s="245"/>
      <c r="Q6" s="245"/>
      <c r="R6" s="246"/>
      <c r="S6" s="144"/>
      <c r="T6" s="144"/>
      <c r="U6" s="144"/>
      <c r="V6" s="144"/>
      <c r="W6" s="144"/>
      <c r="X6" s="144"/>
      <c r="Y6" s="26"/>
      <c r="Z6" s="8"/>
      <c r="AA6" s="8"/>
      <c r="AB6" s="8"/>
      <c r="AC6" s="8"/>
      <c r="AD6" s="8"/>
      <c r="AE6" s="8"/>
      <c r="AF6" s="8"/>
      <c r="AG6" s="8"/>
      <c r="AH6" s="8"/>
      <c r="AI6" s="8"/>
      <c r="AJ6" s="8"/>
      <c r="AK6" s="8"/>
      <c r="AL6" s="8"/>
      <c r="AM6" s="8"/>
      <c r="AN6" s="8"/>
      <c r="AO6" s="8"/>
      <c r="AP6" s="8"/>
      <c r="AQ6" s="8"/>
      <c r="AR6" s="8"/>
      <c r="AS6" s="8"/>
      <c r="AT6" s="8"/>
      <c r="AU6" s="151"/>
      <c r="AV6" s="151"/>
      <c r="AW6" s="151"/>
      <c r="AX6" s="151"/>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31.15" customHeight="1" x14ac:dyDescent="0.3">
      <c r="A7" s="236" t="s">
        <v>67</v>
      </c>
      <c r="B7" s="237"/>
      <c r="C7" s="238"/>
      <c r="D7" s="244" t="s">
        <v>68</v>
      </c>
      <c r="E7" s="245"/>
      <c r="F7" s="245"/>
      <c r="G7" s="245"/>
      <c r="H7" s="245"/>
      <c r="I7" s="245"/>
      <c r="J7" s="245"/>
      <c r="K7" s="245"/>
      <c r="L7" s="245"/>
      <c r="M7" s="245"/>
      <c r="N7" s="245"/>
      <c r="O7" s="245"/>
      <c r="P7" s="245"/>
      <c r="Q7" s="245"/>
      <c r="R7" s="246"/>
      <c r="S7" s="144"/>
      <c r="T7" s="144"/>
      <c r="U7" s="144"/>
      <c r="V7" s="144"/>
      <c r="W7" s="144"/>
      <c r="X7" s="144"/>
      <c r="Y7" s="26"/>
      <c r="Z7" s="8"/>
      <c r="AA7" s="8"/>
      <c r="AB7" s="8"/>
      <c r="AC7" s="8"/>
      <c r="AD7" s="8"/>
      <c r="AE7" s="8"/>
      <c r="AF7" s="8"/>
      <c r="AG7" s="8"/>
      <c r="AH7" s="8"/>
      <c r="AI7" s="8"/>
      <c r="AJ7" s="8"/>
      <c r="AK7" s="8"/>
      <c r="AL7" s="8"/>
      <c r="AM7" s="8"/>
      <c r="AN7" s="8"/>
      <c r="AO7" s="8"/>
      <c r="AP7" s="8"/>
      <c r="AQ7" s="8"/>
      <c r="AR7" s="8"/>
      <c r="AS7" s="8"/>
      <c r="AT7" s="8"/>
      <c r="AU7" s="151"/>
      <c r="AV7" s="151"/>
      <c r="AW7" s="151"/>
      <c r="AX7" s="151"/>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83" t="s">
        <v>69</v>
      </c>
      <c r="B8" s="284"/>
      <c r="C8" s="284"/>
      <c r="D8" s="284"/>
      <c r="E8" s="284"/>
      <c r="F8" s="284"/>
      <c r="G8" s="284"/>
      <c r="H8" s="284"/>
      <c r="I8" s="284"/>
      <c r="J8" s="284"/>
      <c r="K8" s="285"/>
      <c r="L8" s="283" t="s">
        <v>70</v>
      </c>
      <c r="M8" s="284"/>
      <c r="N8" s="284"/>
      <c r="O8" s="284"/>
      <c r="P8" s="284"/>
      <c r="Q8" s="284"/>
      <c r="R8" s="285"/>
      <c r="S8" s="286" t="s">
        <v>71</v>
      </c>
      <c r="T8" s="287"/>
      <c r="U8" s="287"/>
      <c r="V8" s="287"/>
      <c r="W8" s="287"/>
      <c r="X8" s="288"/>
      <c r="Y8" s="283" t="s">
        <v>72</v>
      </c>
      <c r="Z8" s="284"/>
      <c r="AA8" s="284"/>
      <c r="AB8" s="284"/>
      <c r="AC8" s="284"/>
      <c r="AD8" s="284"/>
      <c r="AE8" s="284"/>
      <c r="AF8" s="284"/>
      <c r="AG8" s="285"/>
      <c r="AH8" s="283" t="s">
        <v>73</v>
      </c>
      <c r="AI8" s="284"/>
      <c r="AJ8" s="284"/>
      <c r="AK8" s="284"/>
      <c r="AL8" s="284"/>
      <c r="AM8" s="284"/>
      <c r="AN8" s="285"/>
      <c r="AO8" s="286" t="s">
        <v>74</v>
      </c>
      <c r="AP8" s="287"/>
      <c r="AQ8" s="287"/>
      <c r="AR8" s="287"/>
      <c r="AS8" s="284"/>
      <c r="AT8" s="284"/>
      <c r="AU8" s="283" t="s">
        <v>75</v>
      </c>
      <c r="AV8" s="284"/>
      <c r="AW8" s="284"/>
      <c r="AX8" s="284"/>
      <c r="AY8" s="284"/>
      <c r="AZ8" s="285"/>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239" t="s">
        <v>76</v>
      </c>
      <c r="B9" s="192"/>
      <c r="C9" s="229" t="s">
        <v>15</v>
      </c>
      <c r="D9" s="231" t="s">
        <v>77</v>
      </c>
      <c r="E9" s="231" t="s">
        <v>78</v>
      </c>
      <c r="F9" s="230" t="s">
        <v>79</v>
      </c>
      <c r="G9" s="241" t="s">
        <v>21</v>
      </c>
      <c r="H9" s="134"/>
      <c r="I9" s="134"/>
      <c r="J9" s="230" t="s">
        <v>23</v>
      </c>
      <c r="K9" s="231" t="s">
        <v>80</v>
      </c>
      <c r="L9" s="255" t="s">
        <v>81</v>
      </c>
      <c r="M9" s="210" t="s">
        <v>82</v>
      </c>
      <c r="N9" s="230" t="s">
        <v>83</v>
      </c>
      <c r="O9" s="230" t="s">
        <v>84</v>
      </c>
      <c r="P9" s="254" t="s">
        <v>85</v>
      </c>
      <c r="Q9" s="210" t="s">
        <v>82</v>
      </c>
      <c r="R9" s="297" t="s">
        <v>29</v>
      </c>
      <c r="S9" s="289" t="s">
        <v>86</v>
      </c>
      <c r="T9" s="289"/>
      <c r="U9" s="289"/>
      <c r="V9" s="289"/>
      <c r="W9" s="289" t="s">
        <v>87</v>
      </c>
      <c r="X9" s="289"/>
      <c r="Y9" s="247" t="s">
        <v>88</v>
      </c>
      <c r="Z9" s="232" t="s">
        <v>89</v>
      </c>
      <c r="AA9" s="230" t="s">
        <v>33</v>
      </c>
      <c r="AB9" s="232" t="s">
        <v>90</v>
      </c>
      <c r="AC9" s="232"/>
      <c r="AD9" s="232"/>
      <c r="AE9" s="232"/>
      <c r="AF9" s="232"/>
      <c r="AG9" s="232"/>
      <c r="AH9" s="249" t="s">
        <v>91</v>
      </c>
      <c r="AI9" s="249" t="s">
        <v>92</v>
      </c>
      <c r="AJ9" s="249" t="s">
        <v>82</v>
      </c>
      <c r="AK9" s="249" t="s">
        <v>93</v>
      </c>
      <c r="AL9" s="249" t="s">
        <v>82</v>
      </c>
      <c r="AM9" s="249" t="s">
        <v>94</v>
      </c>
      <c r="AN9" s="242" t="s">
        <v>49</v>
      </c>
      <c r="AO9" s="292" t="s">
        <v>86</v>
      </c>
      <c r="AP9" s="292"/>
      <c r="AQ9" s="292"/>
      <c r="AR9" s="292"/>
      <c r="AS9" s="293" t="s">
        <v>87</v>
      </c>
      <c r="AT9" s="294"/>
      <c r="AU9" s="232" t="s">
        <v>75</v>
      </c>
      <c r="AV9" s="232" t="s">
        <v>95</v>
      </c>
      <c r="AW9" s="232" t="s">
        <v>96</v>
      </c>
      <c r="AX9" s="232" t="s">
        <v>97</v>
      </c>
      <c r="AY9" s="232" t="s">
        <v>98</v>
      </c>
      <c r="AZ9" s="232"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79.5" customHeight="1" x14ac:dyDescent="0.25">
      <c r="A10" s="240"/>
      <c r="B10" s="133" t="s">
        <v>99</v>
      </c>
      <c r="C10" s="229"/>
      <c r="D10" s="232"/>
      <c r="E10" s="232"/>
      <c r="F10" s="231"/>
      <c r="G10" s="229"/>
      <c r="H10" s="193" t="s">
        <v>100</v>
      </c>
      <c r="I10" s="193" t="s">
        <v>101</v>
      </c>
      <c r="J10" s="231"/>
      <c r="K10" s="232"/>
      <c r="L10" s="231"/>
      <c r="M10" s="211"/>
      <c r="N10" s="231"/>
      <c r="O10" s="231"/>
      <c r="P10" s="211"/>
      <c r="Q10" s="211"/>
      <c r="R10" s="232"/>
      <c r="S10" s="290" t="s">
        <v>102</v>
      </c>
      <c r="T10" s="291"/>
      <c r="U10" s="290" t="s">
        <v>15</v>
      </c>
      <c r="V10" s="291"/>
      <c r="W10" s="191" t="s">
        <v>103</v>
      </c>
      <c r="X10" s="191" t="s">
        <v>104</v>
      </c>
      <c r="Y10" s="248"/>
      <c r="Z10" s="232"/>
      <c r="AA10" s="231"/>
      <c r="AB10" s="7" t="s">
        <v>105</v>
      </c>
      <c r="AC10" s="7" t="s">
        <v>106</v>
      </c>
      <c r="AD10" s="7" t="s">
        <v>86</v>
      </c>
      <c r="AE10" s="7" t="s">
        <v>107</v>
      </c>
      <c r="AF10" s="7" t="s">
        <v>108</v>
      </c>
      <c r="AG10" s="7" t="s">
        <v>109</v>
      </c>
      <c r="AH10" s="249"/>
      <c r="AI10" s="249"/>
      <c r="AJ10" s="249"/>
      <c r="AK10" s="249"/>
      <c r="AL10" s="249"/>
      <c r="AM10" s="249"/>
      <c r="AN10" s="243"/>
      <c r="AO10" s="295" t="s">
        <v>102</v>
      </c>
      <c r="AP10" s="296"/>
      <c r="AQ10" s="295" t="s">
        <v>15</v>
      </c>
      <c r="AR10" s="296"/>
      <c r="AS10" s="145" t="s">
        <v>110</v>
      </c>
      <c r="AT10" s="194" t="s">
        <v>111</v>
      </c>
      <c r="AU10" s="232"/>
      <c r="AV10" s="232"/>
      <c r="AW10" s="232"/>
      <c r="AX10" s="232"/>
      <c r="AY10" s="232"/>
      <c r="AZ10" s="232"/>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280.5" x14ac:dyDescent="0.25">
      <c r="A11" s="225">
        <v>1</v>
      </c>
      <c r="B11" s="279" t="s">
        <v>112</v>
      </c>
      <c r="C11" s="219" t="s">
        <v>113</v>
      </c>
      <c r="D11" s="184" t="s">
        <v>114</v>
      </c>
      <c r="E11" s="184" t="s">
        <v>115</v>
      </c>
      <c r="F11" s="219" t="s">
        <v>116</v>
      </c>
      <c r="G11" s="227" t="s">
        <v>117</v>
      </c>
      <c r="H11" s="189" t="s">
        <v>118</v>
      </c>
      <c r="I11" s="227" t="s">
        <v>119</v>
      </c>
      <c r="J11" s="219" t="s">
        <v>120</v>
      </c>
      <c r="K11" s="221">
        <v>200</v>
      </c>
      <c r="L11" s="223" t="str">
        <f>IF(K11&lt;=0,"",IF(K11&lt;=2,"Muy Baja",IF(K11&lt;=24,"Baja",IF(K11&lt;=500,"Media",IF(K11&lt;=5000,"Alta","Muy Alta")))))</f>
        <v>Media</v>
      </c>
      <c r="M11" s="259">
        <f>IF(L11="","",IF(L11="Muy Baja",0.2,IF(L11="Baja",0.4,IF(L11="Media",0.6,IF(L11="Alta",0.8,IF(L11="Muy Alta",1,))))))</f>
        <v>0.6</v>
      </c>
      <c r="N11" s="256" t="s">
        <v>121</v>
      </c>
      <c r="O11" s="259" t="str">
        <f>IF(NOT(ISERROR(MATCH(N11,'Tabla Impacto'!$B$221:$B$223,0))),'Tabla Impacto'!$F$223&amp;"Por favor no seleccionar los criterios de impacto(Afectación Económica o presupuestal y Pérdida Reputacional)",N11)</f>
        <v xml:space="preserve">     El riesgo afecta la imagen de la entidad internamente, de conocimiento general, nivel interno, de junta dircetiva y accionistas y/o de provedores</v>
      </c>
      <c r="P11" s="223" t="str">
        <f>IF(OR(O11='Tabla Impacto'!$C$11,O11='Tabla Impacto'!$D$11),"Leve",IF(OR(O11='Tabla Impacto'!$C$12,O11='Tabla Impacto'!$D$12),"Menor",IF(OR(O11='Tabla Impacto'!$C$13,O11='Tabla Impacto'!$D$13),"Moderado",IF(OR(O11='Tabla Impacto'!$C$14,O11='Tabla Impacto'!$D$14),"Mayor",IF(OR(O11='Tabla Impacto'!$C$15,O11='Tabla Impacto'!$D$15),"Catastrófico","")))))</f>
        <v>Menor</v>
      </c>
      <c r="Q11" s="259">
        <f>IF(P11="","",IF(P11="Leve",0.2,IF(P11="Menor",0.4,IF(P11="Moderado",0.6,IF(P11="Mayor",0.8,IF(P11="Catastrófico",1,))))))</f>
        <v>0.4</v>
      </c>
      <c r="R11" s="263"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Moderado</v>
      </c>
      <c r="S11" s="146">
        <v>3</v>
      </c>
      <c r="T11" s="146" t="str">
        <f>+IF(S11=5,"CASI SEGURO",(IF(S11=4,"PROBABLE",(IF(S11=3,"POSIBLE",(IF(S11=2,"RARA VEZ",(IF(S11=1,"IMPROBABLE","")))))))))</f>
        <v>POSIBLE</v>
      </c>
      <c r="U11" s="146">
        <v>5</v>
      </c>
      <c r="V11" s="146" t="str">
        <f>+IF(U11=5,"ALTO",(IF(U11=3,"MEDIO",(IF(U11=1,"BAJO",IF(OR(U11=2,U11=4),"NO APLICA",""))))))</f>
        <v>ALTO</v>
      </c>
      <c r="W11" s="146">
        <f>IF(AND(S11&lt;&gt;"",U11&lt;&gt;"",V11&lt;&gt;"NO APLICA"),S11*U11,"")</f>
        <v>15</v>
      </c>
      <c r="X11" s="146" t="str">
        <f>IF(AND(W11&lt;4,W11&gt;0),"BAJA",IF(AND(W11&gt;9,W11&lt;26),"ALTA",IF(AND(W11&gt;3,W11&lt;10),"MEDIA","")))</f>
        <v>ALTA</v>
      </c>
      <c r="Y11" s="6">
        <v>1</v>
      </c>
      <c r="Z11" s="209" t="s">
        <v>310</v>
      </c>
      <c r="AA11" s="117" t="str">
        <f t="shared" ref="AA11:AA19" si="0">IF(OR(AB11="Preventivo",AB11="Detectivo"),"Probabilidad",IF(AB11="Correctivo","Impacto",""))</f>
        <v>Probabilidad</v>
      </c>
      <c r="AB11" s="118" t="s">
        <v>122</v>
      </c>
      <c r="AC11" s="118" t="s">
        <v>123</v>
      </c>
      <c r="AD11" s="119" t="str">
        <f>IF(AND(AB11="Preventivo",AC11="Automático"),"50%",IF(AND(AB11="Preventivo",AC11="Manual"),"40%",IF(AND(AB11="Detectivo",AC11="Automático"),"40%",IF(AND(AB11="Detectivo",AC11="Manual"),"30%",IF(AND(AB11="Correctivo",AC11="Automático"),"35%",IF(AND(AB11="Correctivo",AC11="Manual"),"25%",""))))))</f>
        <v>30%</v>
      </c>
      <c r="AE11" s="118" t="s">
        <v>124</v>
      </c>
      <c r="AF11" s="118" t="s">
        <v>125</v>
      </c>
      <c r="AG11" s="118" t="s">
        <v>126</v>
      </c>
      <c r="AH11" s="120">
        <f>IFERROR(IF(AA11="Probabilidad",(M11-(+M11*AD11)),IF(AA11="Impacto",M11,"")),"")</f>
        <v>0.42</v>
      </c>
      <c r="AI11" s="121" t="str">
        <f>IFERROR(IF(AH11="","",IF(AH11&lt;=0.2,"Muy Baja",IF(AH11&lt;=0.4,"Baja",IF(AH11&lt;=0.6,"Media",IF(AH11&lt;=0.8,"Alta","Muy Alta"))))),"")</f>
        <v>Media</v>
      </c>
      <c r="AJ11" s="122">
        <f>+AH11</f>
        <v>0.42</v>
      </c>
      <c r="AK11" s="121" t="str">
        <f>IFERROR(IF(AL11="","",IF(AL11&lt;=0.2,"Leve",IF(AL11&lt;=0.4,"Menor",IF(AL11&lt;=0.6,"Moderado",IF(AL11&lt;=0.8,"Mayor","Catastrófico"))))),"")</f>
        <v>Menor</v>
      </c>
      <c r="AL11" s="122">
        <f>IFERROR(IF(AA11="Impacto",(Q11-(+Q11*AD11)),IF(AA11="Probabilidad",Q11,"")),"")</f>
        <v>0.4</v>
      </c>
      <c r="AM11" s="123"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Moderado</v>
      </c>
      <c r="AN11" s="124" t="s">
        <v>127</v>
      </c>
      <c r="AO11" s="146">
        <v>5</v>
      </c>
      <c r="AP11" s="147" t="str">
        <f>+IF(AO11=5,"CASI SEGURO",(IF(AO11=4,"PROBABLE",(IF(AO11=3,"POSIBLE",(IF(AO11=2,"RARA VEZ",(IF(AO11=1,"IMPROBABLE","")))))))))</f>
        <v>CASI SEGURO</v>
      </c>
      <c r="AQ11" s="146">
        <v>5</v>
      </c>
      <c r="AR11" s="147" t="str">
        <f>+IF(AQ11=5,"ALTO",(IF(AQ11=3,"MEDIO",(IF(AQ11=1,"BAJO",IF(OR(AQ11=2,AQ11=4),"NO APLICA",""))))))</f>
        <v>ALTO</v>
      </c>
      <c r="AS11" s="146">
        <f>IF(AND(AO11&lt;&gt;"",AQ11&lt;&gt;"",AR11&lt;&gt;"NO APLICA"),AO11*AQ11,"")</f>
        <v>25</v>
      </c>
      <c r="AT11" s="147" t="str">
        <f>IF(AND(AS11&lt;4,AS11&gt;0),"BAJA",IF(AND(AS11&gt;9,AS11&lt;26),"ALTA",IF(AND(AS11&gt;3,AS11&lt;10),"MEDIA","")))</f>
        <v>ALTA</v>
      </c>
      <c r="AU11" s="140" t="s">
        <v>128</v>
      </c>
      <c r="AV11" s="140" t="s">
        <v>129</v>
      </c>
      <c r="AW11" s="148" t="s">
        <v>130</v>
      </c>
      <c r="AX11" s="148" t="s">
        <v>130</v>
      </c>
      <c r="AY11" s="139" t="s">
        <v>311</v>
      </c>
      <c r="AZ11" s="140" t="s">
        <v>137</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190.5" customHeight="1" x14ac:dyDescent="0.3">
      <c r="A12" s="226"/>
      <c r="B12" s="280"/>
      <c r="C12" s="220"/>
      <c r="D12" s="185" t="s">
        <v>131</v>
      </c>
      <c r="E12" s="185" t="s">
        <v>132</v>
      </c>
      <c r="F12" s="220"/>
      <c r="G12" s="228"/>
      <c r="H12" s="142" t="s">
        <v>133</v>
      </c>
      <c r="I12" s="228"/>
      <c r="J12" s="220"/>
      <c r="K12" s="222"/>
      <c r="L12" s="224"/>
      <c r="M12" s="260"/>
      <c r="N12" s="257"/>
      <c r="O12" s="260">
        <f>IF(NOT(ISERROR(MATCH(N12,_xlfn.ANCHORARRAY(G16),0))),#REF!&amp;"Por favor no seleccionar los criterios de impacto",N12)</f>
        <v>0</v>
      </c>
      <c r="P12" s="224"/>
      <c r="Q12" s="260"/>
      <c r="R12" s="264"/>
      <c r="S12" s="197"/>
      <c r="T12" s="197" t="str">
        <f t="shared" ref="T12:T58" si="1">+IF(S12=5,"CASI SEGURO",(IF(S12=4,"PROBABLE",(IF(S12=3,"POSIBLE",(IF(S12=2,"RARA VEZ",(IF(S12=1,"IMPROBABLE","")))))))))</f>
        <v/>
      </c>
      <c r="U12" s="197"/>
      <c r="V12" s="197" t="str">
        <f t="shared" ref="V12:V58" si="2">+IF(U12=5,"ALTO",(IF(U12=3,"MEDIO",(IF(U12=1,"BAJO",IF(OR(U12=2,U12=4),"NO APLICA",""))))))</f>
        <v/>
      </c>
      <c r="W12" s="197" t="str">
        <f t="shared" ref="W12:W58" si="3">IF(AND(S12&lt;&gt;"",U12&lt;&gt;"",V12&lt;&gt;"NO APLICA"),S12*U12,"")</f>
        <v/>
      </c>
      <c r="X12" s="197" t="str">
        <f t="shared" ref="X12:X58" si="4">IF(AND(W12&lt;4,W12&gt;0),"BAJA",IF(AND(W12&gt;9,W12&lt;26),"ALTA",IF(AND(W12&gt;3,W12&lt;10),"MEDIA","")))</f>
        <v/>
      </c>
      <c r="Y12" s="6">
        <v>2</v>
      </c>
      <c r="Z12" s="116" t="s">
        <v>134</v>
      </c>
      <c r="AA12" s="117" t="str">
        <f t="shared" si="0"/>
        <v>Impacto</v>
      </c>
      <c r="AB12" s="118" t="s">
        <v>135</v>
      </c>
      <c r="AC12" s="118" t="s">
        <v>123</v>
      </c>
      <c r="AD12" s="119" t="str">
        <f t="shared" ref="AD12:AD13" si="5">IF(AND(AB12="Preventivo",AC12="Automático"),"50%",IF(AND(AB12="Preventivo",AC12="Manual"),"40%",IF(AND(AB12="Detectivo",AC12="Automático"),"40%",IF(AND(AB12="Detectivo",AC12="Manual"),"30%",IF(AND(AB12="Correctivo",AC12="Automático"),"35%",IF(AND(AB12="Correctivo",AC12="Manual"),"25%",""))))))</f>
        <v>25%</v>
      </c>
      <c r="AE12" s="118" t="s">
        <v>124</v>
      </c>
      <c r="AF12" s="118" t="s">
        <v>125</v>
      </c>
      <c r="AG12" s="118" t="s">
        <v>126</v>
      </c>
      <c r="AH12" s="120">
        <f>IFERROR(IF(AND(AA11="Probabilidad",AA12="Probabilidad"),(AJ11-(+AJ11*AD12)),IF(AA12="Probabilidad",(M11-(+M11*AD12)),IF(AA12="Impacto",AJ11,""))),"")</f>
        <v>0.42</v>
      </c>
      <c r="AI12" s="121" t="str">
        <f t="shared" ref="AI12:AI58" si="6">IFERROR(IF(AH12="","",IF(AH12&lt;=0.2,"Muy Baja",IF(AH12&lt;=0.4,"Baja",IF(AH12&lt;=0.6,"Media",IF(AH12&lt;=0.8,"Alta","Muy Alta"))))),"")</f>
        <v>Media</v>
      </c>
      <c r="AJ12" s="122">
        <f t="shared" ref="AJ12:AJ13" si="7">+AH12</f>
        <v>0.42</v>
      </c>
      <c r="AK12" s="121" t="str">
        <f t="shared" ref="AK12:AK58" si="8">IFERROR(IF(AL12="","",IF(AL12&lt;=0.2,"Leve",IF(AL12&lt;=0.4,"Menor",IF(AL12&lt;=0.6,"Moderado",IF(AL12&lt;=0.8,"Mayor","Catastrófico"))))),"")</f>
        <v>Menor</v>
      </c>
      <c r="AL12" s="122">
        <f>IFERROR(IF(AND(AA11="Impacto",AA12="Impacto"),(AL11-(+AL11*AD12)),IF(AA12="Impacto",(Q11-(+Q11*AD12)),IF(AA12="Probabilidad",AL11,""))),"")</f>
        <v>0.30000000000000004</v>
      </c>
      <c r="AM12" s="123" t="str">
        <f t="shared" ref="AM12:AM13" si="9">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24" t="s">
        <v>127</v>
      </c>
      <c r="AO12" s="146"/>
      <c r="AP12" s="147" t="str">
        <f t="shared" ref="AP12:AP30" si="10">+IF(AO12=5,"CASI SEGURO",(IF(AO12=4,"PROBABLE",(IF(AO12=3,"POSIBLE",(IF(AO12=2,"RARA VEZ",(IF(AO12=1,"IMPROBABLE","")))))))))</f>
        <v/>
      </c>
      <c r="AQ12" s="146"/>
      <c r="AR12" s="147" t="str">
        <f t="shared" ref="AR12:AR30" si="11">+IF(AQ12=5,"ALTO",(IF(AQ12=3,"MEDIO",(IF(AQ12=1,"BAJO",IF(OR(AQ12=2,AQ12=4),"NO APLICA",""))))))</f>
        <v/>
      </c>
      <c r="AS12" s="146" t="str">
        <f t="shared" ref="AS12:AS30" si="12">IF(AND(AO12&lt;&gt;"",AQ12&lt;&gt;"",AR12&lt;&gt;"NO APLICA"),AO12*AQ12,"")</f>
        <v/>
      </c>
      <c r="AT12" s="147" t="str">
        <f t="shared" ref="AT12:AT30" si="13">IF(AND(AS12&lt;4,AS12&gt;0),"BAJA",IF(AND(AS12&gt;9,AS12&lt;26),"ALTA",IF(AND(AS12&gt;3,AS12&lt;10),"MEDIA","")))</f>
        <v/>
      </c>
      <c r="AU12" s="140" t="s">
        <v>136</v>
      </c>
      <c r="AV12" s="140" t="s">
        <v>307</v>
      </c>
      <c r="AW12" s="148" t="s">
        <v>130</v>
      </c>
      <c r="AX12" s="148" t="s">
        <v>130</v>
      </c>
      <c r="AY12" s="139" t="s">
        <v>306</v>
      </c>
      <c r="AZ12" s="140" t="s">
        <v>137</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212.25" customHeight="1" x14ac:dyDescent="0.3">
      <c r="A13" s="226"/>
      <c r="B13" s="280"/>
      <c r="C13" s="220"/>
      <c r="D13" s="185" t="s">
        <v>138</v>
      </c>
      <c r="E13" s="185" t="s">
        <v>139</v>
      </c>
      <c r="F13" s="220"/>
      <c r="G13" s="228"/>
      <c r="H13" s="190"/>
      <c r="I13" s="228"/>
      <c r="J13" s="220"/>
      <c r="K13" s="222"/>
      <c r="L13" s="224"/>
      <c r="M13" s="260"/>
      <c r="N13" s="257"/>
      <c r="O13" s="260">
        <f>IF(NOT(ISERROR(MATCH(N13,_xlfn.ANCHORARRAY(#REF!),0))),#REF!&amp;"Por favor no seleccionar los criterios de impacto",N13)</f>
        <v>0</v>
      </c>
      <c r="P13" s="224"/>
      <c r="Q13" s="260"/>
      <c r="R13" s="264"/>
      <c r="S13" s="197"/>
      <c r="T13" s="197" t="str">
        <f t="shared" si="1"/>
        <v/>
      </c>
      <c r="U13" s="197"/>
      <c r="V13" s="197" t="str">
        <f t="shared" si="2"/>
        <v/>
      </c>
      <c r="W13" s="197" t="str">
        <f t="shared" si="3"/>
        <v/>
      </c>
      <c r="X13" s="197" t="str">
        <f t="shared" si="4"/>
        <v/>
      </c>
      <c r="Y13" s="6">
        <v>3</v>
      </c>
      <c r="Z13" s="127" t="s">
        <v>140</v>
      </c>
      <c r="AA13" s="117" t="str">
        <f t="shared" si="0"/>
        <v>Probabilidad</v>
      </c>
      <c r="AB13" s="118" t="s">
        <v>141</v>
      </c>
      <c r="AC13" s="118" t="s">
        <v>123</v>
      </c>
      <c r="AD13" s="119" t="str">
        <f t="shared" si="5"/>
        <v>40%</v>
      </c>
      <c r="AE13" s="118" t="s">
        <v>124</v>
      </c>
      <c r="AF13" s="118" t="s">
        <v>125</v>
      </c>
      <c r="AG13" s="118" t="s">
        <v>126</v>
      </c>
      <c r="AH13" s="120">
        <f>IFERROR(IF(AND(AA12="Probabilidad",AA13="Probabilidad"),(AJ12-(+AJ12*AD13)),IF(AND(AA12="Impacto",AA13="Probabilidad"),(AJ11-(+AJ11*AD13)),IF(AA13="Impacto",AJ12,""))),"")</f>
        <v>0.252</v>
      </c>
      <c r="AI13" s="121" t="str">
        <f t="shared" si="6"/>
        <v>Baja</v>
      </c>
      <c r="AJ13" s="122">
        <f t="shared" si="7"/>
        <v>0.252</v>
      </c>
      <c r="AK13" s="121" t="str">
        <f t="shared" si="8"/>
        <v>Menor</v>
      </c>
      <c r="AL13" s="122">
        <f>IFERROR(IF(AND(AA12="Impacto",AA13="Impacto"),(AL12-(+AL12*AD13)),IF(AND(AA12="Probabilidad",AA13="Impacto"),(AL11-(+AL11*AD13)),IF(AA13="Probabilidad",AL12,""))),"")</f>
        <v>0.30000000000000004</v>
      </c>
      <c r="AM13" s="123" t="str">
        <f t="shared" si="9"/>
        <v>Moderado</v>
      </c>
      <c r="AN13" s="124" t="s">
        <v>127</v>
      </c>
      <c r="AO13" s="146"/>
      <c r="AP13" s="147" t="str">
        <f t="shared" si="10"/>
        <v/>
      </c>
      <c r="AQ13" s="146"/>
      <c r="AR13" s="147" t="str">
        <f t="shared" si="11"/>
        <v/>
      </c>
      <c r="AS13" s="146" t="str">
        <f t="shared" si="12"/>
        <v/>
      </c>
      <c r="AT13" s="147" t="str">
        <f t="shared" si="13"/>
        <v/>
      </c>
      <c r="AU13" s="140" t="s">
        <v>142</v>
      </c>
      <c r="AV13" s="140" t="s">
        <v>143</v>
      </c>
      <c r="AW13" s="148" t="s">
        <v>144</v>
      </c>
      <c r="AX13" s="148" t="s">
        <v>144</v>
      </c>
      <c r="AY13" s="139" t="s">
        <v>312</v>
      </c>
      <c r="AZ13" s="140" t="s">
        <v>145</v>
      </c>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267.75" customHeight="1" x14ac:dyDescent="0.3">
      <c r="A14" s="225">
        <v>2</v>
      </c>
      <c r="B14" s="280"/>
      <c r="C14" s="219" t="s">
        <v>113</v>
      </c>
      <c r="D14" s="219" t="s">
        <v>146</v>
      </c>
      <c r="E14" s="219" t="s">
        <v>147</v>
      </c>
      <c r="F14" s="219" t="s">
        <v>148</v>
      </c>
      <c r="G14" s="227" t="s">
        <v>149</v>
      </c>
      <c r="H14" s="227" t="s">
        <v>150</v>
      </c>
      <c r="I14" s="227" t="s">
        <v>151</v>
      </c>
      <c r="J14" s="219" t="s">
        <v>152</v>
      </c>
      <c r="K14" s="221">
        <v>600</v>
      </c>
      <c r="L14" s="223" t="str">
        <f>IF(K14&lt;=0,"",IF(K14&lt;=2,"Muy Baja",IF(K14&lt;=24,"Baja",IF(K14&lt;=500,"Media",IF(K14&lt;=5000,"Alta","Muy Alta")))))</f>
        <v>Alta</v>
      </c>
      <c r="M14" s="259">
        <f>IF(L14="","",IF(L14="Muy Baja",0.2,IF(L14="Baja",0.4,IF(L14="Media",0.6,IF(L14="Alta",0.8,IF(L14="Muy Alta",1,))))))</f>
        <v>0.8</v>
      </c>
      <c r="N14" s="256" t="s">
        <v>121</v>
      </c>
      <c r="O14" s="259" t="str">
        <f>IF(NOT(ISERROR(MATCH(N14,'Tabla Impacto'!$B$221:$B$223,0))),'Tabla Impacto'!$F$223&amp;"Por favor no seleccionar los criterios de impacto(Afectación Económica o presupuestal y Pérdida Reputacional)",N14)</f>
        <v xml:space="preserve">     El riesgo afecta la imagen de la entidad internamente, de conocimiento general, nivel interno, de junta dircetiva y accionistas y/o de provedores</v>
      </c>
      <c r="P14" s="223" t="str">
        <f>IF(OR(O14='Tabla Impacto'!$C$11,O14='Tabla Impacto'!$D$11),"Leve",IF(OR(O14='Tabla Impacto'!$C$12,O14='Tabla Impacto'!$D$12),"Menor",IF(OR(O14='Tabla Impacto'!$C$13,O14='Tabla Impacto'!$D$13),"Moderado",IF(OR(O14='Tabla Impacto'!$C$14,O14='Tabla Impacto'!$D$14),"Mayor",IF(OR(O14='Tabla Impacto'!$C$15,O14='Tabla Impacto'!$D$15),"Catastrófico","")))))</f>
        <v>Menor</v>
      </c>
      <c r="Q14" s="259">
        <f>IF(P14="","",IF(P14="Leve",0.2,IF(P14="Menor",0.4,IF(P14="Moderado",0.6,IF(P14="Mayor",0.8,IF(P14="Catastrófico",1,))))))</f>
        <v>0.4</v>
      </c>
      <c r="R14" s="263" t="str">
        <f>IF(OR(AND(L14="Muy Baja",P14="Leve"),AND(L14="Muy Baja",P14="Menor"),AND(L14="Baja",P14="Leve")),"Bajo",IF(OR(AND(L14="Muy baja",P14="Moderado"),AND(L14="Baja",P14="Menor"),AND(L14="Baja",P14="Moderado"),AND(L14="Media",P14="Leve"),AND(L14="Media",P14="Menor"),AND(L14="Media",P14="Moderado"),AND(L14="Alta",P14="Leve"),AND(L14="Alta",P14="Menor")),"Moderado",IF(OR(AND(L14="Muy Baja",P14="Mayor"),AND(L14="Baja",P14="Mayor"),AND(L14="Media",P14="Mayor"),AND(L14="Alta",P14="Moderado"),AND(L14="Alta",P14="Mayor"),AND(L14="Muy Alta",P14="Leve"),AND(L14="Muy Alta",P14="Menor"),AND(L14="Muy Alta",P14="Moderado"),AND(L14="Muy Alta",P14="Mayor")),"Alto",IF(OR(AND(L14="Muy Baja",P14="Catastrófico"),AND(L14="Baja",P14="Catastrófico"),AND(L14="Media",P14="Catastrófico"),AND(L14="Alta",P14="Catastrófico"),AND(L14="Muy Alta",P14="Catastrófico")),"Extremo",""))))</f>
        <v>Moderado</v>
      </c>
      <c r="S14" s="146">
        <v>2</v>
      </c>
      <c r="T14" s="146" t="str">
        <f t="shared" si="1"/>
        <v>RARA VEZ</v>
      </c>
      <c r="U14" s="146">
        <v>3</v>
      </c>
      <c r="V14" s="146" t="str">
        <f t="shared" si="2"/>
        <v>MEDIO</v>
      </c>
      <c r="W14" s="146">
        <f t="shared" si="3"/>
        <v>6</v>
      </c>
      <c r="X14" s="146" t="str">
        <f t="shared" si="4"/>
        <v>MEDIA</v>
      </c>
      <c r="Y14" s="6">
        <v>1</v>
      </c>
      <c r="Z14" s="116" t="s">
        <v>153</v>
      </c>
      <c r="AA14" s="117" t="str">
        <f t="shared" si="0"/>
        <v>Probabilidad</v>
      </c>
      <c r="AB14" s="118" t="s">
        <v>141</v>
      </c>
      <c r="AC14" s="118" t="s">
        <v>123</v>
      </c>
      <c r="AD14" s="119" t="str">
        <f>IF(AND(AB14="Preventivo",AC14="Automático"),"50%",IF(AND(AB14="Preventivo",AC14="Manual"),"40%",IF(AND(AB14="Detectivo",AC14="Automático"),"40%",IF(AND(AB14="Detectivo",AC14="Manual"),"30%",IF(AND(AB14="Correctivo",AC14="Automático"),"35%",IF(AND(AB14="Correctivo",AC14="Manual"),"25%",""))))))</f>
        <v>40%</v>
      </c>
      <c r="AE14" s="118" t="s">
        <v>124</v>
      </c>
      <c r="AF14" s="118" t="s">
        <v>125</v>
      </c>
      <c r="AG14" s="118" t="s">
        <v>126</v>
      </c>
      <c r="AH14" s="120">
        <f>IFERROR(IF(AA14="Probabilidad",(M14-(+M14*AD14)),IF(AA14="Impacto",M14,"")),"")</f>
        <v>0.48</v>
      </c>
      <c r="AI14" s="121" t="str">
        <f>IFERROR(IF(AH14="","",IF(AH14&lt;=0.2,"Muy Baja",IF(AH14&lt;=0.4,"Baja",IF(AH14&lt;=0.6,"Media",IF(AH14&lt;=0.8,"Alta","Muy Alta"))))),"")</f>
        <v>Media</v>
      </c>
      <c r="AJ14" s="122">
        <f>+AH14</f>
        <v>0.48</v>
      </c>
      <c r="AK14" s="121" t="str">
        <f>IFERROR(IF(AL14="","",IF(AL14&lt;=0.2,"Leve",IF(AL14&lt;=0.4,"Menor",IF(AL14&lt;=0.6,"Moderado",IF(AL14&lt;=0.8,"Mayor","Catastrófico"))))),"")</f>
        <v>Menor</v>
      </c>
      <c r="AL14" s="122">
        <f>IFERROR(IF(AA14="Impacto",(Q14-(+Q14*AD14)),IF(AA14="Probabilidad",Q14,"")),"")</f>
        <v>0.4</v>
      </c>
      <c r="AM14" s="123"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Moderado</v>
      </c>
      <c r="AN14" s="124" t="s">
        <v>127</v>
      </c>
      <c r="AO14" s="146"/>
      <c r="AP14" s="147" t="str">
        <f t="shared" si="10"/>
        <v/>
      </c>
      <c r="AQ14" s="146"/>
      <c r="AR14" s="147" t="str">
        <f t="shared" si="11"/>
        <v/>
      </c>
      <c r="AS14" s="146" t="str">
        <f t="shared" si="12"/>
        <v/>
      </c>
      <c r="AT14" s="147" t="str">
        <f t="shared" si="13"/>
        <v/>
      </c>
      <c r="AU14" s="140" t="s">
        <v>154</v>
      </c>
      <c r="AV14" s="140" t="s">
        <v>307</v>
      </c>
      <c r="AW14" s="148" t="s">
        <v>155</v>
      </c>
      <c r="AX14" s="148" t="s">
        <v>155</v>
      </c>
      <c r="AY14" s="208" t="s">
        <v>313</v>
      </c>
      <c r="AZ14" s="140" t="s">
        <v>145</v>
      </c>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190.5" customHeight="1" x14ac:dyDescent="0.3">
      <c r="A15" s="226"/>
      <c r="B15" s="280"/>
      <c r="C15" s="220"/>
      <c r="D15" s="220"/>
      <c r="E15" s="220"/>
      <c r="F15" s="277"/>
      <c r="G15" s="228"/>
      <c r="H15" s="278"/>
      <c r="I15" s="278"/>
      <c r="J15" s="220"/>
      <c r="K15" s="222"/>
      <c r="L15" s="224"/>
      <c r="M15" s="260"/>
      <c r="N15" s="257"/>
      <c r="O15" s="260">
        <f>IF(NOT(ISERROR(MATCH(N15,_xlfn.ANCHORARRAY(G17),0))),M19&amp;"Por favor no seleccionar los criterios de impacto",N15)</f>
        <v>0</v>
      </c>
      <c r="P15" s="224"/>
      <c r="Q15" s="260"/>
      <c r="R15" s="264"/>
      <c r="S15" s="146">
        <v>2</v>
      </c>
      <c r="T15" s="146" t="str">
        <f t="shared" ref="T15" si="14">+IF(S15=5,"CASI SEGURO",(IF(S15=4,"PROBABLE",(IF(S15=3,"POSIBLE",(IF(S15=2,"RARA VEZ",(IF(S15=1,"IMPROBABLE","")))))))))</f>
        <v>RARA VEZ</v>
      </c>
      <c r="U15" s="146">
        <v>3</v>
      </c>
      <c r="V15" s="146" t="str">
        <f t="shared" ref="V15" si="15">+IF(U15=5,"ALTO",(IF(U15=3,"MEDIO",(IF(U15=1,"BAJO",IF(OR(U15=2,U15=4),"NO APLICA",""))))))</f>
        <v>MEDIO</v>
      </c>
      <c r="W15" s="146">
        <f t="shared" ref="W15" si="16">IF(AND(S15&lt;&gt;"",U15&lt;&gt;"",V15&lt;&gt;"NO APLICA"),S15*U15,"")</f>
        <v>6</v>
      </c>
      <c r="X15" s="146" t="str">
        <f t="shared" ref="X15" si="17">IF(AND(W15&lt;4,W15&gt;0),"BAJA",IF(AND(W15&gt;9,W15&lt;26),"ALTA",IF(AND(W15&gt;3,W15&lt;10),"MEDIA","")))</f>
        <v>MEDIA</v>
      </c>
      <c r="Y15" s="6">
        <v>2</v>
      </c>
      <c r="Z15" s="116" t="s">
        <v>156</v>
      </c>
      <c r="AA15" s="117" t="str">
        <f t="shared" si="0"/>
        <v>Impacto</v>
      </c>
      <c r="AB15" s="118" t="s">
        <v>135</v>
      </c>
      <c r="AC15" s="118" t="s">
        <v>123</v>
      </c>
      <c r="AD15" s="119" t="str">
        <f t="shared" ref="AD15" si="18">IF(AND(AB15="Preventivo",AC15="Automático"),"50%",IF(AND(AB15="Preventivo",AC15="Manual"),"40%",IF(AND(AB15="Detectivo",AC15="Automático"),"40%",IF(AND(AB15="Detectivo",AC15="Manual"),"30%",IF(AND(AB15="Correctivo",AC15="Automático"),"35%",IF(AND(AB15="Correctivo",AC15="Manual"),"25%",""))))))</f>
        <v>25%</v>
      </c>
      <c r="AE15" s="118" t="s">
        <v>124</v>
      </c>
      <c r="AF15" s="118" t="s">
        <v>125</v>
      </c>
      <c r="AG15" s="118" t="s">
        <v>126</v>
      </c>
      <c r="AH15" s="120">
        <f>IFERROR(IF(AND(AA14="Probabilidad",AA15="Probabilidad"),(AJ14-(+AJ14*AD15)),IF(AA15="Probabilidad",(M14-(+M14*AD15)),IF(AA15="Impacto",AJ14,""))),"")</f>
        <v>0.48</v>
      </c>
      <c r="AI15" s="121" t="str">
        <f t="shared" si="6"/>
        <v>Media</v>
      </c>
      <c r="AJ15" s="122">
        <f t="shared" ref="AJ15" si="19">+AH15</f>
        <v>0.48</v>
      </c>
      <c r="AK15" s="121" t="str">
        <f t="shared" si="8"/>
        <v>Menor</v>
      </c>
      <c r="AL15" s="122">
        <f>IFERROR(IF(AND(AA14="Impacto",AA15="Impacto"),(AL14-(+AL14*AD15)),IF(AA15="Impacto",(Q14-(+Q14*AD15)),IF(AA15="Probabilidad",AL14,""))),"")</f>
        <v>0.30000000000000004</v>
      </c>
      <c r="AM15" s="123" t="str">
        <f t="shared" ref="AM15" si="20">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Moderado</v>
      </c>
      <c r="AN15" s="124" t="s">
        <v>127</v>
      </c>
      <c r="AO15" s="146">
        <v>5</v>
      </c>
      <c r="AP15" s="147" t="str">
        <f t="shared" si="10"/>
        <v>CASI SEGURO</v>
      </c>
      <c r="AQ15" s="146">
        <v>5</v>
      </c>
      <c r="AR15" s="147" t="str">
        <f t="shared" si="11"/>
        <v>ALTO</v>
      </c>
      <c r="AS15" s="146">
        <f t="shared" si="12"/>
        <v>25</v>
      </c>
      <c r="AT15" s="147" t="str">
        <f t="shared" si="13"/>
        <v>ALTA</v>
      </c>
      <c r="AU15" s="140" t="s">
        <v>309</v>
      </c>
      <c r="AV15" s="141" t="s">
        <v>308</v>
      </c>
      <c r="AW15" s="148" t="s">
        <v>130</v>
      </c>
      <c r="AX15" s="148" t="s">
        <v>130</v>
      </c>
      <c r="AY15" s="139" t="s">
        <v>157</v>
      </c>
      <c r="AZ15" s="140" t="s">
        <v>145</v>
      </c>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182.25" customHeight="1" x14ac:dyDescent="0.3">
      <c r="A16" s="188">
        <v>3</v>
      </c>
      <c r="B16" s="281"/>
      <c r="C16" s="184" t="s">
        <v>113</v>
      </c>
      <c r="D16" s="184" t="s">
        <v>131</v>
      </c>
      <c r="E16" s="184" t="s">
        <v>158</v>
      </c>
      <c r="F16" s="184" t="s">
        <v>159</v>
      </c>
      <c r="G16" s="189" t="s">
        <v>160</v>
      </c>
      <c r="H16" s="189" t="s">
        <v>161</v>
      </c>
      <c r="I16" s="189" t="s">
        <v>162</v>
      </c>
      <c r="J16" s="184" t="s">
        <v>120</v>
      </c>
      <c r="K16" s="186">
        <v>200</v>
      </c>
      <c r="L16" s="187" t="str">
        <f>IF(K16&lt;=0,"",IF(K16&lt;=2,"Muy Baja",IF(K16&lt;=24,"Baja",IF(K16&lt;=500,"Media",IF(K16&lt;=5000,"Alta","Muy Alta")))))</f>
        <v>Media</v>
      </c>
      <c r="M16" s="196">
        <f>IF(L16="","",IF(L16="Muy Baja",0.2,IF(L16="Baja",0.4,IF(L16="Media",0.6,IF(L16="Alta",0.8,IF(L16="Muy Alta",1,))))))</f>
        <v>0.6</v>
      </c>
      <c r="N16" s="195" t="s">
        <v>121</v>
      </c>
      <c r="O16" s="196" t="str">
        <f>IF(NOT(ISERROR(MATCH(N16,'Tabla Impacto'!$B$221:$B$223,0))),'Tabla Impacto'!$F$223&amp;"Por favor no seleccionar los criterios de impacto(Afectación Económica o presupuestal y Pérdida Reputacional)",N16)</f>
        <v xml:space="preserve">     El riesgo afecta la imagen de la entidad internamente, de conocimiento general, nivel interno, de junta dircetiva y accionistas y/o de provedores</v>
      </c>
      <c r="P16" s="187" t="str">
        <f>IF(OR(O16='Tabla Impacto'!$C$11,O16='Tabla Impacto'!$D$11),"Leve",IF(OR(O16='Tabla Impacto'!$C$12,O16='Tabla Impacto'!$D$12),"Menor",IF(OR(O16='Tabla Impacto'!$C$13,O16='Tabla Impacto'!$D$13),"Moderado",IF(OR(O16='Tabla Impacto'!$C$14,O16='Tabla Impacto'!$D$14),"Mayor",IF(OR(O16='Tabla Impacto'!$C$15,O16='Tabla Impacto'!$D$15),"Catastrófico","")))))</f>
        <v>Menor</v>
      </c>
      <c r="Q16" s="196">
        <f>IF(P16="","",IF(P16="Leve",0.2,IF(P16="Menor",0.4,IF(P16="Moderado",0.6,IF(P16="Mayor",0.8,IF(P16="Catastrófico",1,))))))</f>
        <v>0.4</v>
      </c>
      <c r="R16" s="197"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Moderado</v>
      </c>
      <c r="S16" s="197">
        <v>2</v>
      </c>
      <c r="T16" s="197" t="str">
        <f t="shared" si="1"/>
        <v>RARA VEZ</v>
      </c>
      <c r="U16" s="197">
        <v>3</v>
      </c>
      <c r="V16" s="197" t="str">
        <f t="shared" si="2"/>
        <v>MEDIO</v>
      </c>
      <c r="W16" s="197">
        <f t="shared" si="3"/>
        <v>6</v>
      </c>
      <c r="X16" s="197" t="str">
        <f t="shared" si="4"/>
        <v>MEDIA</v>
      </c>
      <c r="Y16" s="6">
        <v>1</v>
      </c>
      <c r="Z16" s="116" t="s">
        <v>163</v>
      </c>
      <c r="AA16" s="117" t="str">
        <f t="shared" si="0"/>
        <v>Impacto</v>
      </c>
      <c r="AB16" s="118" t="s">
        <v>135</v>
      </c>
      <c r="AC16" s="118" t="s">
        <v>123</v>
      </c>
      <c r="AD16" s="119" t="str">
        <f>IF(AND(AB16="Preventivo",AC16="Automático"),"50%",IF(AND(AB16="Preventivo",AC16="Manual"),"40%",IF(AND(AB16="Detectivo",AC16="Automático"),"40%",IF(AND(AB16="Detectivo",AC16="Manual"),"30%",IF(AND(AB16="Correctivo",AC16="Automático"),"35%",IF(AND(AB16="Correctivo",AC16="Manual"),"25%",""))))))</f>
        <v>25%</v>
      </c>
      <c r="AE16" s="118" t="s">
        <v>124</v>
      </c>
      <c r="AF16" s="118" t="s">
        <v>125</v>
      </c>
      <c r="AG16" s="118" t="s">
        <v>164</v>
      </c>
      <c r="AH16" s="120">
        <f>IFERROR(IF(AA16="Probabilidad",(M16-(+M16*AD16)),IF(AA16="Impacto",M16,"")),"")</f>
        <v>0.6</v>
      </c>
      <c r="AI16" s="121" t="str">
        <f>IFERROR(IF(AH16="","",IF(AH16&lt;=0.2,"Muy Baja",IF(AH16&lt;=0.4,"Baja",IF(AH16&lt;=0.6,"Media",IF(AH16&lt;=0.8,"Alta","Muy Alta"))))),"")</f>
        <v>Media</v>
      </c>
      <c r="AJ16" s="122">
        <f>+AH16</f>
        <v>0.6</v>
      </c>
      <c r="AK16" s="121" t="str">
        <f>IFERROR(IF(AL16="","",IF(AL16&lt;=0.2,"Leve",IF(AL16&lt;=0.4,"Menor",IF(AL16&lt;=0.6,"Moderado",IF(AL16&lt;=0.8,"Mayor","Catastrófico"))))),"")</f>
        <v>Menor</v>
      </c>
      <c r="AL16" s="122">
        <f>IFERROR(IF(AA16="Impacto",(Q16-(+Q16*AD16)),IF(AA16="Probabilidad",Q16,"")),"")</f>
        <v>0.30000000000000004</v>
      </c>
      <c r="AM16" s="123" t="str">
        <f>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Moderado</v>
      </c>
      <c r="AN16" s="124" t="s">
        <v>127</v>
      </c>
      <c r="AO16" s="146">
        <v>5</v>
      </c>
      <c r="AP16" s="147" t="str">
        <f t="shared" si="10"/>
        <v>CASI SEGURO</v>
      </c>
      <c r="AQ16" s="146">
        <v>5</v>
      </c>
      <c r="AR16" s="147" t="str">
        <f t="shared" si="11"/>
        <v>ALTO</v>
      </c>
      <c r="AS16" s="146">
        <f t="shared" si="12"/>
        <v>25</v>
      </c>
      <c r="AT16" s="147" t="str">
        <f t="shared" si="13"/>
        <v>ALTA</v>
      </c>
      <c r="AU16" s="140" t="s">
        <v>165</v>
      </c>
      <c r="AV16" s="141" t="s">
        <v>166</v>
      </c>
      <c r="AW16" s="148" t="s">
        <v>167</v>
      </c>
      <c r="AX16" s="148" t="s">
        <v>168</v>
      </c>
      <c r="AY16" s="139" t="s">
        <v>314</v>
      </c>
      <c r="AZ16" s="140" t="s">
        <v>145</v>
      </c>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1.5" customHeight="1" x14ac:dyDescent="0.3">
      <c r="A17" s="225">
        <v>4</v>
      </c>
      <c r="B17" s="129"/>
      <c r="C17" s="267"/>
      <c r="D17" s="267"/>
      <c r="E17" s="267"/>
      <c r="F17" s="198"/>
      <c r="G17" s="270"/>
      <c r="H17" s="201"/>
      <c r="I17" s="201"/>
      <c r="J17" s="267"/>
      <c r="K17" s="221"/>
      <c r="L17" s="223" t="str">
        <f>IF(K17&lt;=0,"",IF(K17&lt;=2,"Muy Baja",IF(K17&lt;=24,"Baja",IF(K17&lt;=500,"Media",IF(K17&lt;=5000,"Alta","Muy Alta")))))</f>
        <v/>
      </c>
      <c r="M17" s="259" t="str">
        <f>IF(L17="","",IF(L17="Muy Baja",0.2,IF(L17="Baja",0.4,IF(L17="Media",0.6,IF(L17="Alta",0.8,IF(L17="Muy Alta",1,))))))</f>
        <v/>
      </c>
      <c r="N17" s="256"/>
      <c r="O17" s="259">
        <f>IF(NOT(ISERROR(MATCH(N17,'Tabla Impacto'!$B$221:$B$223,0))),'Tabla Impacto'!$F$223&amp;"Por favor no seleccionar los criterios de impacto(Afectación Económica o presupuestal y Pérdida Reputacional)",N17)</f>
        <v>0</v>
      </c>
      <c r="P17" s="223" t="str">
        <f>IF(OR(O17='Tabla Impacto'!$C$11,O17='Tabla Impacto'!$D$11),"Leve",IF(OR(O17='Tabla Impacto'!$C$12,O17='Tabla Impacto'!$D$12),"Menor",IF(OR(O17='Tabla Impacto'!$C$13,O17='Tabla Impacto'!$D$13),"Moderado",IF(OR(O17='Tabla Impacto'!$C$14,O17='Tabla Impacto'!$D$14),"Mayor",IF(OR(O17='Tabla Impacto'!$C$15,O17='Tabla Impacto'!$D$15),"Catastrófico","")))))</f>
        <v/>
      </c>
      <c r="Q17" s="259" t="str">
        <f>IF(P17="","",IF(P17="Leve",0.2,IF(P17="Menor",0.4,IF(P17="Moderado",0.6,IF(P17="Mayor",0.8,IF(P17="Catastrófico",1,))))))</f>
        <v/>
      </c>
      <c r="R17" s="263" t="str">
        <f>IF(OR(AND(L17="Muy Baja",P17="Leve"),AND(L17="Muy Baja",P17="Menor"),AND(L17="Baja",P17="Leve")),"Bajo",IF(OR(AND(L17="Muy baja",P17="Moderado"),AND(L17="Baja",P17="Menor"),AND(L17="Baja",P17="Moderado"),AND(L17="Media",P17="Leve"),AND(L17="Media",P17="Menor"),AND(L17="Media",P17="Moderado"),AND(L17="Alta",P17="Leve"),AND(L17="Alta",P17="Menor")),"Moderado",IF(OR(AND(L17="Muy Baja",P17="Mayor"),AND(L17="Baja",P17="Mayor"),AND(L17="Media",P17="Mayor"),AND(L17="Alta",P17="Moderado"),AND(L17="Alta",P17="Mayor"),AND(L17="Muy Alta",P17="Leve"),AND(L17="Muy Alta",P17="Menor"),AND(L17="Muy Alta",P17="Moderado"),AND(L17="Muy Alta",P17="Mayor")),"Alto",IF(OR(AND(L17="Muy Baja",P17="Catastrófico"),AND(L17="Baja",P17="Catastrófico"),AND(L17="Media",P17="Catastrófico"),AND(L17="Alta",P17="Catastrófico"),AND(L17="Muy Alta",P17="Catastrófico")),"Extremo",""))))</f>
        <v/>
      </c>
      <c r="S17" s="197"/>
      <c r="T17" s="197" t="str">
        <f t="shared" si="1"/>
        <v/>
      </c>
      <c r="U17" s="197"/>
      <c r="V17" s="197" t="str">
        <f t="shared" si="2"/>
        <v/>
      </c>
      <c r="W17" s="197" t="str">
        <f t="shared" si="3"/>
        <v/>
      </c>
      <c r="X17" s="197" t="str">
        <f t="shared" si="4"/>
        <v/>
      </c>
      <c r="Y17" s="6">
        <v>1</v>
      </c>
      <c r="Z17" s="116"/>
      <c r="AA17" s="117" t="str">
        <f t="shared" si="0"/>
        <v/>
      </c>
      <c r="AB17" s="118"/>
      <c r="AC17" s="118"/>
      <c r="AD17" s="119" t="str">
        <f>IF(AND(AB17="Preventivo",AC17="Automático"),"50%",IF(AND(AB17="Preventivo",AC17="Manual"),"40%",IF(AND(AB17="Detectivo",AC17="Automático"),"40%",IF(AND(AB17="Detectivo",AC17="Manual"),"30%",IF(AND(AB17="Correctivo",AC17="Automático"),"35%",IF(AND(AB17="Correctivo",AC17="Manual"),"25%",""))))))</f>
        <v/>
      </c>
      <c r="AE17" s="118"/>
      <c r="AF17" s="118"/>
      <c r="AG17" s="118"/>
      <c r="AH17" s="120" t="str">
        <f>IFERROR(IF(AA17="Probabilidad",(M17-(+M17*AD17)),IF(AA17="Impacto",M17,"")),"")</f>
        <v/>
      </c>
      <c r="AI17" s="121" t="str">
        <f>IFERROR(IF(AH17="","",IF(AH17&lt;=0.2,"Muy Baja",IF(AH17&lt;=0.4,"Baja",IF(AH17&lt;=0.6,"Media",IF(AH17&lt;=0.8,"Alta","Muy Alta"))))),"")</f>
        <v/>
      </c>
      <c r="AJ17" s="122" t="str">
        <f>+AH17</f>
        <v/>
      </c>
      <c r="AK17" s="121" t="str">
        <f>IFERROR(IF(AL17="","",IF(AL17&lt;=0.2,"Leve",IF(AL17&lt;=0.4,"Menor",IF(AL17&lt;=0.6,"Moderado",IF(AL17&lt;=0.8,"Mayor","Catastrófico"))))),"")</f>
        <v/>
      </c>
      <c r="AL17" s="122" t="str">
        <f>IFERROR(IF(AA17="Impacto",(Q17-(+Q17*AD17)),IF(AA17="Probabilidad",Q17,"")),"")</f>
        <v/>
      </c>
      <c r="AM17" s="123" t="str">
        <f>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
      </c>
      <c r="AN17" s="124"/>
      <c r="AO17" s="146"/>
      <c r="AP17" s="147" t="str">
        <f t="shared" si="10"/>
        <v/>
      </c>
      <c r="AQ17" s="146"/>
      <c r="AR17" s="147" t="str">
        <f t="shared" si="11"/>
        <v/>
      </c>
      <c r="AS17" s="146" t="str">
        <f t="shared" si="12"/>
        <v/>
      </c>
      <c r="AT17" s="147" t="str">
        <f t="shared" si="13"/>
        <v/>
      </c>
      <c r="AU17" s="140"/>
      <c r="AV17" s="141"/>
      <c r="AW17" s="148"/>
      <c r="AX17" s="148"/>
      <c r="AY17" s="125"/>
      <c r="AZ17" s="141"/>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26"/>
      <c r="B18" s="130"/>
      <c r="C18" s="268"/>
      <c r="D18" s="268"/>
      <c r="E18" s="268"/>
      <c r="F18" s="199"/>
      <c r="G18" s="271"/>
      <c r="H18" s="202"/>
      <c r="I18" s="202"/>
      <c r="J18" s="268"/>
      <c r="K18" s="222"/>
      <c r="L18" s="224"/>
      <c r="M18" s="260"/>
      <c r="N18" s="257"/>
      <c r="O18" s="260">
        <f>IF(NOT(ISERROR(MATCH(N18,_xlfn.ANCHORARRAY(G29),0))),M31&amp;"Por favor no seleccionar los criterios de impacto",N18)</f>
        <v>0</v>
      </c>
      <c r="P18" s="224"/>
      <c r="Q18" s="260"/>
      <c r="R18" s="264"/>
      <c r="S18" s="197"/>
      <c r="T18" s="197" t="str">
        <f t="shared" si="1"/>
        <v/>
      </c>
      <c r="U18" s="197"/>
      <c r="V18" s="197" t="str">
        <f t="shared" si="2"/>
        <v/>
      </c>
      <c r="W18" s="197" t="str">
        <f t="shared" si="3"/>
        <v/>
      </c>
      <c r="X18" s="197" t="str">
        <f t="shared" si="4"/>
        <v/>
      </c>
      <c r="Y18" s="6">
        <v>2</v>
      </c>
      <c r="Z18" s="116"/>
      <c r="AA18" s="117" t="str">
        <f t="shared" si="0"/>
        <v/>
      </c>
      <c r="AB18" s="118"/>
      <c r="AC18" s="118"/>
      <c r="AD18" s="119" t="str">
        <f t="shared" ref="AD18:AD22" si="21">IF(AND(AB18="Preventivo",AC18="Automático"),"50%",IF(AND(AB18="Preventivo",AC18="Manual"),"40%",IF(AND(AB18="Detectivo",AC18="Automático"),"40%",IF(AND(AB18="Detectivo",AC18="Manual"),"30%",IF(AND(AB18="Correctivo",AC18="Automático"),"35%",IF(AND(AB18="Correctivo",AC18="Manual"),"25%",""))))))</f>
        <v/>
      </c>
      <c r="AE18" s="118"/>
      <c r="AF18" s="118"/>
      <c r="AG18" s="118"/>
      <c r="AH18" s="120" t="str">
        <f>IFERROR(IF(AND(AA17="Probabilidad",AA18="Probabilidad"),(AJ17-(+AJ17*AD18)),IF(AA18="Probabilidad",(M17-(+M17*AD18)),IF(AA18="Impacto",AJ17,""))),"")</f>
        <v/>
      </c>
      <c r="AI18" s="121" t="str">
        <f t="shared" si="6"/>
        <v/>
      </c>
      <c r="AJ18" s="122" t="str">
        <f t="shared" ref="AJ18:AJ22" si="22">+AH18</f>
        <v/>
      </c>
      <c r="AK18" s="121" t="str">
        <f t="shared" si="8"/>
        <v/>
      </c>
      <c r="AL18" s="122" t="str">
        <f>IFERROR(IF(AND(AA17="Impacto",AA18="Impacto"),(AL17-(+AL17*AD18)),IF(AA18="Impacto",(Q17-(+Q17*AD18)),IF(AA18="Probabilidad",AL17,""))),"")</f>
        <v/>
      </c>
      <c r="AM18" s="123" t="str">
        <f t="shared" ref="AM18:AM19" si="23">IFERROR(IF(OR(AND(AI18="Muy Baja",AK18="Leve"),AND(AI18="Muy Baja",AK18="Menor"),AND(AI18="Baja",AK18="Leve")),"Bajo",IF(OR(AND(AI18="Muy baja",AK18="Moderado"),AND(AI18="Baja",AK18="Menor"),AND(AI18="Baja",AK18="Moderado"),AND(AI18="Media",AK18="Leve"),AND(AI18="Media",AK18="Menor"),AND(AI18="Media",AK18="Moderado"),AND(AI18="Alta",AK18="Leve"),AND(AI18="Alta",AK18="Menor")),"Moderado",IF(OR(AND(AI18="Muy Baja",AK18="Mayor"),AND(AI18="Baja",AK18="Mayor"),AND(AI18="Media",AK18="Mayor"),AND(AI18="Alta",AK18="Moderado"),AND(AI18="Alta",AK18="Mayor"),AND(AI18="Muy Alta",AK18="Leve"),AND(AI18="Muy Alta",AK18="Menor"),AND(AI18="Muy Alta",AK18="Moderado"),AND(AI18="Muy Alta",AK18="Mayor")),"Alto",IF(OR(AND(AI18="Muy Baja",AK18="Catastrófico"),AND(AI18="Baja",AK18="Catastrófico"),AND(AI18="Media",AK18="Catastrófico"),AND(AI18="Alta",AK18="Catastrófico"),AND(AI18="Muy Alta",AK18="Catastrófico")),"Extremo","")))),"")</f>
        <v/>
      </c>
      <c r="AN18" s="124"/>
      <c r="AO18" s="146"/>
      <c r="AP18" s="147" t="str">
        <f t="shared" si="10"/>
        <v/>
      </c>
      <c r="AQ18" s="146"/>
      <c r="AR18" s="147" t="str">
        <f t="shared" si="11"/>
        <v/>
      </c>
      <c r="AS18" s="146" t="str">
        <f t="shared" si="12"/>
        <v/>
      </c>
      <c r="AT18" s="147" t="str">
        <f t="shared" si="13"/>
        <v/>
      </c>
      <c r="AU18" s="140"/>
      <c r="AV18" s="141"/>
      <c r="AW18" s="148"/>
      <c r="AX18" s="148"/>
      <c r="AY18" s="125"/>
      <c r="AZ18" s="141"/>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26"/>
      <c r="B19" s="130"/>
      <c r="C19" s="268"/>
      <c r="D19" s="268"/>
      <c r="E19" s="268"/>
      <c r="F19" s="199"/>
      <c r="G19" s="271"/>
      <c r="H19" s="202"/>
      <c r="I19" s="202"/>
      <c r="J19" s="268"/>
      <c r="K19" s="222"/>
      <c r="L19" s="224"/>
      <c r="M19" s="260"/>
      <c r="N19" s="257"/>
      <c r="O19" s="260">
        <f>IF(NOT(ISERROR(MATCH(N19,_xlfn.ANCHORARRAY(G30),0))),M32&amp;"Por favor no seleccionar los criterios de impacto",N19)</f>
        <v>0</v>
      </c>
      <c r="P19" s="224"/>
      <c r="Q19" s="260"/>
      <c r="R19" s="264"/>
      <c r="S19" s="197"/>
      <c r="T19" s="197" t="str">
        <f t="shared" si="1"/>
        <v/>
      </c>
      <c r="U19" s="197"/>
      <c r="V19" s="197" t="str">
        <f t="shared" si="2"/>
        <v/>
      </c>
      <c r="W19" s="197" t="str">
        <f t="shared" si="3"/>
        <v/>
      </c>
      <c r="X19" s="197" t="str">
        <f t="shared" si="4"/>
        <v/>
      </c>
      <c r="Y19" s="6">
        <v>3</v>
      </c>
      <c r="Z19" s="127"/>
      <c r="AA19" s="117" t="str">
        <f t="shared" si="0"/>
        <v/>
      </c>
      <c r="AB19" s="118"/>
      <c r="AC19" s="118"/>
      <c r="AD19" s="119" t="str">
        <f t="shared" si="21"/>
        <v/>
      </c>
      <c r="AE19" s="118"/>
      <c r="AF19" s="118"/>
      <c r="AG19" s="118"/>
      <c r="AH19" s="120" t="str">
        <f>IFERROR(IF(AND(AA18="Probabilidad",AA19="Probabilidad"),(AJ18-(+AJ18*AD19)),IF(AND(AA18="Impacto",AA19="Probabilidad"),(AJ17-(+AJ17*AD19)),IF(AA19="Impacto",AJ18,""))),"")</f>
        <v/>
      </c>
      <c r="AI19" s="121" t="str">
        <f t="shared" si="6"/>
        <v/>
      </c>
      <c r="AJ19" s="122" t="str">
        <f t="shared" si="22"/>
        <v/>
      </c>
      <c r="AK19" s="121" t="str">
        <f t="shared" si="8"/>
        <v/>
      </c>
      <c r="AL19" s="122" t="str">
        <f>IFERROR(IF(AND(AA18="Impacto",AA19="Impacto"),(AL18-(+AL18*AD19)),IF(AND(AA18="Probabilidad",AA19="Impacto"),(AL17-(+AL17*AD19)),IF(AA19="Probabilidad",AL18,""))),"")</f>
        <v/>
      </c>
      <c r="AM19" s="123" t="str">
        <f t="shared" si="23"/>
        <v/>
      </c>
      <c r="AN19" s="124"/>
      <c r="AO19" s="146"/>
      <c r="AP19" s="147" t="str">
        <f t="shared" si="10"/>
        <v/>
      </c>
      <c r="AQ19" s="146"/>
      <c r="AR19" s="147" t="str">
        <f t="shared" si="11"/>
        <v/>
      </c>
      <c r="AS19" s="146" t="str">
        <f t="shared" si="12"/>
        <v/>
      </c>
      <c r="AT19" s="147" t="str">
        <f t="shared" si="13"/>
        <v/>
      </c>
      <c r="AU19" s="140"/>
      <c r="AV19" s="141"/>
      <c r="AW19" s="148"/>
      <c r="AX19" s="148"/>
      <c r="AY19" s="125"/>
      <c r="AZ19" s="126"/>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26"/>
      <c r="B20" s="130"/>
      <c r="C20" s="268"/>
      <c r="D20" s="268"/>
      <c r="E20" s="268"/>
      <c r="F20" s="199"/>
      <c r="G20" s="271"/>
      <c r="H20" s="202"/>
      <c r="I20" s="202"/>
      <c r="J20" s="268"/>
      <c r="K20" s="222"/>
      <c r="L20" s="224"/>
      <c r="M20" s="260"/>
      <c r="N20" s="257"/>
      <c r="O20" s="260">
        <f>IF(NOT(ISERROR(MATCH(N20,_xlfn.ANCHORARRAY(G31),0))),M33&amp;"Por favor no seleccionar los criterios de impacto",N20)</f>
        <v>0</v>
      </c>
      <c r="P20" s="224"/>
      <c r="Q20" s="260"/>
      <c r="R20" s="264"/>
      <c r="S20" s="197"/>
      <c r="T20" s="197" t="str">
        <f t="shared" si="1"/>
        <v/>
      </c>
      <c r="U20" s="197"/>
      <c r="V20" s="197" t="str">
        <f t="shared" si="2"/>
        <v/>
      </c>
      <c r="W20" s="197" t="str">
        <f t="shared" si="3"/>
        <v/>
      </c>
      <c r="X20" s="197" t="str">
        <f t="shared" si="4"/>
        <v/>
      </c>
      <c r="Y20" s="6">
        <v>4</v>
      </c>
      <c r="Z20" s="116"/>
      <c r="AA20" s="117" t="str">
        <f t="shared" ref="AA20:AA22" si="24">IF(OR(AB20="Preventivo",AB20="Detectivo"),"Probabilidad",IF(AB20="Correctivo","Impacto",""))</f>
        <v/>
      </c>
      <c r="AB20" s="118"/>
      <c r="AC20" s="118"/>
      <c r="AD20" s="119" t="str">
        <f t="shared" si="21"/>
        <v/>
      </c>
      <c r="AE20" s="118"/>
      <c r="AF20" s="118"/>
      <c r="AG20" s="118"/>
      <c r="AH20" s="120" t="str">
        <f t="shared" ref="AH20:AH22" si="25">IFERROR(IF(AND(AA19="Probabilidad",AA20="Probabilidad"),(AJ19-(+AJ19*AD20)),IF(AND(AA19="Impacto",AA20="Probabilidad"),(AJ18-(+AJ18*AD20)),IF(AA20="Impacto",AJ19,""))),"")</f>
        <v/>
      </c>
      <c r="AI20" s="121" t="str">
        <f t="shared" si="6"/>
        <v/>
      </c>
      <c r="AJ20" s="122" t="str">
        <f t="shared" si="22"/>
        <v/>
      </c>
      <c r="AK20" s="121" t="str">
        <f t="shared" si="8"/>
        <v/>
      </c>
      <c r="AL20" s="122" t="str">
        <f t="shared" ref="AL20:AL22" si="26">IFERROR(IF(AND(AA19="Impacto",AA20="Impacto"),(AL19-(+AL19*AD20)),IF(AND(AA19="Probabilidad",AA20="Impacto"),(AL18-(+AL18*AD20)),IF(AA20="Probabilidad",AL19,""))),"")</f>
        <v/>
      </c>
      <c r="AM20" s="123" t="str">
        <f>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24"/>
      <c r="AO20" s="146"/>
      <c r="AP20" s="147" t="str">
        <f t="shared" si="10"/>
        <v/>
      </c>
      <c r="AQ20" s="146"/>
      <c r="AR20" s="147" t="str">
        <f t="shared" si="11"/>
        <v/>
      </c>
      <c r="AS20" s="146" t="str">
        <f t="shared" si="12"/>
        <v/>
      </c>
      <c r="AT20" s="147" t="str">
        <f t="shared" si="13"/>
        <v/>
      </c>
      <c r="AU20" s="140"/>
      <c r="AV20" s="141"/>
      <c r="AW20" s="148"/>
      <c r="AX20" s="148"/>
      <c r="AY20" s="125"/>
      <c r="AZ20" s="126"/>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26"/>
      <c r="B21" s="130"/>
      <c r="C21" s="268"/>
      <c r="D21" s="268"/>
      <c r="E21" s="268"/>
      <c r="F21" s="199"/>
      <c r="G21" s="271"/>
      <c r="H21" s="202"/>
      <c r="I21" s="202"/>
      <c r="J21" s="268"/>
      <c r="K21" s="222"/>
      <c r="L21" s="224"/>
      <c r="M21" s="260"/>
      <c r="N21" s="257"/>
      <c r="O21" s="260">
        <f>IF(NOT(ISERROR(MATCH(N21,_xlfn.ANCHORARRAY(G32),0))),M34&amp;"Por favor no seleccionar los criterios de impacto",N21)</f>
        <v>0</v>
      </c>
      <c r="P21" s="224"/>
      <c r="Q21" s="260"/>
      <c r="R21" s="264"/>
      <c r="S21" s="197"/>
      <c r="T21" s="197" t="str">
        <f t="shared" si="1"/>
        <v/>
      </c>
      <c r="U21" s="197"/>
      <c r="V21" s="197" t="str">
        <f t="shared" si="2"/>
        <v/>
      </c>
      <c r="W21" s="197" t="str">
        <f t="shared" si="3"/>
        <v/>
      </c>
      <c r="X21" s="197" t="str">
        <f t="shared" si="4"/>
        <v/>
      </c>
      <c r="Y21" s="6">
        <v>5</v>
      </c>
      <c r="Z21" s="116"/>
      <c r="AA21" s="117" t="str">
        <f t="shared" si="24"/>
        <v/>
      </c>
      <c r="AB21" s="118"/>
      <c r="AC21" s="118"/>
      <c r="AD21" s="119" t="str">
        <f t="shared" si="21"/>
        <v/>
      </c>
      <c r="AE21" s="118"/>
      <c r="AF21" s="118"/>
      <c r="AG21" s="118"/>
      <c r="AH21" s="128" t="str">
        <f t="shared" si="25"/>
        <v/>
      </c>
      <c r="AI21" s="121" t="str">
        <f>IFERROR(IF(AH21="","",IF(AH21&lt;=0.2,"Muy Baja",IF(AH21&lt;=0.4,"Baja",IF(AH21&lt;=0.6,"Media",IF(AH21&lt;=0.8,"Alta","Muy Alta"))))),"")</f>
        <v/>
      </c>
      <c r="AJ21" s="122" t="str">
        <f t="shared" si="22"/>
        <v/>
      </c>
      <c r="AK21" s="121" t="str">
        <f t="shared" si="8"/>
        <v/>
      </c>
      <c r="AL21" s="122" t="str">
        <f t="shared" si="26"/>
        <v/>
      </c>
      <c r="AM21" s="123" t="str">
        <f t="shared" ref="AM21:AM22" si="27">IFERROR(IF(OR(AND(AI21="Muy Baja",AK21="Leve"),AND(AI21="Muy Baja",AK21="Menor"),AND(AI21="Baja",AK21="Leve")),"Bajo",IF(OR(AND(AI21="Muy baja",AK21="Moderado"),AND(AI21="Baja",AK21="Menor"),AND(AI21="Baja",AK21="Moderado"),AND(AI21="Media",AK21="Leve"),AND(AI21="Media",AK21="Menor"),AND(AI21="Media",AK21="Moderado"),AND(AI21="Alta",AK21="Leve"),AND(AI21="Alta",AK21="Menor")),"Moderado",IF(OR(AND(AI21="Muy Baja",AK21="Mayor"),AND(AI21="Baja",AK21="Mayor"),AND(AI21="Media",AK21="Mayor"),AND(AI21="Alta",AK21="Moderado"),AND(AI21="Alta",AK21="Mayor"),AND(AI21="Muy Alta",AK21="Leve"),AND(AI21="Muy Alta",AK21="Menor"),AND(AI21="Muy Alta",AK21="Moderado"),AND(AI21="Muy Alta",AK21="Mayor")),"Alto",IF(OR(AND(AI21="Muy Baja",AK21="Catastrófico"),AND(AI21="Baja",AK21="Catastrófico"),AND(AI21="Media",AK21="Catastrófico"),AND(AI21="Alta",AK21="Catastrófico"),AND(AI21="Muy Alta",AK21="Catastrófico")),"Extremo","")))),"")</f>
        <v/>
      </c>
      <c r="AN21" s="124"/>
      <c r="AO21" s="146"/>
      <c r="AP21" s="147" t="str">
        <f t="shared" si="10"/>
        <v/>
      </c>
      <c r="AQ21" s="146"/>
      <c r="AR21" s="147" t="str">
        <f t="shared" si="11"/>
        <v/>
      </c>
      <c r="AS21" s="146" t="str">
        <f t="shared" si="12"/>
        <v/>
      </c>
      <c r="AT21" s="147" t="str">
        <f t="shared" si="13"/>
        <v/>
      </c>
      <c r="AU21" s="140"/>
      <c r="AV21" s="141"/>
      <c r="AW21" s="148"/>
      <c r="AX21" s="148"/>
      <c r="AY21" s="125"/>
      <c r="AZ21" s="126"/>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66"/>
      <c r="B22" s="131"/>
      <c r="C22" s="269"/>
      <c r="D22" s="269"/>
      <c r="E22" s="269"/>
      <c r="F22" s="200"/>
      <c r="G22" s="272"/>
      <c r="H22" s="203"/>
      <c r="I22" s="203"/>
      <c r="J22" s="269"/>
      <c r="K22" s="273"/>
      <c r="L22" s="262"/>
      <c r="M22" s="261"/>
      <c r="N22" s="258"/>
      <c r="O22" s="261">
        <f>IF(NOT(ISERROR(MATCH(N22,_xlfn.ANCHORARRAY(G33),0))),M35&amp;"Por favor no seleccionar los criterios de impacto",N22)</f>
        <v>0</v>
      </c>
      <c r="P22" s="262"/>
      <c r="Q22" s="261"/>
      <c r="R22" s="265"/>
      <c r="S22" s="197"/>
      <c r="T22" s="197" t="str">
        <f t="shared" si="1"/>
        <v/>
      </c>
      <c r="U22" s="197"/>
      <c r="V22" s="197" t="str">
        <f t="shared" si="2"/>
        <v/>
      </c>
      <c r="W22" s="197" t="str">
        <f t="shared" si="3"/>
        <v/>
      </c>
      <c r="X22" s="197" t="str">
        <f t="shared" si="4"/>
        <v/>
      </c>
      <c r="Y22" s="6">
        <v>6</v>
      </c>
      <c r="Z22" s="116"/>
      <c r="AA22" s="117" t="str">
        <f t="shared" si="24"/>
        <v/>
      </c>
      <c r="AB22" s="118"/>
      <c r="AC22" s="118"/>
      <c r="AD22" s="119" t="str">
        <f t="shared" si="21"/>
        <v/>
      </c>
      <c r="AE22" s="118"/>
      <c r="AF22" s="118"/>
      <c r="AG22" s="118"/>
      <c r="AH22" s="120" t="str">
        <f t="shared" si="25"/>
        <v/>
      </c>
      <c r="AI22" s="121" t="str">
        <f t="shared" si="6"/>
        <v/>
      </c>
      <c r="AJ22" s="122" t="str">
        <f t="shared" si="22"/>
        <v/>
      </c>
      <c r="AK22" s="121" t="str">
        <f t="shared" si="8"/>
        <v/>
      </c>
      <c r="AL22" s="122" t="str">
        <f t="shared" si="26"/>
        <v/>
      </c>
      <c r="AM22" s="123" t="str">
        <f t="shared" si="27"/>
        <v/>
      </c>
      <c r="AN22" s="124"/>
      <c r="AO22" s="146"/>
      <c r="AP22" s="147" t="str">
        <f t="shared" si="10"/>
        <v/>
      </c>
      <c r="AQ22" s="146"/>
      <c r="AR22" s="147" t="str">
        <f t="shared" si="11"/>
        <v/>
      </c>
      <c r="AS22" s="146" t="str">
        <f t="shared" si="12"/>
        <v/>
      </c>
      <c r="AT22" s="147" t="str">
        <f t="shared" si="13"/>
        <v/>
      </c>
      <c r="AU22" s="140"/>
      <c r="AV22" s="141"/>
      <c r="AW22" s="148"/>
      <c r="AX22" s="148"/>
      <c r="AY22" s="125"/>
      <c r="AZ22" s="126"/>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25">
        <v>5</v>
      </c>
      <c r="B23" s="129"/>
      <c r="C23" s="267"/>
      <c r="D23" s="267"/>
      <c r="E23" s="267"/>
      <c r="F23" s="198"/>
      <c r="G23" s="270"/>
      <c r="H23" s="201"/>
      <c r="I23" s="201"/>
      <c r="J23" s="267"/>
      <c r="K23" s="221"/>
      <c r="L23" s="223" t="str">
        <f>IF(K23&lt;=0,"",IF(K23&lt;=2,"Muy Baja",IF(K23&lt;=24,"Baja",IF(K23&lt;=500,"Media",IF(K23&lt;=5000,"Alta","Muy Alta")))))</f>
        <v/>
      </c>
      <c r="M23" s="259" t="str">
        <f>IF(L23="","",IF(L23="Muy Baja",0.2,IF(L23="Baja",0.4,IF(L23="Media",0.6,IF(L23="Alta",0.8,IF(L23="Muy Alta",1,))))))</f>
        <v/>
      </c>
      <c r="N23" s="256"/>
      <c r="O23" s="259">
        <f>IF(NOT(ISERROR(MATCH(N23,'Tabla Impacto'!$B$221:$B$223,0))),'Tabla Impacto'!$F$223&amp;"Por favor no seleccionar los criterios de impacto(Afectación Económica o presupuestal y Pérdida Reputacional)",N23)</f>
        <v>0</v>
      </c>
      <c r="P23" s="223" t="str">
        <f>IF(OR(O23='Tabla Impacto'!$C$11,O23='Tabla Impacto'!$D$11),"Leve",IF(OR(O23='Tabla Impacto'!$C$12,O23='Tabla Impacto'!$D$12),"Menor",IF(OR(O23='Tabla Impacto'!$C$13,O23='Tabla Impacto'!$D$13),"Moderado",IF(OR(O23='Tabla Impacto'!$C$14,O23='Tabla Impacto'!$D$14),"Mayor",IF(OR(O23='Tabla Impacto'!$C$15,O23='Tabla Impacto'!$D$15),"Catastrófico","")))))</f>
        <v/>
      </c>
      <c r="Q23" s="259" t="str">
        <f>IF(P23="","",IF(P23="Leve",0.2,IF(P23="Menor",0.4,IF(P23="Moderado",0.6,IF(P23="Mayor",0.8,IF(P23="Catastrófico",1,))))))</f>
        <v/>
      </c>
      <c r="R23" s="263" t="str">
        <f>IF(OR(AND(L23="Muy Baja",P23="Leve"),AND(L23="Muy Baja",P23="Menor"),AND(L23="Baja",P23="Leve")),"Bajo",IF(OR(AND(L23="Muy baja",P23="Moderado"),AND(L23="Baja",P23="Menor"),AND(L23="Baja",P23="Moderado"),AND(L23="Media",P23="Leve"),AND(L23="Media",P23="Menor"),AND(L23="Media",P23="Moderado"),AND(L23="Alta",P23="Leve"),AND(L23="Alta",P23="Menor")),"Moderado",IF(OR(AND(L23="Muy Baja",P23="Mayor"),AND(L23="Baja",P23="Mayor"),AND(L23="Media",P23="Mayor"),AND(L23="Alta",P23="Moderado"),AND(L23="Alta",P23="Mayor"),AND(L23="Muy Alta",P23="Leve"),AND(L23="Muy Alta",P23="Menor"),AND(L23="Muy Alta",P23="Moderado"),AND(L23="Muy Alta",P23="Mayor")),"Alto",IF(OR(AND(L23="Muy Baja",P23="Catastrófico"),AND(L23="Baja",P23="Catastrófico"),AND(L23="Media",P23="Catastrófico"),AND(L23="Alta",P23="Catastrófico"),AND(L23="Muy Alta",P23="Catastrófico")),"Extremo",""))))</f>
        <v/>
      </c>
      <c r="S23" s="197"/>
      <c r="T23" s="197" t="str">
        <f t="shared" si="1"/>
        <v/>
      </c>
      <c r="U23" s="197"/>
      <c r="V23" s="197" t="str">
        <f t="shared" si="2"/>
        <v/>
      </c>
      <c r="W23" s="197" t="str">
        <f t="shared" si="3"/>
        <v/>
      </c>
      <c r="X23" s="197" t="str">
        <f t="shared" si="4"/>
        <v/>
      </c>
      <c r="Y23" s="6">
        <v>1</v>
      </c>
      <c r="Z23" s="116"/>
      <c r="AA23" s="117" t="str">
        <f>IF(OR(AB23="Preventivo",AB23="Detectivo"),"Probabilidad",IF(AB23="Correctivo","Impacto",""))</f>
        <v/>
      </c>
      <c r="AB23" s="118"/>
      <c r="AC23" s="118"/>
      <c r="AD23" s="119" t="str">
        <f>IF(AND(AB23="Preventivo",AC23="Automático"),"50%",IF(AND(AB23="Preventivo",AC23="Manual"),"40%",IF(AND(AB23="Detectivo",AC23="Automático"),"40%",IF(AND(AB23="Detectivo",AC23="Manual"),"30%",IF(AND(AB23="Correctivo",AC23="Automático"),"35%",IF(AND(AB23="Correctivo",AC23="Manual"),"25%",""))))))</f>
        <v/>
      </c>
      <c r="AE23" s="118"/>
      <c r="AF23" s="118"/>
      <c r="AG23" s="118"/>
      <c r="AH23" s="120" t="str">
        <f>IFERROR(IF(AA23="Probabilidad",(M23-(+M23*AD23)),IF(AA23="Impacto",M23,"")),"")</f>
        <v/>
      </c>
      <c r="AI23" s="121" t="str">
        <f>IFERROR(IF(AH23="","",IF(AH23&lt;=0.2,"Muy Baja",IF(AH23&lt;=0.4,"Baja",IF(AH23&lt;=0.6,"Media",IF(AH23&lt;=0.8,"Alta","Muy Alta"))))),"")</f>
        <v/>
      </c>
      <c r="AJ23" s="122" t="str">
        <f>+AH23</f>
        <v/>
      </c>
      <c r="AK23" s="121" t="str">
        <f>IFERROR(IF(AL23="","",IF(AL23&lt;=0.2,"Leve",IF(AL23&lt;=0.4,"Menor",IF(AL23&lt;=0.6,"Moderado",IF(AL23&lt;=0.8,"Mayor","Catastrófico"))))),"")</f>
        <v/>
      </c>
      <c r="AL23" s="122" t="str">
        <f>IFERROR(IF(AA23="Impacto",(Q23-(+Q23*AD23)),IF(AA23="Probabilidad",Q23,"")),"")</f>
        <v/>
      </c>
      <c r="AM23" s="123" t="str">
        <f>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24"/>
      <c r="AO23" s="146"/>
      <c r="AP23" s="147" t="str">
        <f t="shared" si="10"/>
        <v/>
      </c>
      <c r="AQ23" s="146"/>
      <c r="AR23" s="147" t="str">
        <f t="shared" si="11"/>
        <v/>
      </c>
      <c r="AS23" s="146" t="str">
        <f t="shared" si="12"/>
        <v/>
      </c>
      <c r="AT23" s="147" t="str">
        <f t="shared" si="13"/>
        <v/>
      </c>
      <c r="AU23" s="140"/>
      <c r="AV23" s="141"/>
      <c r="AW23" s="148"/>
      <c r="AX23" s="148"/>
      <c r="AY23" s="125"/>
      <c r="AZ23" s="126"/>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26"/>
      <c r="B24" s="130"/>
      <c r="C24" s="268"/>
      <c r="D24" s="268"/>
      <c r="E24" s="268"/>
      <c r="F24" s="199"/>
      <c r="G24" s="271"/>
      <c r="H24" s="202"/>
      <c r="I24" s="202"/>
      <c r="J24" s="268"/>
      <c r="K24" s="222"/>
      <c r="L24" s="224"/>
      <c r="M24" s="260"/>
      <c r="N24" s="257"/>
      <c r="O24" s="260">
        <f>IF(NOT(ISERROR(MATCH(N24,_xlfn.ANCHORARRAY(G35),0))),M37&amp;"Por favor no seleccionar los criterios de impacto",N24)</f>
        <v>0</v>
      </c>
      <c r="P24" s="224"/>
      <c r="Q24" s="260"/>
      <c r="R24" s="264"/>
      <c r="S24" s="197"/>
      <c r="T24" s="197" t="str">
        <f t="shared" si="1"/>
        <v/>
      </c>
      <c r="U24" s="197"/>
      <c r="V24" s="197" t="str">
        <f t="shared" si="2"/>
        <v/>
      </c>
      <c r="W24" s="197" t="str">
        <f t="shared" si="3"/>
        <v/>
      </c>
      <c r="X24" s="197" t="str">
        <f t="shared" si="4"/>
        <v/>
      </c>
      <c r="Y24" s="6">
        <v>2</v>
      </c>
      <c r="Z24" s="116"/>
      <c r="AA24" s="117" t="str">
        <f>IF(OR(AB24="Preventivo",AB24="Detectivo"),"Probabilidad",IF(AB24="Correctivo","Impacto",""))</f>
        <v/>
      </c>
      <c r="AB24" s="118"/>
      <c r="AC24" s="118"/>
      <c r="AD24" s="119" t="str">
        <f t="shared" ref="AD24:AD28" si="28">IF(AND(AB24="Preventivo",AC24="Automático"),"50%",IF(AND(AB24="Preventivo",AC24="Manual"),"40%",IF(AND(AB24="Detectivo",AC24="Automático"),"40%",IF(AND(AB24="Detectivo",AC24="Manual"),"30%",IF(AND(AB24="Correctivo",AC24="Automático"),"35%",IF(AND(AB24="Correctivo",AC24="Manual"),"25%",""))))))</f>
        <v/>
      </c>
      <c r="AE24" s="118"/>
      <c r="AF24" s="118"/>
      <c r="AG24" s="118"/>
      <c r="AH24" s="120" t="str">
        <f>IFERROR(IF(AND(AA23="Probabilidad",AA24="Probabilidad"),(AJ23-(+AJ23*AD24)),IF(AA24="Probabilidad",(M23-(+M23*AD24)),IF(AA24="Impacto",AJ23,""))),"")</f>
        <v/>
      </c>
      <c r="AI24" s="121" t="str">
        <f t="shared" si="6"/>
        <v/>
      </c>
      <c r="AJ24" s="122" t="str">
        <f t="shared" ref="AJ24:AJ28" si="29">+AH24</f>
        <v/>
      </c>
      <c r="AK24" s="121" t="str">
        <f t="shared" si="8"/>
        <v/>
      </c>
      <c r="AL24" s="122" t="str">
        <f>IFERROR(IF(AND(AA23="Impacto",AA24="Impacto"),(AL23-(+AL23*AD24)),IF(AA24="Impacto",(Q23-(+Q23*AD24)),IF(AA24="Probabilidad",AL23,""))),"")</f>
        <v/>
      </c>
      <c r="AM24" s="123" t="str">
        <f t="shared" ref="AM24:AM25" si="30">IFERROR(IF(OR(AND(AI24="Muy Baja",AK24="Leve"),AND(AI24="Muy Baja",AK24="Menor"),AND(AI24="Baja",AK24="Leve")),"Bajo",IF(OR(AND(AI24="Muy baja",AK24="Moderado"),AND(AI24="Baja",AK24="Menor"),AND(AI24="Baja",AK24="Moderado"),AND(AI24="Media",AK24="Leve"),AND(AI24="Media",AK24="Menor"),AND(AI24="Media",AK24="Moderado"),AND(AI24="Alta",AK24="Leve"),AND(AI24="Alta",AK24="Menor")),"Moderado",IF(OR(AND(AI24="Muy Baja",AK24="Mayor"),AND(AI24="Baja",AK24="Mayor"),AND(AI24="Media",AK24="Mayor"),AND(AI24="Alta",AK24="Moderado"),AND(AI24="Alta",AK24="Mayor"),AND(AI24="Muy Alta",AK24="Leve"),AND(AI24="Muy Alta",AK24="Menor"),AND(AI24="Muy Alta",AK24="Moderado"),AND(AI24="Muy Alta",AK24="Mayor")),"Alto",IF(OR(AND(AI24="Muy Baja",AK24="Catastrófico"),AND(AI24="Baja",AK24="Catastrófico"),AND(AI24="Media",AK24="Catastrófico"),AND(AI24="Alta",AK24="Catastrófico"),AND(AI24="Muy Alta",AK24="Catastrófico")),"Extremo","")))),"")</f>
        <v/>
      </c>
      <c r="AN24" s="124"/>
      <c r="AO24" s="146"/>
      <c r="AP24" s="147" t="str">
        <f t="shared" si="10"/>
        <v/>
      </c>
      <c r="AQ24" s="146"/>
      <c r="AR24" s="147" t="str">
        <f t="shared" si="11"/>
        <v/>
      </c>
      <c r="AS24" s="146" t="str">
        <f t="shared" si="12"/>
        <v/>
      </c>
      <c r="AT24" s="147" t="str">
        <f t="shared" si="13"/>
        <v/>
      </c>
      <c r="AU24" s="140"/>
      <c r="AV24" s="141"/>
      <c r="AW24" s="148"/>
      <c r="AX24" s="148"/>
      <c r="AY24" s="125"/>
      <c r="AZ24" s="126"/>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26"/>
      <c r="B25" s="130"/>
      <c r="C25" s="268"/>
      <c r="D25" s="268"/>
      <c r="E25" s="268"/>
      <c r="F25" s="199"/>
      <c r="G25" s="271"/>
      <c r="H25" s="202"/>
      <c r="I25" s="202"/>
      <c r="J25" s="268"/>
      <c r="K25" s="222"/>
      <c r="L25" s="224"/>
      <c r="M25" s="260"/>
      <c r="N25" s="257"/>
      <c r="O25" s="260">
        <f>IF(NOT(ISERROR(MATCH(N25,_xlfn.ANCHORARRAY(G36),0))),M38&amp;"Por favor no seleccionar los criterios de impacto",N25)</f>
        <v>0</v>
      </c>
      <c r="P25" s="224"/>
      <c r="Q25" s="260"/>
      <c r="R25" s="264"/>
      <c r="S25" s="197"/>
      <c r="T25" s="197" t="str">
        <f t="shared" si="1"/>
        <v/>
      </c>
      <c r="U25" s="197"/>
      <c r="V25" s="197" t="str">
        <f t="shared" si="2"/>
        <v/>
      </c>
      <c r="W25" s="197" t="str">
        <f t="shared" si="3"/>
        <v/>
      </c>
      <c r="X25" s="197" t="str">
        <f t="shared" si="4"/>
        <v/>
      </c>
      <c r="Y25" s="6">
        <v>3</v>
      </c>
      <c r="Z25" s="127"/>
      <c r="AA25" s="117" t="str">
        <f>IF(OR(AB25="Preventivo",AB25="Detectivo"),"Probabilidad",IF(AB25="Correctivo","Impacto",""))</f>
        <v/>
      </c>
      <c r="AB25" s="118"/>
      <c r="AC25" s="118"/>
      <c r="AD25" s="119" t="str">
        <f t="shared" si="28"/>
        <v/>
      </c>
      <c r="AE25" s="118"/>
      <c r="AF25" s="118"/>
      <c r="AG25" s="118"/>
      <c r="AH25" s="120" t="str">
        <f>IFERROR(IF(AND(AA24="Probabilidad",AA25="Probabilidad"),(AJ24-(+AJ24*AD25)),IF(AND(AA24="Impacto",AA25="Probabilidad"),(AJ23-(+AJ23*AD25)),IF(AA25="Impacto",AJ24,""))),"")</f>
        <v/>
      </c>
      <c r="AI25" s="121" t="str">
        <f t="shared" si="6"/>
        <v/>
      </c>
      <c r="AJ25" s="122" t="str">
        <f t="shared" si="29"/>
        <v/>
      </c>
      <c r="AK25" s="121" t="str">
        <f t="shared" si="8"/>
        <v/>
      </c>
      <c r="AL25" s="122" t="str">
        <f>IFERROR(IF(AND(AA24="Impacto",AA25="Impacto"),(AL24-(+AL24*AD25)),IF(AND(AA24="Probabilidad",AA25="Impacto"),(AL23-(+AL23*AD25)),IF(AA25="Probabilidad",AL24,""))),"")</f>
        <v/>
      </c>
      <c r="AM25" s="123" t="str">
        <f t="shared" si="30"/>
        <v/>
      </c>
      <c r="AN25" s="124"/>
      <c r="AO25" s="146"/>
      <c r="AP25" s="147" t="str">
        <f t="shared" si="10"/>
        <v/>
      </c>
      <c r="AQ25" s="146"/>
      <c r="AR25" s="147" t="str">
        <f t="shared" si="11"/>
        <v/>
      </c>
      <c r="AS25" s="146" t="str">
        <f t="shared" si="12"/>
        <v/>
      </c>
      <c r="AT25" s="147" t="str">
        <f t="shared" si="13"/>
        <v/>
      </c>
      <c r="AU25" s="140"/>
      <c r="AV25" s="141"/>
      <c r="AW25" s="148"/>
      <c r="AX25" s="148"/>
      <c r="AY25" s="125"/>
      <c r="AZ25" s="126"/>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26"/>
      <c r="B26" s="130"/>
      <c r="C26" s="268"/>
      <c r="D26" s="268"/>
      <c r="E26" s="268"/>
      <c r="F26" s="199"/>
      <c r="G26" s="271"/>
      <c r="H26" s="202"/>
      <c r="I26" s="202"/>
      <c r="J26" s="268"/>
      <c r="K26" s="222"/>
      <c r="L26" s="224"/>
      <c r="M26" s="260"/>
      <c r="N26" s="257"/>
      <c r="O26" s="260">
        <f>IF(NOT(ISERROR(MATCH(N26,_xlfn.ANCHORARRAY(G37),0))),M39&amp;"Por favor no seleccionar los criterios de impacto",N26)</f>
        <v>0</v>
      </c>
      <c r="P26" s="224"/>
      <c r="Q26" s="260"/>
      <c r="R26" s="264"/>
      <c r="S26" s="197"/>
      <c r="T26" s="197" t="str">
        <f t="shared" si="1"/>
        <v/>
      </c>
      <c r="U26" s="197"/>
      <c r="V26" s="197" t="str">
        <f t="shared" si="2"/>
        <v/>
      </c>
      <c r="W26" s="197" t="str">
        <f t="shared" si="3"/>
        <v/>
      </c>
      <c r="X26" s="197" t="str">
        <f t="shared" si="4"/>
        <v/>
      </c>
      <c r="Y26" s="6">
        <v>4</v>
      </c>
      <c r="Z26" s="116"/>
      <c r="AA26" s="117" t="str">
        <f t="shared" ref="AA26:AA28" si="31">IF(OR(AB26="Preventivo",AB26="Detectivo"),"Probabilidad",IF(AB26="Correctivo","Impacto",""))</f>
        <v/>
      </c>
      <c r="AB26" s="118"/>
      <c r="AC26" s="118"/>
      <c r="AD26" s="119" t="str">
        <f t="shared" si="28"/>
        <v/>
      </c>
      <c r="AE26" s="118"/>
      <c r="AF26" s="118"/>
      <c r="AG26" s="118"/>
      <c r="AH26" s="120" t="str">
        <f t="shared" ref="AH26:AH28" si="32">IFERROR(IF(AND(AA25="Probabilidad",AA26="Probabilidad"),(AJ25-(+AJ25*AD26)),IF(AND(AA25="Impacto",AA26="Probabilidad"),(AJ24-(+AJ24*AD26)),IF(AA26="Impacto",AJ25,""))),"")</f>
        <v/>
      </c>
      <c r="AI26" s="121" t="str">
        <f t="shared" si="6"/>
        <v/>
      </c>
      <c r="AJ26" s="122" t="str">
        <f t="shared" si="29"/>
        <v/>
      </c>
      <c r="AK26" s="121" t="str">
        <f t="shared" si="8"/>
        <v/>
      </c>
      <c r="AL26" s="122" t="str">
        <f t="shared" ref="AL26:AL28" si="33">IFERROR(IF(AND(AA25="Impacto",AA26="Impacto"),(AL25-(+AL25*AD26)),IF(AND(AA25="Probabilidad",AA26="Impacto"),(AL24-(+AL24*AD26)),IF(AA26="Probabilidad",AL25,""))),"")</f>
        <v/>
      </c>
      <c r="AM26" s="123" t="str">
        <f>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24"/>
      <c r="AO26" s="146"/>
      <c r="AP26" s="147" t="str">
        <f t="shared" si="10"/>
        <v/>
      </c>
      <c r="AQ26" s="146"/>
      <c r="AR26" s="147" t="str">
        <f t="shared" si="11"/>
        <v/>
      </c>
      <c r="AS26" s="146" t="str">
        <f t="shared" si="12"/>
        <v/>
      </c>
      <c r="AT26" s="147" t="str">
        <f t="shared" si="13"/>
        <v/>
      </c>
      <c r="AU26" s="140"/>
      <c r="AV26" s="141"/>
      <c r="AW26" s="148"/>
      <c r="AX26" s="148"/>
      <c r="AY26" s="125"/>
      <c r="AZ26" s="126"/>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26"/>
      <c r="B27" s="130"/>
      <c r="C27" s="268"/>
      <c r="D27" s="268"/>
      <c r="E27" s="268"/>
      <c r="F27" s="199"/>
      <c r="G27" s="271"/>
      <c r="H27" s="202"/>
      <c r="I27" s="202"/>
      <c r="J27" s="268"/>
      <c r="K27" s="222"/>
      <c r="L27" s="224"/>
      <c r="M27" s="260"/>
      <c r="N27" s="257"/>
      <c r="O27" s="260">
        <f>IF(NOT(ISERROR(MATCH(N27,_xlfn.ANCHORARRAY(G38),0))),M40&amp;"Por favor no seleccionar los criterios de impacto",N27)</f>
        <v>0</v>
      </c>
      <c r="P27" s="224"/>
      <c r="Q27" s="260"/>
      <c r="R27" s="264"/>
      <c r="S27" s="197"/>
      <c r="T27" s="197" t="str">
        <f t="shared" si="1"/>
        <v/>
      </c>
      <c r="U27" s="197"/>
      <c r="V27" s="197" t="str">
        <f t="shared" si="2"/>
        <v/>
      </c>
      <c r="W27" s="197" t="str">
        <f t="shared" si="3"/>
        <v/>
      </c>
      <c r="X27" s="197" t="str">
        <f t="shared" si="4"/>
        <v/>
      </c>
      <c r="Y27" s="6">
        <v>5</v>
      </c>
      <c r="Z27" s="116"/>
      <c r="AA27" s="117" t="str">
        <f t="shared" si="31"/>
        <v/>
      </c>
      <c r="AB27" s="118"/>
      <c r="AC27" s="118"/>
      <c r="AD27" s="119" t="str">
        <f t="shared" si="28"/>
        <v/>
      </c>
      <c r="AE27" s="118"/>
      <c r="AF27" s="118"/>
      <c r="AG27" s="118"/>
      <c r="AH27" s="120" t="str">
        <f t="shared" si="32"/>
        <v/>
      </c>
      <c r="AI27" s="121" t="str">
        <f t="shared" si="6"/>
        <v/>
      </c>
      <c r="AJ27" s="122" t="str">
        <f t="shared" si="29"/>
        <v/>
      </c>
      <c r="AK27" s="121" t="str">
        <f t="shared" si="8"/>
        <v/>
      </c>
      <c r="AL27" s="122" t="str">
        <f t="shared" si="33"/>
        <v/>
      </c>
      <c r="AM27" s="123" t="str">
        <f t="shared" ref="AM27:AM28" si="34">IFERROR(IF(OR(AND(AI27="Muy Baja",AK27="Leve"),AND(AI27="Muy Baja",AK27="Menor"),AND(AI27="Baja",AK27="Leve")),"Bajo",IF(OR(AND(AI27="Muy baja",AK27="Moderado"),AND(AI27="Baja",AK27="Menor"),AND(AI27="Baja",AK27="Moderado"),AND(AI27="Media",AK27="Leve"),AND(AI27="Media",AK27="Menor"),AND(AI27="Media",AK27="Moderado"),AND(AI27="Alta",AK27="Leve"),AND(AI27="Alta",AK27="Menor")),"Moderado",IF(OR(AND(AI27="Muy Baja",AK27="Mayor"),AND(AI27="Baja",AK27="Mayor"),AND(AI27="Media",AK27="Mayor"),AND(AI27="Alta",AK27="Moderado"),AND(AI27="Alta",AK27="Mayor"),AND(AI27="Muy Alta",AK27="Leve"),AND(AI27="Muy Alta",AK27="Menor"),AND(AI27="Muy Alta",AK27="Moderado"),AND(AI27="Muy Alta",AK27="Mayor")),"Alto",IF(OR(AND(AI27="Muy Baja",AK27="Catastrófico"),AND(AI27="Baja",AK27="Catastrófico"),AND(AI27="Media",AK27="Catastrófico"),AND(AI27="Alta",AK27="Catastrófico"),AND(AI27="Muy Alta",AK27="Catastrófico")),"Extremo","")))),"")</f>
        <v/>
      </c>
      <c r="AN27" s="124"/>
      <c r="AO27" s="146"/>
      <c r="AP27" s="147" t="str">
        <f t="shared" si="10"/>
        <v/>
      </c>
      <c r="AQ27" s="146"/>
      <c r="AR27" s="147" t="str">
        <f t="shared" si="11"/>
        <v/>
      </c>
      <c r="AS27" s="146" t="str">
        <f t="shared" si="12"/>
        <v/>
      </c>
      <c r="AT27" s="147" t="str">
        <f t="shared" si="13"/>
        <v/>
      </c>
      <c r="AU27" s="140"/>
      <c r="AV27" s="141"/>
      <c r="AW27" s="148"/>
      <c r="AX27" s="148"/>
      <c r="AY27" s="125"/>
      <c r="AZ27" s="126"/>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66"/>
      <c r="B28" s="131"/>
      <c r="C28" s="269"/>
      <c r="D28" s="269"/>
      <c r="E28" s="269"/>
      <c r="F28" s="200"/>
      <c r="G28" s="272"/>
      <c r="H28" s="203"/>
      <c r="I28" s="203"/>
      <c r="J28" s="269"/>
      <c r="K28" s="273"/>
      <c r="L28" s="262"/>
      <c r="M28" s="261"/>
      <c r="N28" s="258"/>
      <c r="O28" s="261">
        <f>IF(NOT(ISERROR(MATCH(N28,_xlfn.ANCHORARRAY(G39),0))),M41&amp;"Por favor no seleccionar los criterios de impacto",N28)</f>
        <v>0</v>
      </c>
      <c r="P28" s="262"/>
      <c r="Q28" s="261"/>
      <c r="R28" s="265"/>
      <c r="S28" s="197"/>
      <c r="T28" s="197" t="str">
        <f t="shared" si="1"/>
        <v/>
      </c>
      <c r="U28" s="197"/>
      <c r="V28" s="197" t="str">
        <f t="shared" si="2"/>
        <v/>
      </c>
      <c r="W28" s="197" t="str">
        <f t="shared" si="3"/>
        <v/>
      </c>
      <c r="X28" s="197" t="str">
        <f t="shared" si="4"/>
        <v/>
      </c>
      <c r="Y28" s="6">
        <v>6</v>
      </c>
      <c r="Z28" s="116"/>
      <c r="AA28" s="117" t="str">
        <f t="shared" si="31"/>
        <v/>
      </c>
      <c r="AB28" s="118"/>
      <c r="AC28" s="118"/>
      <c r="AD28" s="119" t="str">
        <f t="shared" si="28"/>
        <v/>
      </c>
      <c r="AE28" s="118"/>
      <c r="AF28" s="118"/>
      <c r="AG28" s="118"/>
      <c r="AH28" s="120" t="str">
        <f t="shared" si="32"/>
        <v/>
      </c>
      <c r="AI28" s="121" t="str">
        <f t="shared" si="6"/>
        <v/>
      </c>
      <c r="AJ28" s="122" t="str">
        <f t="shared" si="29"/>
        <v/>
      </c>
      <c r="AK28" s="121" t="str">
        <f t="shared" si="8"/>
        <v/>
      </c>
      <c r="AL28" s="122" t="str">
        <f t="shared" si="33"/>
        <v/>
      </c>
      <c r="AM28" s="123" t="str">
        <f t="shared" si="34"/>
        <v/>
      </c>
      <c r="AN28" s="124"/>
      <c r="AO28" s="146"/>
      <c r="AP28" s="147" t="str">
        <f t="shared" si="10"/>
        <v/>
      </c>
      <c r="AQ28" s="146"/>
      <c r="AR28" s="147" t="str">
        <f t="shared" si="11"/>
        <v/>
      </c>
      <c r="AS28" s="146" t="str">
        <f t="shared" si="12"/>
        <v/>
      </c>
      <c r="AT28" s="147" t="str">
        <f t="shared" si="13"/>
        <v/>
      </c>
      <c r="AU28" s="140"/>
      <c r="AV28" s="141"/>
      <c r="AW28" s="148"/>
      <c r="AX28" s="148"/>
      <c r="AY28" s="125"/>
      <c r="AZ28" s="126"/>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25">
        <v>6</v>
      </c>
      <c r="B29" s="129"/>
      <c r="C29" s="267"/>
      <c r="D29" s="267"/>
      <c r="E29" s="267"/>
      <c r="F29" s="198"/>
      <c r="G29" s="270"/>
      <c r="H29" s="201"/>
      <c r="I29" s="201"/>
      <c r="J29" s="267"/>
      <c r="K29" s="221"/>
      <c r="L29" s="223" t="str">
        <f>IF(K29&lt;=0,"",IF(K29&lt;=2,"Muy Baja",IF(K29&lt;=24,"Baja",IF(K29&lt;=500,"Media",IF(K29&lt;=5000,"Alta","Muy Alta")))))</f>
        <v/>
      </c>
      <c r="M29" s="259" t="str">
        <f>IF(L29="","",IF(L29="Muy Baja",0.2,IF(L29="Baja",0.4,IF(L29="Media",0.6,IF(L29="Alta",0.8,IF(L29="Muy Alta",1,))))))</f>
        <v/>
      </c>
      <c r="N29" s="256"/>
      <c r="O29" s="259">
        <f>IF(NOT(ISERROR(MATCH(N29,'Tabla Impacto'!$B$221:$B$223,0))),'Tabla Impacto'!$F$223&amp;"Por favor no seleccionar los criterios de impacto(Afectación Económica o presupuestal y Pérdida Reputacional)",N29)</f>
        <v>0</v>
      </c>
      <c r="P29" s="223" t="str">
        <f>IF(OR(O29='Tabla Impacto'!$C$11,O29='Tabla Impacto'!$D$11),"Leve",IF(OR(O29='Tabla Impacto'!$C$12,O29='Tabla Impacto'!$D$12),"Menor",IF(OR(O29='Tabla Impacto'!$C$13,O29='Tabla Impacto'!$D$13),"Moderado",IF(OR(O29='Tabla Impacto'!$C$14,O29='Tabla Impacto'!$D$14),"Mayor",IF(OR(O29='Tabla Impacto'!$C$15,O29='Tabla Impacto'!$D$15),"Catastrófico","")))))</f>
        <v/>
      </c>
      <c r="Q29" s="259" t="str">
        <f>IF(P29="","",IF(P29="Leve",0.2,IF(P29="Menor",0.4,IF(P29="Moderado",0.6,IF(P29="Mayor",0.8,IF(P29="Catastrófico",1,))))))</f>
        <v/>
      </c>
      <c r="R29" s="263" t="str">
        <f>IF(OR(AND(L29="Muy Baja",P29="Leve"),AND(L29="Muy Baja",P29="Menor"),AND(L29="Baja",P29="Leve")),"Bajo",IF(OR(AND(L29="Muy baja",P29="Moderado"),AND(L29="Baja",P29="Menor"),AND(L29="Baja",P29="Moderado"),AND(L29="Media",P29="Leve"),AND(L29="Media",P29="Menor"),AND(L29="Media",P29="Moderado"),AND(L29="Alta",P29="Leve"),AND(L29="Alta",P29="Menor")),"Moderado",IF(OR(AND(L29="Muy Baja",P29="Mayor"),AND(L29="Baja",P29="Mayor"),AND(L29="Media",P29="Mayor"),AND(L29="Alta",P29="Moderado"),AND(L29="Alta",P29="Mayor"),AND(L29="Muy Alta",P29="Leve"),AND(L29="Muy Alta",P29="Menor"),AND(L29="Muy Alta",P29="Moderado"),AND(L29="Muy Alta",P29="Mayor")),"Alto",IF(OR(AND(L29="Muy Baja",P29="Catastrófico"),AND(L29="Baja",P29="Catastrófico"),AND(L29="Media",P29="Catastrófico"),AND(L29="Alta",P29="Catastrófico"),AND(L29="Muy Alta",P29="Catastrófico")),"Extremo",""))))</f>
        <v/>
      </c>
      <c r="S29" s="197"/>
      <c r="T29" s="197" t="str">
        <f t="shared" si="1"/>
        <v/>
      </c>
      <c r="U29" s="197"/>
      <c r="V29" s="197" t="str">
        <f t="shared" si="2"/>
        <v/>
      </c>
      <c r="W29" s="197" t="str">
        <f t="shared" si="3"/>
        <v/>
      </c>
      <c r="X29" s="197" t="str">
        <f t="shared" si="4"/>
        <v/>
      </c>
      <c r="Y29" s="6">
        <v>1</v>
      </c>
      <c r="Z29" s="116"/>
      <c r="AA29" s="117" t="str">
        <f>IF(OR(AB29="Preventivo",AB29="Detectivo"),"Probabilidad",IF(AB29="Correctivo","Impacto",""))</f>
        <v/>
      </c>
      <c r="AB29" s="118"/>
      <c r="AC29" s="118"/>
      <c r="AD29" s="119" t="str">
        <f>IF(AND(AB29="Preventivo",AC29="Automático"),"50%",IF(AND(AB29="Preventivo",AC29="Manual"),"40%",IF(AND(AB29="Detectivo",AC29="Automático"),"40%",IF(AND(AB29="Detectivo",AC29="Manual"),"30%",IF(AND(AB29="Correctivo",AC29="Automático"),"35%",IF(AND(AB29="Correctivo",AC29="Manual"),"25%",""))))))</f>
        <v/>
      </c>
      <c r="AE29" s="118"/>
      <c r="AF29" s="118"/>
      <c r="AG29" s="118"/>
      <c r="AH29" s="120" t="str">
        <f>IFERROR(IF(AA29="Probabilidad",(M29-(+M29*AD29)),IF(AA29="Impacto",M29,"")),"")</f>
        <v/>
      </c>
      <c r="AI29" s="121" t="str">
        <f>IFERROR(IF(AH29="","",IF(AH29&lt;=0.2,"Muy Baja",IF(AH29&lt;=0.4,"Baja",IF(AH29&lt;=0.6,"Media",IF(AH29&lt;=0.8,"Alta","Muy Alta"))))),"")</f>
        <v/>
      </c>
      <c r="AJ29" s="122" t="str">
        <f>+AH29</f>
        <v/>
      </c>
      <c r="AK29" s="121" t="str">
        <f>IFERROR(IF(AL29="","",IF(AL29&lt;=0.2,"Leve",IF(AL29&lt;=0.4,"Menor",IF(AL29&lt;=0.6,"Moderado",IF(AL29&lt;=0.8,"Mayor","Catastrófico"))))),"")</f>
        <v/>
      </c>
      <c r="AL29" s="122" t="str">
        <f>IFERROR(IF(AA29="Impacto",(Q29-(+Q29*AD29)),IF(AA29="Probabilidad",Q29,"")),"")</f>
        <v/>
      </c>
      <c r="AM29" s="123" t="str">
        <f>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24"/>
      <c r="AO29" s="146"/>
      <c r="AP29" s="147" t="str">
        <f t="shared" si="10"/>
        <v/>
      </c>
      <c r="AQ29" s="146"/>
      <c r="AR29" s="147" t="str">
        <f t="shared" si="11"/>
        <v/>
      </c>
      <c r="AS29" s="146" t="str">
        <f t="shared" si="12"/>
        <v/>
      </c>
      <c r="AT29" s="147" t="str">
        <f t="shared" si="13"/>
        <v/>
      </c>
      <c r="AU29" s="140"/>
      <c r="AV29" s="141"/>
      <c r="AW29" s="148"/>
      <c r="AX29" s="148"/>
      <c r="AY29" s="125"/>
      <c r="AZ29" s="126"/>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26"/>
      <c r="B30" s="130"/>
      <c r="C30" s="268"/>
      <c r="D30" s="268"/>
      <c r="E30" s="268"/>
      <c r="F30" s="199"/>
      <c r="G30" s="271"/>
      <c r="H30" s="202"/>
      <c r="I30" s="202"/>
      <c r="J30" s="268"/>
      <c r="K30" s="222"/>
      <c r="L30" s="224"/>
      <c r="M30" s="260"/>
      <c r="N30" s="257"/>
      <c r="O30" s="260">
        <f>IF(NOT(ISERROR(MATCH(N30,_xlfn.ANCHORARRAY(G41),0))),M43&amp;"Por favor no seleccionar los criterios de impacto",N30)</f>
        <v>0</v>
      </c>
      <c r="P30" s="224"/>
      <c r="Q30" s="260"/>
      <c r="R30" s="264"/>
      <c r="S30" s="197"/>
      <c r="T30" s="197" t="str">
        <f t="shared" si="1"/>
        <v/>
      </c>
      <c r="U30" s="197"/>
      <c r="V30" s="197" t="str">
        <f t="shared" si="2"/>
        <v/>
      </c>
      <c r="W30" s="197" t="str">
        <f t="shared" si="3"/>
        <v/>
      </c>
      <c r="X30" s="197" t="str">
        <f t="shared" si="4"/>
        <v/>
      </c>
      <c r="Y30" s="6">
        <v>2</v>
      </c>
      <c r="Z30" s="116"/>
      <c r="AA30" s="117" t="str">
        <f>IF(OR(AB30="Preventivo",AB30="Detectivo"),"Probabilidad",IF(AB30="Correctivo","Impacto",""))</f>
        <v/>
      </c>
      <c r="AB30" s="118"/>
      <c r="AC30" s="118"/>
      <c r="AD30" s="119" t="str">
        <f t="shared" ref="AD30:AD34" si="35">IF(AND(AB30="Preventivo",AC30="Automático"),"50%",IF(AND(AB30="Preventivo",AC30="Manual"),"40%",IF(AND(AB30="Detectivo",AC30="Automático"),"40%",IF(AND(AB30="Detectivo",AC30="Manual"),"30%",IF(AND(AB30="Correctivo",AC30="Automático"),"35%",IF(AND(AB30="Correctivo",AC30="Manual"),"25%",""))))))</f>
        <v/>
      </c>
      <c r="AE30" s="118"/>
      <c r="AF30" s="118"/>
      <c r="AG30" s="118"/>
      <c r="AH30" s="120" t="str">
        <f>IFERROR(IF(AND(AA29="Probabilidad",AA30="Probabilidad"),(AJ29-(+AJ29*AD30)),IF(AA30="Probabilidad",(M29-(+M29*AD30)),IF(AA30="Impacto",AJ29,""))),"")</f>
        <v/>
      </c>
      <c r="AI30" s="121" t="str">
        <f t="shared" si="6"/>
        <v/>
      </c>
      <c r="AJ30" s="122" t="str">
        <f t="shared" ref="AJ30:AJ34" si="36">+AH30</f>
        <v/>
      </c>
      <c r="AK30" s="121" t="str">
        <f t="shared" si="8"/>
        <v/>
      </c>
      <c r="AL30" s="122" t="str">
        <f>IFERROR(IF(AND(AA29="Impacto",AA30="Impacto"),(AL29-(+AL29*AD30)),IF(AA30="Impacto",(Q29-(+Q29*AD30)),IF(AA30="Probabilidad",AL29,""))),"")</f>
        <v/>
      </c>
      <c r="AM30" s="123" t="str">
        <f t="shared" ref="AM30:AM31" si="37">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24"/>
      <c r="AO30" s="146"/>
      <c r="AP30" s="147" t="str">
        <f t="shared" si="10"/>
        <v/>
      </c>
      <c r="AQ30" s="146"/>
      <c r="AR30" s="147" t="str">
        <f t="shared" si="11"/>
        <v/>
      </c>
      <c r="AS30" s="146" t="str">
        <f t="shared" si="12"/>
        <v/>
      </c>
      <c r="AT30" s="147" t="str">
        <f t="shared" si="13"/>
        <v/>
      </c>
      <c r="AU30" s="140"/>
      <c r="AV30" s="141"/>
      <c r="AW30" s="148"/>
      <c r="AX30" s="148"/>
      <c r="AY30" s="125"/>
      <c r="AZ30" s="126"/>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26"/>
      <c r="B31" s="130"/>
      <c r="C31" s="268"/>
      <c r="D31" s="268"/>
      <c r="E31" s="268"/>
      <c r="F31" s="199"/>
      <c r="G31" s="271"/>
      <c r="H31" s="202"/>
      <c r="I31" s="202"/>
      <c r="J31" s="268"/>
      <c r="K31" s="222"/>
      <c r="L31" s="224"/>
      <c r="M31" s="260"/>
      <c r="N31" s="257"/>
      <c r="O31" s="260">
        <f>IF(NOT(ISERROR(MATCH(N31,_xlfn.ANCHORARRAY(G42),0))),M44&amp;"Por favor no seleccionar los criterios de impacto",N31)</f>
        <v>0</v>
      </c>
      <c r="P31" s="224"/>
      <c r="Q31" s="260"/>
      <c r="R31" s="264"/>
      <c r="S31" s="197"/>
      <c r="T31" s="197" t="str">
        <f t="shared" si="1"/>
        <v/>
      </c>
      <c r="U31" s="197"/>
      <c r="V31" s="197" t="str">
        <f t="shared" si="2"/>
        <v/>
      </c>
      <c r="W31" s="197" t="str">
        <f t="shared" si="3"/>
        <v/>
      </c>
      <c r="X31" s="197" t="str">
        <f t="shared" si="4"/>
        <v/>
      </c>
      <c r="Y31" s="6">
        <v>3</v>
      </c>
      <c r="Z31" s="127"/>
      <c r="AA31" s="117" t="str">
        <f>IF(OR(AB31="Preventivo",AB31="Detectivo"),"Probabilidad",IF(AB31="Correctivo","Impacto",""))</f>
        <v/>
      </c>
      <c r="AB31" s="118"/>
      <c r="AC31" s="118"/>
      <c r="AD31" s="119" t="str">
        <f t="shared" si="35"/>
        <v/>
      </c>
      <c r="AE31" s="118"/>
      <c r="AF31" s="118"/>
      <c r="AG31" s="118"/>
      <c r="AH31" s="120" t="str">
        <f>IFERROR(IF(AND(AA30="Probabilidad",AA31="Probabilidad"),(AJ30-(+AJ30*AD31)),IF(AND(AA30="Impacto",AA31="Probabilidad"),(AJ29-(+AJ29*AD31)),IF(AA31="Impacto",AJ30,""))),"")</f>
        <v/>
      </c>
      <c r="AI31" s="121" t="str">
        <f t="shared" si="6"/>
        <v/>
      </c>
      <c r="AJ31" s="122" t="str">
        <f t="shared" si="36"/>
        <v/>
      </c>
      <c r="AK31" s="121" t="str">
        <f t="shared" si="8"/>
        <v/>
      </c>
      <c r="AL31" s="122" t="str">
        <f>IFERROR(IF(AND(AA30="Impacto",AA31="Impacto"),(AL30-(+AL30*AD31)),IF(AND(AA30="Probabilidad",AA31="Impacto"),(AL29-(+AL29*AD31)),IF(AA31="Probabilidad",AL30,""))),"")</f>
        <v/>
      </c>
      <c r="AM31" s="123" t="str">
        <f t="shared" si="37"/>
        <v/>
      </c>
      <c r="AN31" s="124"/>
      <c r="AO31" s="124"/>
      <c r="AP31" s="124"/>
      <c r="AQ31" s="124"/>
      <c r="AR31" s="124"/>
      <c r="AS31" s="124"/>
      <c r="AT31" s="124"/>
      <c r="AU31" s="140"/>
      <c r="AV31" s="141"/>
      <c r="AW31" s="148"/>
      <c r="AX31" s="148"/>
      <c r="AY31" s="125"/>
      <c r="AZ31" s="126"/>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26"/>
      <c r="B32" s="130"/>
      <c r="C32" s="268"/>
      <c r="D32" s="268"/>
      <c r="E32" s="268"/>
      <c r="F32" s="199"/>
      <c r="G32" s="271"/>
      <c r="H32" s="202"/>
      <c r="I32" s="202"/>
      <c r="J32" s="268"/>
      <c r="K32" s="222"/>
      <c r="L32" s="224"/>
      <c r="M32" s="260"/>
      <c r="N32" s="257"/>
      <c r="O32" s="260">
        <f>IF(NOT(ISERROR(MATCH(N32,_xlfn.ANCHORARRAY(G43),0))),M45&amp;"Por favor no seleccionar los criterios de impacto",N32)</f>
        <v>0</v>
      </c>
      <c r="P32" s="224"/>
      <c r="Q32" s="260"/>
      <c r="R32" s="264"/>
      <c r="S32" s="197"/>
      <c r="T32" s="197" t="str">
        <f t="shared" si="1"/>
        <v/>
      </c>
      <c r="U32" s="197"/>
      <c r="V32" s="197" t="str">
        <f t="shared" si="2"/>
        <v/>
      </c>
      <c r="W32" s="197" t="str">
        <f t="shared" si="3"/>
        <v/>
      </c>
      <c r="X32" s="197" t="str">
        <f t="shared" si="4"/>
        <v/>
      </c>
      <c r="Y32" s="6">
        <v>4</v>
      </c>
      <c r="Z32" s="116"/>
      <c r="AA32" s="117" t="str">
        <f t="shared" ref="AA32:AA34" si="38">IF(OR(AB32="Preventivo",AB32="Detectivo"),"Probabilidad",IF(AB32="Correctivo","Impacto",""))</f>
        <v/>
      </c>
      <c r="AB32" s="118"/>
      <c r="AC32" s="118"/>
      <c r="AD32" s="119" t="str">
        <f t="shared" si="35"/>
        <v/>
      </c>
      <c r="AE32" s="118"/>
      <c r="AF32" s="118"/>
      <c r="AG32" s="118"/>
      <c r="AH32" s="120" t="str">
        <f t="shared" ref="AH32:AH34" si="39">IFERROR(IF(AND(AA31="Probabilidad",AA32="Probabilidad"),(AJ31-(+AJ31*AD32)),IF(AND(AA31="Impacto",AA32="Probabilidad"),(AJ30-(+AJ30*AD32)),IF(AA32="Impacto",AJ31,""))),"")</f>
        <v/>
      </c>
      <c r="AI32" s="121" t="str">
        <f t="shared" si="6"/>
        <v/>
      </c>
      <c r="AJ32" s="122" t="str">
        <f t="shared" si="36"/>
        <v/>
      </c>
      <c r="AK32" s="121" t="str">
        <f t="shared" si="8"/>
        <v/>
      </c>
      <c r="AL32" s="122" t="str">
        <f t="shared" ref="AL32:AL34" si="40">IFERROR(IF(AND(AA31="Impacto",AA32="Impacto"),(AL31-(+AL31*AD32)),IF(AND(AA31="Probabilidad",AA32="Impacto"),(AL30-(+AL30*AD32)),IF(AA32="Probabilidad",AL31,""))),"")</f>
        <v/>
      </c>
      <c r="AM32" s="123" t="str">
        <f>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24"/>
      <c r="AO32" s="124"/>
      <c r="AP32" s="124"/>
      <c r="AQ32" s="124"/>
      <c r="AR32" s="124"/>
      <c r="AS32" s="124"/>
      <c r="AT32" s="124"/>
      <c r="AU32" s="140"/>
      <c r="AV32" s="141"/>
      <c r="AW32" s="148"/>
      <c r="AX32" s="148"/>
      <c r="AY32" s="125"/>
      <c r="AZ32" s="126"/>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26"/>
      <c r="B33" s="130"/>
      <c r="C33" s="268"/>
      <c r="D33" s="268"/>
      <c r="E33" s="268"/>
      <c r="F33" s="199"/>
      <c r="G33" s="271"/>
      <c r="H33" s="202"/>
      <c r="I33" s="202"/>
      <c r="J33" s="268"/>
      <c r="K33" s="222"/>
      <c r="L33" s="224"/>
      <c r="M33" s="260"/>
      <c r="N33" s="257"/>
      <c r="O33" s="260">
        <f>IF(NOT(ISERROR(MATCH(N33,_xlfn.ANCHORARRAY(G44),0))),M46&amp;"Por favor no seleccionar los criterios de impacto",N33)</f>
        <v>0</v>
      </c>
      <c r="P33" s="224"/>
      <c r="Q33" s="260"/>
      <c r="R33" s="264"/>
      <c r="S33" s="197"/>
      <c r="T33" s="197" t="str">
        <f t="shared" si="1"/>
        <v/>
      </c>
      <c r="U33" s="197"/>
      <c r="V33" s="197" t="str">
        <f t="shared" si="2"/>
        <v/>
      </c>
      <c r="W33" s="197" t="str">
        <f t="shared" si="3"/>
        <v/>
      </c>
      <c r="X33" s="197" t="str">
        <f t="shared" si="4"/>
        <v/>
      </c>
      <c r="Y33" s="6">
        <v>5</v>
      </c>
      <c r="Z33" s="116"/>
      <c r="AA33" s="117" t="str">
        <f t="shared" si="38"/>
        <v/>
      </c>
      <c r="AB33" s="118"/>
      <c r="AC33" s="118"/>
      <c r="AD33" s="119" t="str">
        <f t="shared" si="35"/>
        <v/>
      </c>
      <c r="AE33" s="118"/>
      <c r="AF33" s="118"/>
      <c r="AG33" s="118"/>
      <c r="AH33" s="120" t="str">
        <f t="shared" si="39"/>
        <v/>
      </c>
      <c r="AI33" s="121" t="str">
        <f t="shared" si="6"/>
        <v/>
      </c>
      <c r="AJ33" s="122" t="str">
        <f t="shared" si="36"/>
        <v/>
      </c>
      <c r="AK33" s="121" t="str">
        <f t="shared" si="8"/>
        <v/>
      </c>
      <c r="AL33" s="122" t="str">
        <f t="shared" si="40"/>
        <v/>
      </c>
      <c r="AM33" s="123" t="str">
        <f t="shared" ref="AM33" si="41">IFERROR(IF(OR(AND(AI33="Muy Baja",AK33="Leve"),AND(AI33="Muy Baja",AK33="Menor"),AND(AI33="Baja",AK33="Leve")),"Bajo",IF(OR(AND(AI33="Muy baja",AK33="Moderado"),AND(AI33="Baja",AK33="Menor"),AND(AI33="Baja",AK33="Moderado"),AND(AI33="Media",AK33="Leve"),AND(AI33="Media",AK33="Menor"),AND(AI33="Media",AK33="Moderado"),AND(AI33="Alta",AK33="Leve"),AND(AI33="Alta",AK33="Menor")),"Moderado",IF(OR(AND(AI33="Muy Baja",AK33="Mayor"),AND(AI33="Baja",AK33="Mayor"),AND(AI33="Media",AK33="Mayor"),AND(AI33="Alta",AK33="Moderado"),AND(AI33="Alta",AK33="Mayor"),AND(AI33="Muy Alta",AK33="Leve"),AND(AI33="Muy Alta",AK33="Menor"),AND(AI33="Muy Alta",AK33="Moderado"),AND(AI33="Muy Alta",AK33="Mayor")),"Alto",IF(OR(AND(AI33="Muy Baja",AK33="Catastrófico"),AND(AI33="Baja",AK33="Catastrófico"),AND(AI33="Media",AK33="Catastrófico"),AND(AI33="Alta",AK33="Catastrófico"),AND(AI33="Muy Alta",AK33="Catastrófico")),"Extremo","")))),"")</f>
        <v/>
      </c>
      <c r="AN33" s="124"/>
      <c r="AO33" s="124"/>
      <c r="AP33" s="124"/>
      <c r="AQ33" s="124"/>
      <c r="AR33" s="124"/>
      <c r="AS33" s="124"/>
      <c r="AT33" s="124"/>
      <c r="AU33" s="140"/>
      <c r="AV33" s="141"/>
      <c r="AW33" s="148"/>
      <c r="AX33" s="148"/>
      <c r="AY33" s="125"/>
      <c r="AZ33" s="126"/>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66"/>
      <c r="B34" s="131"/>
      <c r="C34" s="269"/>
      <c r="D34" s="269"/>
      <c r="E34" s="269"/>
      <c r="F34" s="200"/>
      <c r="G34" s="272"/>
      <c r="H34" s="203"/>
      <c r="I34" s="203"/>
      <c r="J34" s="269"/>
      <c r="K34" s="273"/>
      <c r="L34" s="262"/>
      <c r="M34" s="261"/>
      <c r="N34" s="258"/>
      <c r="O34" s="261">
        <f>IF(NOT(ISERROR(MATCH(N34,_xlfn.ANCHORARRAY(G45),0))),M47&amp;"Por favor no seleccionar los criterios de impacto",N34)</f>
        <v>0</v>
      </c>
      <c r="P34" s="262"/>
      <c r="Q34" s="261"/>
      <c r="R34" s="265"/>
      <c r="S34" s="197"/>
      <c r="T34" s="197" t="str">
        <f t="shared" si="1"/>
        <v/>
      </c>
      <c r="U34" s="197"/>
      <c r="V34" s="197" t="str">
        <f t="shared" si="2"/>
        <v/>
      </c>
      <c r="W34" s="197" t="str">
        <f t="shared" si="3"/>
        <v/>
      </c>
      <c r="X34" s="197" t="str">
        <f t="shared" si="4"/>
        <v/>
      </c>
      <c r="Y34" s="6">
        <v>6</v>
      </c>
      <c r="Z34" s="116"/>
      <c r="AA34" s="117" t="str">
        <f t="shared" si="38"/>
        <v/>
      </c>
      <c r="AB34" s="118"/>
      <c r="AC34" s="118"/>
      <c r="AD34" s="119" t="str">
        <f t="shared" si="35"/>
        <v/>
      </c>
      <c r="AE34" s="118"/>
      <c r="AF34" s="118"/>
      <c r="AG34" s="118"/>
      <c r="AH34" s="120" t="str">
        <f t="shared" si="39"/>
        <v/>
      </c>
      <c r="AI34" s="121" t="str">
        <f t="shared" si="6"/>
        <v/>
      </c>
      <c r="AJ34" s="122" t="str">
        <f t="shared" si="36"/>
        <v/>
      </c>
      <c r="AK34" s="121" t="str">
        <f>IFERROR(IF(AL34="","",IF(AL34&lt;=0.2,"Leve",IF(AL34&lt;=0.4,"Menor",IF(AL34&lt;=0.6,"Moderado",IF(AL34&lt;=0.8,"Mayor","Catastrófico"))))),"")</f>
        <v/>
      </c>
      <c r="AL34" s="122" t="str">
        <f t="shared" si="40"/>
        <v/>
      </c>
      <c r="AM34" s="123" t="str">
        <f>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24"/>
      <c r="AO34" s="124"/>
      <c r="AP34" s="124"/>
      <c r="AQ34" s="124"/>
      <c r="AR34" s="124"/>
      <c r="AS34" s="124"/>
      <c r="AT34" s="124"/>
      <c r="AU34" s="140"/>
      <c r="AV34" s="141"/>
      <c r="AW34" s="148"/>
      <c r="AX34" s="148"/>
      <c r="AY34" s="125"/>
      <c r="AZ34" s="126"/>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25">
        <v>7</v>
      </c>
      <c r="B35" s="129"/>
      <c r="C35" s="267"/>
      <c r="D35" s="267"/>
      <c r="E35" s="267"/>
      <c r="F35" s="198"/>
      <c r="G35" s="270"/>
      <c r="H35" s="201"/>
      <c r="I35" s="201"/>
      <c r="J35" s="267"/>
      <c r="K35" s="221"/>
      <c r="L35" s="223" t="str">
        <f>IF(K35&lt;=0,"",IF(K35&lt;=2,"Muy Baja",IF(K35&lt;=24,"Baja",IF(K35&lt;=500,"Media",IF(K35&lt;=5000,"Alta","Muy Alta")))))</f>
        <v/>
      </c>
      <c r="M35" s="259" t="str">
        <f>IF(L35="","",IF(L35="Muy Baja",0.2,IF(L35="Baja",0.4,IF(L35="Media",0.6,IF(L35="Alta",0.8,IF(L35="Muy Alta",1,))))))</f>
        <v/>
      </c>
      <c r="N35" s="256"/>
      <c r="O35" s="259">
        <f>IF(NOT(ISERROR(MATCH(N35,'Tabla Impacto'!$B$221:$B$223,0))),'Tabla Impacto'!$F$223&amp;"Por favor no seleccionar los criterios de impacto(Afectación Económica o presupuestal y Pérdida Reputacional)",N35)</f>
        <v>0</v>
      </c>
      <c r="P35" s="223" t="str">
        <f>IF(OR(O35='Tabla Impacto'!$C$11,O35='Tabla Impacto'!$D$11),"Leve",IF(OR(O35='Tabla Impacto'!$C$12,O35='Tabla Impacto'!$D$12),"Menor",IF(OR(O35='Tabla Impacto'!$C$13,O35='Tabla Impacto'!$D$13),"Moderado",IF(OR(O35='Tabla Impacto'!$C$14,O35='Tabla Impacto'!$D$14),"Mayor",IF(OR(O35='Tabla Impacto'!$C$15,O35='Tabla Impacto'!$D$15),"Catastrófico","")))))</f>
        <v/>
      </c>
      <c r="Q35" s="259" t="str">
        <f>IF(P35="","",IF(P35="Leve",0.2,IF(P35="Menor",0.4,IF(P35="Moderado",0.6,IF(P35="Mayor",0.8,IF(P35="Catastrófico",1,))))))</f>
        <v/>
      </c>
      <c r="R35" s="263" t="str">
        <f>IF(OR(AND(L35="Muy Baja",P35="Leve"),AND(L35="Muy Baja",P35="Menor"),AND(L35="Baja",P35="Leve")),"Bajo",IF(OR(AND(L35="Muy baja",P35="Moderado"),AND(L35="Baja",P35="Menor"),AND(L35="Baja",P35="Moderado"),AND(L35="Media",P35="Leve"),AND(L35="Media",P35="Menor"),AND(L35="Media",P35="Moderado"),AND(L35="Alta",P35="Leve"),AND(L35="Alta",P35="Menor")),"Moderado",IF(OR(AND(L35="Muy Baja",P35="Mayor"),AND(L35="Baja",P35="Mayor"),AND(L35="Media",P35="Mayor"),AND(L35="Alta",P35="Moderado"),AND(L35="Alta",P35="Mayor"),AND(L35="Muy Alta",P35="Leve"),AND(L35="Muy Alta",P35="Menor"),AND(L35="Muy Alta",P35="Moderado"),AND(L35="Muy Alta",P35="Mayor")),"Alto",IF(OR(AND(L35="Muy Baja",P35="Catastrófico"),AND(L35="Baja",P35="Catastrófico"),AND(L35="Media",P35="Catastrófico"),AND(L35="Alta",P35="Catastrófico"),AND(L35="Muy Alta",P35="Catastrófico")),"Extremo",""))))</f>
        <v/>
      </c>
      <c r="S35" s="197"/>
      <c r="T35" s="197" t="str">
        <f t="shared" si="1"/>
        <v/>
      </c>
      <c r="U35" s="197"/>
      <c r="V35" s="197" t="str">
        <f t="shared" si="2"/>
        <v/>
      </c>
      <c r="W35" s="197" t="str">
        <f t="shared" si="3"/>
        <v/>
      </c>
      <c r="X35" s="197" t="str">
        <f t="shared" si="4"/>
        <v/>
      </c>
      <c r="Y35" s="6">
        <v>1</v>
      </c>
      <c r="Z35" s="116"/>
      <c r="AA35" s="117" t="str">
        <f>IF(OR(AB35="Preventivo",AB35="Detectivo"),"Probabilidad",IF(AB35="Correctivo","Impacto",""))</f>
        <v/>
      </c>
      <c r="AB35" s="118"/>
      <c r="AC35" s="118"/>
      <c r="AD35" s="119" t="str">
        <f>IF(AND(AB35="Preventivo",AC35="Automático"),"50%",IF(AND(AB35="Preventivo",AC35="Manual"),"40%",IF(AND(AB35="Detectivo",AC35="Automático"),"40%",IF(AND(AB35="Detectivo",AC35="Manual"),"30%",IF(AND(AB35="Correctivo",AC35="Automático"),"35%",IF(AND(AB35="Correctivo",AC35="Manual"),"25%",""))))))</f>
        <v/>
      </c>
      <c r="AE35" s="118"/>
      <c r="AF35" s="118"/>
      <c r="AG35" s="118"/>
      <c r="AH35" s="120" t="str">
        <f>IFERROR(IF(AA35="Probabilidad",(M35-(+M35*AD35)),IF(AA35="Impacto",M35,"")),"")</f>
        <v/>
      </c>
      <c r="AI35" s="121" t="str">
        <f>IFERROR(IF(AH35="","",IF(AH35&lt;=0.2,"Muy Baja",IF(AH35&lt;=0.4,"Baja",IF(AH35&lt;=0.6,"Media",IF(AH35&lt;=0.8,"Alta","Muy Alta"))))),"")</f>
        <v/>
      </c>
      <c r="AJ35" s="122" t="str">
        <f>+AH35</f>
        <v/>
      </c>
      <c r="AK35" s="121" t="str">
        <f>IFERROR(IF(AL35="","",IF(AL35&lt;=0.2,"Leve",IF(AL35&lt;=0.4,"Menor",IF(AL35&lt;=0.6,"Moderado",IF(AL35&lt;=0.8,"Mayor","Catastrófico"))))),"")</f>
        <v/>
      </c>
      <c r="AL35" s="122" t="str">
        <f>IFERROR(IF(AA35="Impacto",(Q35-(+Q35*AD35)),IF(AA35="Probabilidad",Q35,"")),"")</f>
        <v/>
      </c>
      <c r="AM35" s="123" t="str">
        <f>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24"/>
      <c r="AO35" s="124"/>
      <c r="AP35" s="124"/>
      <c r="AQ35" s="124"/>
      <c r="AR35" s="124"/>
      <c r="AS35" s="124"/>
      <c r="AT35" s="124"/>
      <c r="AU35" s="140"/>
      <c r="AV35" s="141"/>
      <c r="AW35" s="148"/>
      <c r="AX35" s="148"/>
      <c r="AY35" s="125"/>
      <c r="AZ35" s="126"/>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26"/>
      <c r="B36" s="130"/>
      <c r="C36" s="268"/>
      <c r="D36" s="268"/>
      <c r="E36" s="268"/>
      <c r="F36" s="199"/>
      <c r="G36" s="271"/>
      <c r="H36" s="202"/>
      <c r="I36" s="202"/>
      <c r="J36" s="268"/>
      <c r="K36" s="222"/>
      <c r="L36" s="224"/>
      <c r="M36" s="260"/>
      <c r="N36" s="257"/>
      <c r="O36" s="260">
        <f>IF(NOT(ISERROR(MATCH(N36,_xlfn.ANCHORARRAY(G47),0))),M49&amp;"Por favor no seleccionar los criterios de impacto",N36)</f>
        <v>0</v>
      </c>
      <c r="P36" s="224"/>
      <c r="Q36" s="260"/>
      <c r="R36" s="264"/>
      <c r="S36" s="197"/>
      <c r="T36" s="197" t="str">
        <f t="shared" si="1"/>
        <v/>
      </c>
      <c r="U36" s="197"/>
      <c r="V36" s="197" t="str">
        <f t="shared" si="2"/>
        <v/>
      </c>
      <c r="W36" s="197" t="str">
        <f t="shared" si="3"/>
        <v/>
      </c>
      <c r="X36" s="197" t="str">
        <f t="shared" si="4"/>
        <v/>
      </c>
      <c r="Y36" s="6">
        <v>2</v>
      </c>
      <c r="Z36" s="116"/>
      <c r="AA36" s="117" t="str">
        <f>IF(OR(AB36="Preventivo",AB36="Detectivo"),"Probabilidad",IF(AB36="Correctivo","Impacto",""))</f>
        <v/>
      </c>
      <c r="AB36" s="118"/>
      <c r="AC36" s="118"/>
      <c r="AD36" s="119" t="str">
        <f t="shared" ref="AD36:AD40" si="42">IF(AND(AB36="Preventivo",AC36="Automático"),"50%",IF(AND(AB36="Preventivo",AC36="Manual"),"40%",IF(AND(AB36="Detectivo",AC36="Automático"),"40%",IF(AND(AB36="Detectivo",AC36="Manual"),"30%",IF(AND(AB36="Correctivo",AC36="Automático"),"35%",IF(AND(AB36="Correctivo",AC36="Manual"),"25%",""))))))</f>
        <v/>
      </c>
      <c r="AE36" s="118"/>
      <c r="AF36" s="118"/>
      <c r="AG36" s="118"/>
      <c r="AH36" s="120" t="str">
        <f>IFERROR(IF(AND(AA35="Probabilidad",AA36="Probabilidad"),(AJ35-(+AJ35*AD36)),IF(AA36="Probabilidad",(M35-(+M35*AD36)),IF(AA36="Impacto",AJ35,""))),"")</f>
        <v/>
      </c>
      <c r="AI36" s="121" t="str">
        <f t="shared" si="6"/>
        <v/>
      </c>
      <c r="AJ36" s="122" t="str">
        <f t="shared" ref="AJ36:AJ40" si="43">+AH36</f>
        <v/>
      </c>
      <c r="AK36" s="121" t="str">
        <f t="shared" si="8"/>
        <v/>
      </c>
      <c r="AL36" s="122" t="str">
        <f>IFERROR(IF(AND(AA35="Impacto",AA36="Impacto"),(AL35-(+AL35*AD36)),IF(AA36="Impacto",(Q35-(+Q35*AD36)),IF(AA36="Probabilidad",AL35,""))),"")</f>
        <v/>
      </c>
      <c r="AM36" s="123" t="str">
        <f t="shared" ref="AM36:AM37" si="44">IFERROR(IF(OR(AND(AI36="Muy Baja",AK36="Leve"),AND(AI36="Muy Baja",AK36="Menor"),AND(AI36="Baja",AK36="Leve")),"Bajo",IF(OR(AND(AI36="Muy baja",AK36="Moderado"),AND(AI36="Baja",AK36="Menor"),AND(AI36="Baja",AK36="Moderado"),AND(AI36="Media",AK36="Leve"),AND(AI36="Media",AK36="Menor"),AND(AI36="Media",AK36="Moderado"),AND(AI36="Alta",AK36="Leve"),AND(AI36="Alta",AK36="Menor")),"Moderado",IF(OR(AND(AI36="Muy Baja",AK36="Mayor"),AND(AI36="Baja",AK36="Mayor"),AND(AI36="Media",AK36="Mayor"),AND(AI36="Alta",AK36="Moderado"),AND(AI36="Alta",AK36="Mayor"),AND(AI36="Muy Alta",AK36="Leve"),AND(AI36="Muy Alta",AK36="Menor"),AND(AI36="Muy Alta",AK36="Moderado"),AND(AI36="Muy Alta",AK36="Mayor")),"Alto",IF(OR(AND(AI36="Muy Baja",AK36="Catastrófico"),AND(AI36="Baja",AK36="Catastrófico"),AND(AI36="Media",AK36="Catastrófico"),AND(AI36="Alta",AK36="Catastrófico"),AND(AI36="Muy Alta",AK36="Catastrófico")),"Extremo","")))),"")</f>
        <v/>
      </c>
      <c r="AN36" s="124"/>
      <c r="AO36" s="124"/>
      <c r="AP36" s="124"/>
      <c r="AQ36" s="124"/>
      <c r="AR36" s="124"/>
      <c r="AS36" s="124"/>
      <c r="AT36" s="124"/>
      <c r="AU36" s="140"/>
      <c r="AV36" s="141"/>
      <c r="AW36" s="148"/>
      <c r="AX36" s="148"/>
      <c r="AY36" s="125"/>
      <c r="AZ36" s="126"/>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26"/>
      <c r="B37" s="130"/>
      <c r="C37" s="268"/>
      <c r="D37" s="268"/>
      <c r="E37" s="268"/>
      <c r="F37" s="199"/>
      <c r="G37" s="271"/>
      <c r="H37" s="202"/>
      <c r="I37" s="202"/>
      <c r="J37" s="268"/>
      <c r="K37" s="222"/>
      <c r="L37" s="224"/>
      <c r="M37" s="260"/>
      <c r="N37" s="257"/>
      <c r="O37" s="260">
        <f>IF(NOT(ISERROR(MATCH(N37,_xlfn.ANCHORARRAY(G48),0))),M50&amp;"Por favor no seleccionar los criterios de impacto",N37)</f>
        <v>0</v>
      </c>
      <c r="P37" s="224"/>
      <c r="Q37" s="260"/>
      <c r="R37" s="264"/>
      <c r="S37" s="197"/>
      <c r="T37" s="197" t="str">
        <f t="shared" si="1"/>
        <v/>
      </c>
      <c r="U37" s="197"/>
      <c r="V37" s="197" t="str">
        <f t="shared" si="2"/>
        <v/>
      </c>
      <c r="W37" s="197" t="str">
        <f t="shared" si="3"/>
        <v/>
      </c>
      <c r="X37" s="197" t="str">
        <f t="shared" si="4"/>
        <v/>
      </c>
      <c r="Y37" s="6">
        <v>3</v>
      </c>
      <c r="Z37" s="127"/>
      <c r="AA37" s="117" t="str">
        <f>IF(OR(AB37="Preventivo",AB37="Detectivo"),"Probabilidad",IF(AB37="Correctivo","Impacto",""))</f>
        <v/>
      </c>
      <c r="AB37" s="118"/>
      <c r="AC37" s="118"/>
      <c r="AD37" s="119" t="str">
        <f t="shared" si="42"/>
        <v/>
      </c>
      <c r="AE37" s="118"/>
      <c r="AF37" s="118"/>
      <c r="AG37" s="118"/>
      <c r="AH37" s="120" t="str">
        <f>IFERROR(IF(AND(AA36="Probabilidad",AA37="Probabilidad"),(AJ36-(+AJ36*AD37)),IF(AND(AA36="Impacto",AA37="Probabilidad"),(AJ35-(+AJ35*AD37)),IF(AA37="Impacto",AJ36,""))),"")</f>
        <v/>
      </c>
      <c r="AI37" s="121" t="str">
        <f t="shared" si="6"/>
        <v/>
      </c>
      <c r="AJ37" s="122" t="str">
        <f t="shared" si="43"/>
        <v/>
      </c>
      <c r="AK37" s="121" t="str">
        <f t="shared" si="8"/>
        <v/>
      </c>
      <c r="AL37" s="122" t="str">
        <f>IFERROR(IF(AND(AA36="Impacto",AA37="Impacto"),(AL36-(+AL36*AD37)),IF(AND(AA36="Probabilidad",AA37="Impacto"),(AL35-(+AL35*AD37)),IF(AA37="Probabilidad",AL36,""))),"")</f>
        <v/>
      </c>
      <c r="AM37" s="123" t="str">
        <f t="shared" si="44"/>
        <v/>
      </c>
      <c r="AN37" s="124"/>
      <c r="AO37" s="124"/>
      <c r="AP37" s="124"/>
      <c r="AQ37" s="124"/>
      <c r="AR37" s="124"/>
      <c r="AS37" s="124"/>
      <c r="AT37" s="124"/>
      <c r="AU37" s="140"/>
      <c r="AV37" s="141"/>
      <c r="AW37" s="148"/>
      <c r="AX37" s="148"/>
      <c r="AY37" s="125"/>
      <c r="AZ37" s="126"/>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26"/>
      <c r="B38" s="130"/>
      <c r="C38" s="268"/>
      <c r="D38" s="268"/>
      <c r="E38" s="268"/>
      <c r="F38" s="199"/>
      <c r="G38" s="271"/>
      <c r="H38" s="202"/>
      <c r="I38" s="202"/>
      <c r="J38" s="268"/>
      <c r="K38" s="222"/>
      <c r="L38" s="224"/>
      <c r="M38" s="260"/>
      <c r="N38" s="257"/>
      <c r="O38" s="260">
        <f>IF(NOT(ISERROR(MATCH(N38,_xlfn.ANCHORARRAY(G49),0))),M51&amp;"Por favor no seleccionar los criterios de impacto",N38)</f>
        <v>0</v>
      </c>
      <c r="P38" s="224"/>
      <c r="Q38" s="260"/>
      <c r="R38" s="264"/>
      <c r="S38" s="197"/>
      <c r="T38" s="197" t="str">
        <f t="shared" si="1"/>
        <v/>
      </c>
      <c r="U38" s="197"/>
      <c r="V38" s="197" t="str">
        <f t="shared" si="2"/>
        <v/>
      </c>
      <c r="W38" s="197" t="str">
        <f t="shared" si="3"/>
        <v/>
      </c>
      <c r="X38" s="197" t="str">
        <f t="shared" si="4"/>
        <v/>
      </c>
      <c r="Y38" s="6">
        <v>4</v>
      </c>
      <c r="Z38" s="116"/>
      <c r="AA38" s="117" t="str">
        <f t="shared" ref="AA38:AA40" si="45">IF(OR(AB38="Preventivo",AB38="Detectivo"),"Probabilidad",IF(AB38="Correctivo","Impacto",""))</f>
        <v/>
      </c>
      <c r="AB38" s="118"/>
      <c r="AC38" s="118"/>
      <c r="AD38" s="119" t="str">
        <f t="shared" si="42"/>
        <v/>
      </c>
      <c r="AE38" s="118"/>
      <c r="AF38" s="118"/>
      <c r="AG38" s="118"/>
      <c r="AH38" s="120" t="str">
        <f t="shared" ref="AH38:AH40" si="46">IFERROR(IF(AND(AA37="Probabilidad",AA38="Probabilidad"),(AJ37-(+AJ37*AD38)),IF(AND(AA37="Impacto",AA38="Probabilidad"),(AJ36-(+AJ36*AD38)),IF(AA38="Impacto",AJ37,""))),"")</f>
        <v/>
      </c>
      <c r="AI38" s="121" t="str">
        <f t="shared" si="6"/>
        <v/>
      </c>
      <c r="AJ38" s="122" t="str">
        <f t="shared" si="43"/>
        <v/>
      </c>
      <c r="AK38" s="121" t="str">
        <f t="shared" si="8"/>
        <v/>
      </c>
      <c r="AL38" s="122" t="str">
        <f t="shared" ref="AL38:AL40" si="47">IFERROR(IF(AND(AA37="Impacto",AA38="Impacto"),(AL37-(+AL37*AD38)),IF(AND(AA37="Probabilidad",AA38="Impacto"),(AL36-(+AL36*AD38)),IF(AA38="Probabilidad",AL37,""))),"")</f>
        <v/>
      </c>
      <c r="AM38" s="123" t="str">
        <f>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24"/>
      <c r="AO38" s="124"/>
      <c r="AP38" s="124"/>
      <c r="AQ38" s="124"/>
      <c r="AR38" s="124"/>
      <c r="AS38" s="124"/>
      <c r="AT38" s="124"/>
      <c r="AU38" s="140"/>
      <c r="AV38" s="141"/>
      <c r="AW38" s="148"/>
      <c r="AX38" s="148"/>
      <c r="AY38" s="125"/>
      <c r="AZ38" s="126"/>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26"/>
      <c r="B39" s="130"/>
      <c r="C39" s="268"/>
      <c r="D39" s="268"/>
      <c r="E39" s="268"/>
      <c r="F39" s="199"/>
      <c r="G39" s="271"/>
      <c r="H39" s="202"/>
      <c r="I39" s="202"/>
      <c r="J39" s="268"/>
      <c r="K39" s="222"/>
      <c r="L39" s="224"/>
      <c r="M39" s="260"/>
      <c r="N39" s="257"/>
      <c r="O39" s="260">
        <f>IF(NOT(ISERROR(MATCH(N39,_xlfn.ANCHORARRAY(G50),0))),M52&amp;"Por favor no seleccionar los criterios de impacto",N39)</f>
        <v>0</v>
      </c>
      <c r="P39" s="224"/>
      <c r="Q39" s="260"/>
      <c r="R39" s="264"/>
      <c r="S39" s="197"/>
      <c r="T39" s="197" t="str">
        <f t="shared" si="1"/>
        <v/>
      </c>
      <c r="U39" s="197"/>
      <c r="V39" s="197" t="str">
        <f t="shared" si="2"/>
        <v/>
      </c>
      <c r="W39" s="197" t="str">
        <f t="shared" si="3"/>
        <v/>
      </c>
      <c r="X39" s="197" t="str">
        <f t="shared" si="4"/>
        <v/>
      </c>
      <c r="Y39" s="6">
        <v>5</v>
      </c>
      <c r="Z39" s="116"/>
      <c r="AA39" s="117" t="str">
        <f t="shared" si="45"/>
        <v/>
      </c>
      <c r="AB39" s="118"/>
      <c r="AC39" s="118"/>
      <c r="AD39" s="119" t="str">
        <f t="shared" si="42"/>
        <v/>
      </c>
      <c r="AE39" s="118"/>
      <c r="AF39" s="118"/>
      <c r="AG39" s="118"/>
      <c r="AH39" s="120" t="str">
        <f t="shared" si="46"/>
        <v/>
      </c>
      <c r="AI39" s="121" t="str">
        <f t="shared" si="6"/>
        <v/>
      </c>
      <c r="AJ39" s="122" t="str">
        <f t="shared" si="43"/>
        <v/>
      </c>
      <c r="AK39" s="121" t="str">
        <f t="shared" si="8"/>
        <v/>
      </c>
      <c r="AL39" s="122" t="str">
        <f t="shared" si="47"/>
        <v/>
      </c>
      <c r="AM39" s="123" t="str">
        <f t="shared" ref="AM39:AM40" si="48">IFERROR(IF(OR(AND(AI39="Muy Baja",AK39="Leve"),AND(AI39="Muy Baja",AK39="Menor"),AND(AI39="Baja",AK39="Leve")),"Bajo",IF(OR(AND(AI39="Muy baja",AK39="Moderado"),AND(AI39="Baja",AK39="Menor"),AND(AI39="Baja",AK39="Moderado"),AND(AI39="Media",AK39="Leve"),AND(AI39="Media",AK39="Menor"),AND(AI39="Media",AK39="Moderado"),AND(AI39="Alta",AK39="Leve"),AND(AI39="Alta",AK39="Menor")),"Moderado",IF(OR(AND(AI39="Muy Baja",AK39="Mayor"),AND(AI39="Baja",AK39="Mayor"),AND(AI39="Media",AK39="Mayor"),AND(AI39="Alta",AK39="Moderado"),AND(AI39="Alta",AK39="Mayor"),AND(AI39="Muy Alta",AK39="Leve"),AND(AI39="Muy Alta",AK39="Menor"),AND(AI39="Muy Alta",AK39="Moderado"),AND(AI39="Muy Alta",AK39="Mayor")),"Alto",IF(OR(AND(AI39="Muy Baja",AK39="Catastrófico"),AND(AI39="Baja",AK39="Catastrófico"),AND(AI39="Media",AK39="Catastrófico"),AND(AI39="Alta",AK39="Catastrófico"),AND(AI39="Muy Alta",AK39="Catastrófico")),"Extremo","")))),"")</f>
        <v/>
      </c>
      <c r="AN39" s="124"/>
      <c r="AO39" s="124"/>
      <c r="AP39" s="124"/>
      <c r="AQ39" s="124"/>
      <c r="AR39" s="124"/>
      <c r="AS39" s="124"/>
      <c r="AT39" s="124"/>
      <c r="AU39" s="140"/>
      <c r="AV39" s="141"/>
      <c r="AW39" s="148"/>
      <c r="AX39" s="148"/>
      <c r="AY39" s="125"/>
      <c r="AZ39" s="126"/>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66"/>
      <c r="B40" s="131"/>
      <c r="C40" s="269"/>
      <c r="D40" s="269"/>
      <c r="E40" s="269"/>
      <c r="F40" s="200"/>
      <c r="G40" s="272"/>
      <c r="H40" s="203"/>
      <c r="I40" s="203"/>
      <c r="J40" s="269"/>
      <c r="K40" s="273"/>
      <c r="L40" s="262"/>
      <c r="M40" s="261"/>
      <c r="N40" s="258"/>
      <c r="O40" s="261">
        <f>IF(NOT(ISERROR(MATCH(N40,_xlfn.ANCHORARRAY(G51),0))),M53&amp;"Por favor no seleccionar los criterios de impacto",N40)</f>
        <v>0</v>
      </c>
      <c r="P40" s="262"/>
      <c r="Q40" s="261"/>
      <c r="R40" s="265"/>
      <c r="S40" s="197"/>
      <c r="T40" s="197" t="str">
        <f t="shared" si="1"/>
        <v/>
      </c>
      <c r="U40" s="197"/>
      <c r="V40" s="197" t="str">
        <f t="shared" si="2"/>
        <v/>
      </c>
      <c r="W40" s="197" t="str">
        <f t="shared" si="3"/>
        <v/>
      </c>
      <c r="X40" s="197" t="str">
        <f t="shared" si="4"/>
        <v/>
      </c>
      <c r="Y40" s="6">
        <v>6</v>
      </c>
      <c r="Z40" s="116"/>
      <c r="AA40" s="117" t="str">
        <f t="shared" si="45"/>
        <v/>
      </c>
      <c r="AB40" s="118"/>
      <c r="AC40" s="118"/>
      <c r="AD40" s="119" t="str">
        <f t="shared" si="42"/>
        <v/>
      </c>
      <c r="AE40" s="118"/>
      <c r="AF40" s="118"/>
      <c r="AG40" s="118"/>
      <c r="AH40" s="120" t="str">
        <f t="shared" si="46"/>
        <v/>
      </c>
      <c r="AI40" s="121" t="str">
        <f t="shared" si="6"/>
        <v/>
      </c>
      <c r="AJ40" s="122" t="str">
        <f t="shared" si="43"/>
        <v/>
      </c>
      <c r="AK40" s="121" t="str">
        <f t="shared" si="8"/>
        <v/>
      </c>
      <c r="AL40" s="122" t="str">
        <f t="shared" si="47"/>
        <v/>
      </c>
      <c r="AM40" s="123" t="str">
        <f t="shared" si="48"/>
        <v/>
      </c>
      <c r="AN40" s="124"/>
      <c r="AO40" s="124"/>
      <c r="AP40" s="124"/>
      <c r="AQ40" s="124"/>
      <c r="AR40" s="124"/>
      <c r="AS40" s="124"/>
      <c r="AT40" s="124"/>
      <c r="AU40" s="140"/>
      <c r="AV40" s="141"/>
      <c r="AW40" s="148"/>
      <c r="AX40" s="148"/>
      <c r="AY40" s="125"/>
      <c r="AZ40" s="126"/>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25">
        <v>8</v>
      </c>
      <c r="B41" s="129"/>
      <c r="C41" s="267"/>
      <c r="D41" s="267"/>
      <c r="E41" s="267"/>
      <c r="F41" s="198"/>
      <c r="G41" s="270"/>
      <c r="H41" s="201"/>
      <c r="I41" s="201"/>
      <c r="J41" s="267"/>
      <c r="K41" s="221"/>
      <c r="L41" s="223" t="str">
        <f>IF(K41&lt;=0,"",IF(K41&lt;=2,"Muy Baja",IF(K41&lt;=24,"Baja",IF(K41&lt;=500,"Media",IF(K41&lt;=5000,"Alta","Muy Alta")))))</f>
        <v/>
      </c>
      <c r="M41" s="259" t="str">
        <f>IF(L41="","",IF(L41="Muy Baja",0.2,IF(L41="Baja",0.4,IF(L41="Media",0.6,IF(L41="Alta",0.8,IF(L41="Muy Alta",1,))))))</f>
        <v/>
      </c>
      <c r="N41" s="256"/>
      <c r="O41" s="259">
        <f>IF(NOT(ISERROR(MATCH(N41,'Tabla Impacto'!$B$221:$B$223,0))),'Tabla Impacto'!$F$223&amp;"Por favor no seleccionar los criterios de impacto(Afectación Económica o presupuestal y Pérdida Reputacional)",N41)</f>
        <v>0</v>
      </c>
      <c r="P41" s="223" t="str">
        <f>IF(OR(O41='Tabla Impacto'!$C$11,O41='Tabla Impacto'!$D$11),"Leve",IF(OR(O41='Tabla Impacto'!$C$12,O41='Tabla Impacto'!$D$12),"Menor",IF(OR(O41='Tabla Impacto'!$C$13,O41='Tabla Impacto'!$D$13),"Moderado",IF(OR(O41='Tabla Impacto'!$C$14,O41='Tabla Impacto'!$D$14),"Mayor",IF(OR(O41='Tabla Impacto'!$C$15,O41='Tabla Impacto'!$D$15),"Catastrófico","")))))</f>
        <v/>
      </c>
      <c r="Q41" s="259" t="str">
        <f>IF(P41="","",IF(P41="Leve",0.2,IF(P41="Menor",0.4,IF(P41="Moderado",0.6,IF(P41="Mayor",0.8,IF(P41="Catastrófico",1,))))))</f>
        <v/>
      </c>
      <c r="R41" s="263" t="str">
        <f>IF(OR(AND(L41="Muy Baja",P41="Leve"),AND(L41="Muy Baja",P41="Menor"),AND(L41="Baja",P41="Leve")),"Bajo",IF(OR(AND(L41="Muy baja",P41="Moderado"),AND(L41="Baja",P41="Menor"),AND(L41="Baja",P41="Moderado"),AND(L41="Media",P41="Leve"),AND(L41="Media",P41="Menor"),AND(L41="Media",P41="Moderado"),AND(L41="Alta",P41="Leve"),AND(L41="Alta",P41="Menor")),"Moderado",IF(OR(AND(L41="Muy Baja",P41="Mayor"),AND(L41="Baja",P41="Mayor"),AND(L41="Media",P41="Mayor"),AND(L41="Alta",P41="Moderado"),AND(L41="Alta",P41="Mayor"),AND(L41="Muy Alta",P41="Leve"),AND(L41="Muy Alta",P41="Menor"),AND(L41="Muy Alta",P41="Moderado"),AND(L41="Muy Alta",P41="Mayor")),"Alto",IF(OR(AND(L41="Muy Baja",P41="Catastrófico"),AND(L41="Baja",P41="Catastrófico"),AND(L41="Media",P41="Catastrófico"),AND(L41="Alta",P41="Catastrófico"),AND(L41="Muy Alta",P41="Catastrófico")),"Extremo",""))))</f>
        <v/>
      </c>
      <c r="S41" s="197"/>
      <c r="T41" s="197" t="str">
        <f t="shared" si="1"/>
        <v/>
      </c>
      <c r="U41" s="197"/>
      <c r="V41" s="197" t="str">
        <f t="shared" si="2"/>
        <v/>
      </c>
      <c r="W41" s="197" t="str">
        <f t="shared" si="3"/>
        <v/>
      </c>
      <c r="X41" s="197" t="str">
        <f t="shared" si="4"/>
        <v/>
      </c>
      <c r="Y41" s="6">
        <v>1</v>
      </c>
      <c r="Z41" s="116"/>
      <c r="AA41" s="117" t="str">
        <f>IF(OR(AB41="Preventivo",AB41="Detectivo"),"Probabilidad",IF(AB41="Correctivo","Impacto",""))</f>
        <v/>
      </c>
      <c r="AB41" s="118"/>
      <c r="AC41" s="118"/>
      <c r="AD41" s="119" t="str">
        <f>IF(AND(AB41="Preventivo",AC41="Automático"),"50%",IF(AND(AB41="Preventivo",AC41="Manual"),"40%",IF(AND(AB41="Detectivo",AC41="Automático"),"40%",IF(AND(AB41="Detectivo",AC41="Manual"),"30%",IF(AND(AB41="Correctivo",AC41="Automático"),"35%",IF(AND(AB41="Correctivo",AC41="Manual"),"25%",""))))))</f>
        <v/>
      </c>
      <c r="AE41" s="118"/>
      <c r="AF41" s="118"/>
      <c r="AG41" s="118"/>
      <c r="AH41" s="120" t="str">
        <f>IFERROR(IF(AA41="Probabilidad",(M41-(+M41*AD41)),IF(AA41="Impacto",M41,"")),"")</f>
        <v/>
      </c>
      <c r="AI41" s="121" t="str">
        <f>IFERROR(IF(AH41="","",IF(AH41&lt;=0.2,"Muy Baja",IF(AH41&lt;=0.4,"Baja",IF(AH41&lt;=0.6,"Media",IF(AH41&lt;=0.8,"Alta","Muy Alta"))))),"")</f>
        <v/>
      </c>
      <c r="AJ41" s="122" t="str">
        <f>+AH41</f>
        <v/>
      </c>
      <c r="AK41" s="121" t="str">
        <f>IFERROR(IF(AL41="","",IF(AL41&lt;=0.2,"Leve",IF(AL41&lt;=0.4,"Menor",IF(AL41&lt;=0.6,"Moderado",IF(AL41&lt;=0.8,"Mayor","Catastrófico"))))),"")</f>
        <v/>
      </c>
      <c r="AL41" s="122" t="str">
        <f>IFERROR(IF(AA41="Impacto",(Q41-(+Q41*AD41)),IF(AA41="Probabilidad",Q41,"")),"")</f>
        <v/>
      </c>
      <c r="AM41" s="123" t="str">
        <f>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24"/>
      <c r="AO41" s="124"/>
      <c r="AP41" s="124"/>
      <c r="AQ41" s="124"/>
      <c r="AR41" s="124"/>
      <c r="AS41" s="124"/>
      <c r="AT41" s="124"/>
      <c r="AU41" s="140"/>
      <c r="AV41" s="141"/>
      <c r="AW41" s="148"/>
      <c r="AX41" s="148"/>
      <c r="AY41" s="125"/>
      <c r="AZ41" s="126"/>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26"/>
      <c r="B42" s="130"/>
      <c r="C42" s="268"/>
      <c r="D42" s="268"/>
      <c r="E42" s="268"/>
      <c r="F42" s="199"/>
      <c r="G42" s="271"/>
      <c r="H42" s="202"/>
      <c r="I42" s="202"/>
      <c r="J42" s="268"/>
      <c r="K42" s="222"/>
      <c r="L42" s="224"/>
      <c r="M42" s="260"/>
      <c r="N42" s="257"/>
      <c r="O42" s="260">
        <f>IF(NOT(ISERROR(MATCH(N42,_xlfn.ANCHORARRAY(G53),0))),M55&amp;"Por favor no seleccionar los criterios de impacto",N42)</f>
        <v>0</v>
      </c>
      <c r="P42" s="224"/>
      <c r="Q42" s="260"/>
      <c r="R42" s="264"/>
      <c r="S42" s="197"/>
      <c r="T42" s="197" t="str">
        <f t="shared" si="1"/>
        <v/>
      </c>
      <c r="U42" s="197"/>
      <c r="V42" s="197" t="str">
        <f t="shared" si="2"/>
        <v/>
      </c>
      <c r="W42" s="197" t="str">
        <f t="shared" si="3"/>
        <v/>
      </c>
      <c r="X42" s="197" t="str">
        <f t="shared" si="4"/>
        <v/>
      </c>
      <c r="Y42" s="6">
        <v>2</v>
      </c>
      <c r="Z42" s="116"/>
      <c r="AA42" s="117" t="str">
        <f>IF(OR(AB42="Preventivo",AB42="Detectivo"),"Probabilidad",IF(AB42="Correctivo","Impacto",""))</f>
        <v/>
      </c>
      <c r="AB42" s="118"/>
      <c r="AC42" s="118"/>
      <c r="AD42" s="119" t="str">
        <f t="shared" ref="AD42:AD46" si="49">IF(AND(AB42="Preventivo",AC42="Automático"),"50%",IF(AND(AB42="Preventivo",AC42="Manual"),"40%",IF(AND(AB42="Detectivo",AC42="Automático"),"40%",IF(AND(AB42="Detectivo",AC42="Manual"),"30%",IF(AND(AB42="Correctivo",AC42="Automático"),"35%",IF(AND(AB42="Correctivo",AC42="Manual"),"25%",""))))))</f>
        <v/>
      </c>
      <c r="AE42" s="118"/>
      <c r="AF42" s="118"/>
      <c r="AG42" s="118"/>
      <c r="AH42" s="120" t="str">
        <f>IFERROR(IF(AND(AA41="Probabilidad",AA42="Probabilidad"),(AJ41-(+AJ41*AD42)),IF(AA42="Probabilidad",(M41-(+M41*AD42)),IF(AA42="Impacto",AJ41,""))),"")</f>
        <v/>
      </c>
      <c r="AI42" s="121" t="str">
        <f t="shared" si="6"/>
        <v/>
      </c>
      <c r="AJ42" s="122" t="str">
        <f t="shared" ref="AJ42:AJ46" si="50">+AH42</f>
        <v/>
      </c>
      <c r="AK42" s="121" t="str">
        <f t="shared" si="8"/>
        <v/>
      </c>
      <c r="AL42" s="122" t="str">
        <f>IFERROR(IF(AND(AA41="Impacto",AA42="Impacto"),(AL41-(+AL41*AD42)),IF(AA42="Impacto",(Q41-(+Q41*AD42)),IF(AA42="Probabilidad",AL41,""))),"")</f>
        <v/>
      </c>
      <c r="AM42" s="123" t="str">
        <f t="shared" ref="AM42:AM43" si="51">IFERROR(IF(OR(AND(AI42="Muy Baja",AK42="Leve"),AND(AI42="Muy Baja",AK42="Menor"),AND(AI42="Baja",AK42="Leve")),"Bajo",IF(OR(AND(AI42="Muy baja",AK42="Moderado"),AND(AI42="Baja",AK42="Menor"),AND(AI42="Baja",AK42="Moderado"),AND(AI42="Media",AK42="Leve"),AND(AI42="Media",AK42="Menor"),AND(AI42="Media",AK42="Moderado"),AND(AI42="Alta",AK42="Leve"),AND(AI42="Alta",AK42="Menor")),"Moderado",IF(OR(AND(AI42="Muy Baja",AK42="Mayor"),AND(AI42="Baja",AK42="Mayor"),AND(AI42="Media",AK42="Mayor"),AND(AI42="Alta",AK42="Moderado"),AND(AI42="Alta",AK42="Mayor"),AND(AI42="Muy Alta",AK42="Leve"),AND(AI42="Muy Alta",AK42="Menor"),AND(AI42="Muy Alta",AK42="Moderado"),AND(AI42="Muy Alta",AK42="Mayor")),"Alto",IF(OR(AND(AI42="Muy Baja",AK42="Catastrófico"),AND(AI42="Baja",AK42="Catastrófico"),AND(AI42="Media",AK42="Catastrófico"),AND(AI42="Alta",AK42="Catastrófico"),AND(AI42="Muy Alta",AK42="Catastrófico")),"Extremo","")))),"")</f>
        <v/>
      </c>
      <c r="AN42" s="124"/>
      <c r="AO42" s="124"/>
      <c r="AP42" s="124"/>
      <c r="AQ42" s="124"/>
      <c r="AR42" s="124"/>
      <c r="AS42" s="124"/>
      <c r="AT42" s="124"/>
      <c r="AU42" s="140"/>
      <c r="AV42" s="141"/>
      <c r="AW42" s="148"/>
      <c r="AX42" s="148"/>
      <c r="AY42" s="125"/>
      <c r="AZ42" s="126"/>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26"/>
      <c r="B43" s="130"/>
      <c r="C43" s="268"/>
      <c r="D43" s="268"/>
      <c r="E43" s="268"/>
      <c r="F43" s="199"/>
      <c r="G43" s="271"/>
      <c r="H43" s="202"/>
      <c r="I43" s="202"/>
      <c r="J43" s="268"/>
      <c r="K43" s="222"/>
      <c r="L43" s="224"/>
      <c r="M43" s="260"/>
      <c r="N43" s="257"/>
      <c r="O43" s="260">
        <f>IF(NOT(ISERROR(MATCH(N43,_xlfn.ANCHORARRAY(G54),0))),M56&amp;"Por favor no seleccionar los criterios de impacto",N43)</f>
        <v>0</v>
      </c>
      <c r="P43" s="224"/>
      <c r="Q43" s="260"/>
      <c r="R43" s="264"/>
      <c r="S43" s="197"/>
      <c r="T43" s="197" t="str">
        <f t="shared" si="1"/>
        <v/>
      </c>
      <c r="U43" s="197"/>
      <c r="V43" s="197" t="str">
        <f t="shared" si="2"/>
        <v/>
      </c>
      <c r="W43" s="197" t="str">
        <f t="shared" si="3"/>
        <v/>
      </c>
      <c r="X43" s="197" t="str">
        <f t="shared" si="4"/>
        <v/>
      </c>
      <c r="Y43" s="6">
        <v>3</v>
      </c>
      <c r="Z43" s="127"/>
      <c r="AA43" s="117" t="str">
        <f>IF(OR(AB43="Preventivo",AB43="Detectivo"),"Probabilidad",IF(AB43="Correctivo","Impacto",""))</f>
        <v/>
      </c>
      <c r="AB43" s="118"/>
      <c r="AC43" s="118"/>
      <c r="AD43" s="119" t="str">
        <f t="shared" si="49"/>
        <v/>
      </c>
      <c r="AE43" s="118"/>
      <c r="AF43" s="118"/>
      <c r="AG43" s="118"/>
      <c r="AH43" s="120" t="str">
        <f>IFERROR(IF(AND(AA42="Probabilidad",AA43="Probabilidad"),(AJ42-(+AJ42*AD43)),IF(AND(AA42="Impacto",AA43="Probabilidad"),(AJ41-(+AJ41*AD43)),IF(AA43="Impacto",AJ42,""))),"")</f>
        <v/>
      </c>
      <c r="AI43" s="121" t="str">
        <f t="shared" si="6"/>
        <v/>
      </c>
      <c r="AJ43" s="122" t="str">
        <f t="shared" si="50"/>
        <v/>
      </c>
      <c r="AK43" s="121" t="str">
        <f t="shared" si="8"/>
        <v/>
      </c>
      <c r="AL43" s="122" t="str">
        <f>IFERROR(IF(AND(AA42="Impacto",AA43="Impacto"),(AL42-(+AL42*AD43)),IF(AND(AA42="Probabilidad",AA43="Impacto"),(AL41-(+AL41*AD43)),IF(AA43="Probabilidad",AL42,""))),"")</f>
        <v/>
      </c>
      <c r="AM43" s="123" t="str">
        <f t="shared" si="51"/>
        <v/>
      </c>
      <c r="AN43" s="124"/>
      <c r="AO43" s="124"/>
      <c r="AP43" s="124"/>
      <c r="AQ43" s="124"/>
      <c r="AR43" s="124"/>
      <c r="AS43" s="124"/>
      <c r="AT43" s="124"/>
      <c r="AU43" s="140"/>
      <c r="AV43" s="141"/>
      <c r="AW43" s="148"/>
      <c r="AX43" s="148"/>
      <c r="AY43" s="125"/>
      <c r="AZ43" s="126"/>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26"/>
      <c r="B44" s="130"/>
      <c r="C44" s="268"/>
      <c r="D44" s="268"/>
      <c r="E44" s="268"/>
      <c r="F44" s="199"/>
      <c r="G44" s="271"/>
      <c r="H44" s="202"/>
      <c r="I44" s="202"/>
      <c r="J44" s="268"/>
      <c r="K44" s="222"/>
      <c r="L44" s="224"/>
      <c r="M44" s="260"/>
      <c r="N44" s="257"/>
      <c r="O44" s="260">
        <f>IF(NOT(ISERROR(MATCH(N44,_xlfn.ANCHORARRAY(G55),0))),M57&amp;"Por favor no seleccionar los criterios de impacto",N44)</f>
        <v>0</v>
      </c>
      <c r="P44" s="224"/>
      <c r="Q44" s="260"/>
      <c r="R44" s="264"/>
      <c r="S44" s="197"/>
      <c r="T44" s="197" t="str">
        <f t="shared" si="1"/>
        <v/>
      </c>
      <c r="U44" s="197"/>
      <c r="V44" s="197" t="str">
        <f t="shared" si="2"/>
        <v/>
      </c>
      <c r="W44" s="197" t="str">
        <f t="shared" si="3"/>
        <v/>
      </c>
      <c r="X44" s="197" t="str">
        <f t="shared" si="4"/>
        <v/>
      </c>
      <c r="Y44" s="6">
        <v>4</v>
      </c>
      <c r="Z44" s="116"/>
      <c r="AA44" s="117" t="str">
        <f t="shared" ref="AA44:AA46" si="52">IF(OR(AB44="Preventivo",AB44="Detectivo"),"Probabilidad",IF(AB44="Correctivo","Impacto",""))</f>
        <v/>
      </c>
      <c r="AB44" s="118"/>
      <c r="AC44" s="118"/>
      <c r="AD44" s="119" t="str">
        <f t="shared" si="49"/>
        <v/>
      </c>
      <c r="AE44" s="118"/>
      <c r="AF44" s="118"/>
      <c r="AG44" s="118"/>
      <c r="AH44" s="120" t="str">
        <f t="shared" ref="AH44:AH46" si="53">IFERROR(IF(AND(AA43="Probabilidad",AA44="Probabilidad"),(AJ43-(+AJ43*AD44)),IF(AND(AA43="Impacto",AA44="Probabilidad"),(AJ42-(+AJ42*AD44)),IF(AA44="Impacto",AJ43,""))),"")</f>
        <v/>
      </c>
      <c r="AI44" s="121" t="str">
        <f t="shared" si="6"/>
        <v/>
      </c>
      <c r="AJ44" s="122" t="str">
        <f t="shared" si="50"/>
        <v/>
      </c>
      <c r="AK44" s="121" t="str">
        <f t="shared" si="8"/>
        <v/>
      </c>
      <c r="AL44" s="122" t="str">
        <f t="shared" ref="AL44:AL46" si="54">IFERROR(IF(AND(AA43="Impacto",AA44="Impacto"),(AL43-(+AL43*AD44)),IF(AND(AA43="Probabilidad",AA44="Impacto"),(AL42-(+AL42*AD44)),IF(AA44="Probabilidad",AL43,""))),"")</f>
        <v/>
      </c>
      <c r="AM44" s="123" t="str">
        <f>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24"/>
      <c r="AO44" s="124"/>
      <c r="AP44" s="124"/>
      <c r="AQ44" s="124"/>
      <c r="AR44" s="124"/>
      <c r="AS44" s="124"/>
      <c r="AT44" s="124"/>
      <c r="AU44" s="140"/>
      <c r="AV44" s="141"/>
      <c r="AW44" s="148"/>
      <c r="AX44" s="148"/>
      <c r="AY44" s="125"/>
      <c r="AZ44" s="126"/>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26"/>
      <c r="B45" s="130"/>
      <c r="C45" s="268"/>
      <c r="D45" s="268"/>
      <c r="E45" s="268"/>
      <c r="F45" s="199"/>
      <c r="G45" s="271"/>
      <c r="H45" s="202"/>
      <c r="I45" s="202"/>
      <c r="J45" s="268"/>
      <c r="K45" s="222"/>
      <c r="L45" s="224"/>
      <c r="M45" s="260"/>
      <c r="N45" s="257"/>
      <c r="O45" s="260">
        <f>IF(NOT(ISERROR(MATCH(N45,_xlfn.ANCHORARRAY(G56),0))),M58&amp;"Por favor no seleccionar los criterios de impacto",N45)</f>
        <v>0</v>
      </c>
      <c r="P45" s="224"/>
      <c r="Q45" s="260"/>
      <c r="R45" s="264"/>
      <c r="S45" s="197"/>
      <c r="T45" s="197" t="str">
        <f t="shared" si="1"/>
        <v/>
      </c>
      <c r="U45" s="197"/>
      <c r="V45" s="197" t="str">
        <f t="shared" si="2"/>
        <v/>
      </c>
      <c r="W45" s="197" t="str">
        <f t="shared" si="3"/>
        <v/>
      </c>
      <c r="X45" s="197" t="str">
        <f t="shared" si="4"/>
        <v/>
      </c>
      <c r="Y45" s="6">
        <v>5</v>
      </c>
      <c r="Z45" s="116"/>
      <c r="AA45" s="117" t="str">
        <f t="shared" si="52"/>
        <v/>
      </c>
      <c r="AB45" s="118"/>
      <c r="AC45" s="118"/>
      <c r="AD45" s="119" t="str">
        <f t="shared" si="49"/>
        <v/>
      </c>
      <c r="AE45" s="118"/>
      <c r="AF45" s="118"/>
      <c r="AG45" s="118"/>
      <c r="AH45" s="120" t="str">
        <f t="shared" si="53"/>
        <v/>
      </c>
      <c r="AI45" s="121" t="str">
        <f t="shared" si="6"/>
        <v/>
      </c>
      <c r="AJ45" s="122" t="str">
        <f t="shared" si="50"/>
        <v/>
      </c>
      <c r="AK45" s="121" t="str">
        <f t="shared" si="8"/>
        <v/>
      </c>
      <c r="AL45" s="122" t="str">
        <f t="shared" si="54"/>
        <v/>
      </c>
      <c r="AM45" s="123" t="str">
        <f t="shared" ref="AM45:AM46" si="55">IFERROR(IF(OR(AND(AI45="Muy Baja",AK45="Leve"),AND(AI45="Muy Baja",AK45="Menor"),AND(AI45="Baja",AK45="Leve")),"Bajo",IF(OR(AND(AI45="Muy baja",AK45="Moderado"),AND(AI45="Baja",AK45="Menor"),AND(AI45="Baja",AK45="Moderado"),AND(AI45="Media",AK45="Leve"),AND(AI45="Media",AK45="Menor"),AND(AI45="Media",AK45="Moderado"),AND(AI45="Alta",AK45="Leve"),AND(AI45="Alta",AK45="Menor")),"Moderado",IF(OR(AND(AI45="Muy Baja",AK45="Mayor"),AND(AI45="Baja",AK45="Mayor"),AND(AI45="Media",AK45="Mayor"),AND(AI45="Alta",AK45="Moderado"),AND(AI45="Alta",AK45="Mayor"),AND(AI45="Muy Alta",AK45="Leve"),AND(AI45="Muy Alta",AK45="Menor"),AND(AI45="Muy Alta",AK45="Moderado"),AND(AI45="Muy Alta",AK45="Mayor")),"Alto",IF(OR(AND(AI45="Muy Baja",AK45="Catastrófico"),AND(AI45="Baja",AK45="Catastrófico"),AND(AI45="Media",AK45="Catastrófico"),AND(AI45="Alta",AK45="Catastrófico"),AND(AI45="Muy Alta",AK45="Catastrófico")),"Extremo","")))),"")</f>
        <v/>
      </c>
      <c r="AN45" s="124"/>
      <c r="AO45" s="124"/>
      <c r="AP45" s="124"/>
      <c r="AQ45" s="124"/>
      <c r="AR45" s="124"/>
      <c r="AS45" s="124"/>
      <c r="AT45" s="124"/>
      <c r="AU45" s="140"/>
      <c r="AV45" s="141"/>
      <c r="AW45" s="148"/>
      <c r="AX45" s="148"/>
      <c r="AY45" s="125"/>
      <c r="AZ45" s="126"/>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66"/>
      <c r="B46" s="131"/>
      <c r="C46" s="269"/>
      <c r="D46" s="269"/>
      <c r="E46" s="269"/>
      <c r="F46" s="200"/>
      <c r="G46" s="272"/>
      <c r="H46" s="203"/>
      <c r="I46" s="203"/>
      <c r="J46" s="269"/>
      <c r="K46" s="273"/>
      <c r="L46" s="262"/>
      <c r="M46" s="261"/>
      <c r="N46" s="258"/>
      <c r="O46" s="261">
        <f>IF(NOT(ISERROR(MATCH(N46,_xlfn.ANCHORARRAY(G57),0))),M59&amp;"Por favor no seleccionar los criterios de impacto",N46)</f>
        <v>0</v>
      </c>
      <c r="P46" s="262"/>
      <c r="Q46" s="261"/>
      <c r="R46" s="265"/>
      <c r="S46" s="197"/>
      <c r="T46" s="197" t="str">
        <f t="shared" si="1"/>
        <v/>
      </c>
      <c r="U46" s="197"/>
      <c r="V46" s="197" t="str">
        <f t="shared" si="2"/>
        <v/>
      </c>
      <c r="W46" s="197" t="str">
        <f t="shared" si="3"/>
        <v/>
      </c>
      <c r="X46" s="197" t="str">
        <f t="shared" si="4"/>
        <v/>
      </c>
      <c r="Y46" s="6">
        <v>6</v>
      </c>
      <c r="Z46" s="116"/>
      <c r="AA46" s="117" t="str">
        <f t="shared" si="52"/>
        <v/>
      </c>
      <c r="AB46" s="118"/>
      <c r="AC46" s="118"/>
      <c r="AD46" s="119" t="str">
        <f t="shared" si="49"/>
        <v/>
      </c>
      <c r="AE46" s="118"/>
      <c r="AF46" s="118"/>
      <c r="AG46" s="118"/>
      <c r="AH46" s="120" t="str">
        <f t="shared" si="53"/>
        <v/>
      </c>
      <c r="AI46" s="121" t="str">
        <f t="shared" si="6"/>
        <v/>
      </c>
      <c r="AJ46" s="122" t="str">
        <f t="shared" si="50"/>
        <v/>
      </c>
      <c r="AK46" s="121" t="str">
        <f t="shared" si="8"/>
        <v/>
      </c>
      <c r="AL46" s="122" t="str">
        <f t="shared" si="54"/>
        <v/>
      </c>
      <c r="AM46" s="123" t="str">
        <f t="shared" si="55"/>
        <v/>
      </c>
      <c r="AN46" s="124"/>
      <c r="AO46" s="124"/>
      <c r="AP46" s="124"/>
      <c r="AQ46" s="124"/>
      <c r="AR46" s="124"/>
      <c r="AS46" s="124"/>
      <c r="AT46" s="124"/>
      <c r="AU46" s="140"/>
      <c r="AV46" s="141"/>
      <c r="AW46" s="148"/>
      <c r="AX46" s="148"/>
      <c r="AY46" s="125"/>
      <c r="AZ46" s="126"/>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25">
        <v>9</v>
      </c>
      <c r="B47" s="129"/>
      <c r="C47" s="267"/>
      <c r="D47" s="267"/>
      <c r="E47" s="267"/>
      <c r="F47" s="198"/>
      <c r="G47" s="270"/>
      <c r="H47" s="201"/>
      <c r="I47" s="201"/>
      <c r="J47" s="267"/>
      <c r="K47" s="221"/>
      <c r="L47" s="223" t="str">
        <f>IF(K47&lt;=0,"",IF(K47&lt;=2,"Muy Baja",IF(K47&lt;=24,"Baja",IF(K47&lt;=500,"Media",IF(K47&lt;=5000,"Alta","Muy Alta")))))</f>
        <v/>
      </c>
      <c r="M47" s="259" t="str">
        <f>IF(L47="","",IF(L47="Muy Baja",0.2,IF(L47="Baja",0.4,IF(L47="Media",0.6,IF(L47="Alta",0.8,IF(L47="Muy Alta",1,))))))</f>
        <v/>
      </c>
      <c r="N47" s="256"/>
      <c r="O47" s="259">
        <f>IF(NOT(ISERROR(MATCH(N47,'Tabla Impacto'!$B$221:$B$223,0))),'Tabla Impacto'!$F$223&amp;"Por favor no seleccionar los criterios de impacto(Afectación Económica o presupuestal y Pérdida Reputacional)",N47)</f>
        <v>0</v>
      </c>
      <c r="P47" s="223" t="str">
        <f>IF(OR(O47='Tabla Impacto'!$C$11,O47='Tabla Impacto'!$D$11),"Leve",IF(OR(O47='Tabla Impacto'!$C$12,O47='Tabla Impacto'!$D$12),"Menor",IF(OR(O47='Tabla Impacto'!$C$13,O47='Tabla Impacto'!$D$13),"Moderado",IF(OR(O47='Tabla Impacto'!$C$14,O47='Tabla Impacto'!$D$14),"Mayor",IF(OR(O47='Tabla Impacto'!$C$15,O47='Tabla Impacto'!$D$15),"Catastrófico","")))))</f>
        <v/>
      </c>
      <c r="Q47" s="259" t="str">
        <f>IF(P47="","",IF(P47="Leve",0.2,IF(P47="Menor",0.4,IF(P47="Moderado",0.6,IF(P47="Mayor",0.8,IF(P47="Catastrófico",1,))))))</f>
        <v/>
      </c>
      <c r="R47" s="263" t="str">
        <f>IF(OR(AND(L47="Muy Baja",P47="Leve"),AND(L47="Muy Baja",P47="Menor"),AND(L47="Baja",P47="Leve")),"Bajo",IF(OR(AND(L47="Muy baja",P47="Moderado"),AND(L47="Baja",P47="Menor"),AND(L47="Baja",P47="Moderado"),AND(L47="Media",P47="Leve"),AND(L47="Media",P47="Menor"),AND(L47="Media",P47="Moderado"),AND(L47="Alta",P47="Leve"),AND(L47="Alta",P47="Menor")),"Moderado",IF(OR(AND(L47="Muy Baja",P47="Mayor"),AND(L47="Baja",P47="Mayor"),AND(L47="Media",P47="Mayor"),AND(L47="Alta",P47="Moderado"),AND(L47="Alta",P47="Mayor"),AND(L47="Muy Alta",P47="Leve"),AND(L47="Muy Alta",P47="Menor"),AND(L47="Muy Alta",P47="Moderado"),AND(L47="Muy Alta",P47="Mayor")),"Alto",IF(OR(AND(L47="Muy Baja",P47="Catastrófico"),AND(L47="Baja",P47="Catastrófico"),AND(L47="Media",P47="Catastrófico"),AND(L47="Alta",P47="Catastrófico"),AND(L47="Muy Alta",P47="Catastrófico")),"Extremo",""))))</f>
        <v/>
      </c>
      <c r="S47" s="197"/>
      <c r="T47" s="197" t="str">
        <f t="shared" si="1"/>
        <v/>
      </c>
      <c r="U47" s="197"/>
      <c r="V47" s="197" t="str">
        <f t="shared" si="2"/>
        <v/>
      </c>
      <c r="W47" s="197" t="str">
        <f t="shared" si="3"/>
        <v/>
      </c>
      <c r="X47" s="197" t="str">
        <f t="shared" si="4"/>
        <v/>
      </c>
      <c r="Y47" s="6">
        <v>1</v>
      </c>
      <c r="Z47" s="116"/>
      <c r="AA47" s="117" t="str">
        <f>IF(OR(AB47="Preventivo",AB47="Detectivo"),"Probabilidad",IF(AB47="Correctivo","Impacto",""))</f>
        <v/>
      </c>
      <c r="AB47" s="118"/>
      <c r="AC47" s="118"/>
      <c r="AD47" s="119" t="str">
        <f>IF(AND(AB47="Preventivo",AC47="Automático"),"50%",IF(AND(AB47="Preventivo",AC47="Manual"),"40%",IF(AND(AB47="Detectivo",AC47="Automático"),"40%",IF(AND(AB47="Detectivo",AC47="Manual"),"30%",IF(AND(AB47="Correctivo",AC47="Automático"),"35%",IF(AND(AB47="Correctivo",AC47="Manual"),"25%",""))))))</f>
        <v/>
      </c>
      <c r="AE47" s="118"/>
      <c r="AF47" s="118"/>
      <c r="AG47" s="118"/>
      <c r="AH47" s="120" t="str">
        <f>IFERROR(IF(AA47="Probabilidad",(M47-(+M47*AD47)),IF(AA47="Impacto",M47,"")),"")</f>
        <v/>
      </c>
      <c r="AI47" s="121" t="str">
        <f>IFERROR(IF(AH47="","",IF(AH47&lt;=0.2,"Muy Baja",IF(AH47&lt;=0.4,"Baja",IF(AH47&lt;=0.6,"Media",IF(AH47&lt;=0.8,"Alta","Muy Alta"))))),"")</f>
        <v/>
      </c>
      <c r="AJ47" s="122" t="str">
        <f>+AH47</f>
        <v/>
      </c>
      <c r="AK47" s="121" t="str">
        <f>IFERROR(IF(AL47="","",IF(AL47&lt;=0.2,"Leve",IF(AL47&lt;=0.4,"Menor",IF(AL47&lt;=0.6,"Moderado",IF(AL47&lt;=0.8,"Mayor","Catastrófico"))))),"")</f>
        <v/>
      </c>
      <c r="AL47" s="122" t="str">
        <f>IFERROR(IF(AA47="Impacto",(Q47-(+Q47*AD47)),IF(AA47="Probabilidad",Q47,"")),"")</f>
        <v/>
      </c>
      <c r="AM47" s="123" t="str">
        <f>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24"/>
      <c r="AO47" s="124"/>
      <c r="AP47" s="124"/>
      <c r="AQ47" s="124"/>
      <c r="AR47" s="124"/>
      <c r="AS47" s="124"/>
      <c r="AT47" s="124"/>
      <c r="AU47" s="140"/>
      <c r="AV47" s="141"/>
      <c r="AW47" s="148"/>
      <c r="AX47" s="148"/>
      <c r="AY47" s="125"/>
      <c r="AZ47" s="126"/>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26"/>
      <c r="B48" s="130"/>
      <c r="C48" s="268"/>
      <c r="D48" s="268"/>
      <c r="E48" s="268"/>
      <c r="F48" s="199"/>
      <c r="G48" s="271"/>
      <c r="H48" s="202"/>
      <c r="I48" s="202"/>
      <c r="J48" s="268"/>
      <c r="K48" s="222"/>
      <c r="L48" s="224"/>
      <c r="M48" s="260"/>
      <c r="N48" s="257"/>
      <c r="O48" s="260">
        <f>IF(NOT(ISERROR(MATCH(N48,_xlfn.ANCHORARRAY(G59),0))),M61&amp;"Por favor no seleccionar los criterios de impacto",N48)</f>
        <v>0</v>
      </c>
      <c r="P48" s="224"/>
      <c r="Q48" s="260"/>
      <c r="R48" s="264"/>
      <c r="S48" s="197"/>
      <c r="T48" s="197" t="str">
        <f t="shared" si="1"/>
        <v/>
      </c>
      <c r="U48" s="197"/>
      <c r="V48" s="197" t="str">
        <f t="shared" si="2"/>
        <v/>
      </c>
      <c r="W48" s="197" t="str">
        <f t="shared" si="3"/>
        <v/>
      </c>
      <c r="X48" s="197" t="str">
        <f t="shared" si="4"/>
        <v/>
      </c>
      <c r="Y48" s="6">
        <v>2</v>
      </c>
      <c r="Z48" s="116"/>
      <c r="AA48" s="117" t="str">
        <f>IF(OR(AB48="Preventivo",AB48="Detectivo"),"Probabilidad",IF(AB48="Correctivo","Impacto",""))</f>
        <v/>
      </c>
      <c r="AB48" s="118"/>
      <c r="AC48" s="118"/>
      <c r="AD48" s="119" t="str">
        <f t="shared" ref="AD48:AD52" si="56">IF(AND(AB48="Preventivo",AC48="Automático"),"50%",IF(AND(AB48="Preventivo",AC48="Manual"),"40%",IF(AND(AB48="Detectivo",AC48="Automático"),"40%",IF(AND(AB48="Detectivo",AC48="Manual"),"30%",IF(AND(AB48="Correctivo",AC48="Automático"),"35%",IF(AND(AB48="Correctivo",AC48="Manual"),"25%",""))))))</f>
        <v/>
      </c>
      <c r="AE48" s="118"/>
      <c r="AF48" s="118"/>
      <c r="AG48" s="118"/>
      <c r="AH48" s="120" t="str">
        <f>IFERROR(IF(AND(AA47="Probabilidad",AA48="Probabilidad"),(AJ47-(+AJ47*AD48)),IF(AA48="Probabilidad",(M47-(+M47*AD48)),IF(AA48="Impacto",AJ47,""))),"")</f>
        <v/>
      </c>
      <c r="AI48" s="121" t="str">
        <f t="shared" si="6"/>
        <v/>
      </c>
      <c r="AJ48" s="122" t="str">
        <f t="shared" ref="AJ48:AJ52" si="57">+AH48</f>
        <v/>
      </c>
      <c r="AK48" s="121" t="str">
        <f t="shared" si="8"/>
        <v/>
      </c>
      <c r="AL48" s="122" t="str">
        <f>IFERROR(IF(AND(AA47="Impacto",AA48="Impacto"),(AL47-(+AL47*AD48)),IF(AA48="Impacto",(Q47-(+Q47*AD48)),IF(AA48="Probabilidad",AL47,""))),"")</f>
        <v/>
      </c>
      <c r="AM48" s="123" t="str">
        <f t="shared" ref="AM48:AM49" si="58">IFERROR(IF(OR(AND(AI48="Muy Baja",AK48="Leve"),AND(AI48="Muy Baja",AK48="Menor"),AND(AI48="Baja",AK48="Leve")),"Bajo",IF(OR(AND(AI48="Muy baja",AK48="Moderado"),AND(AI48="Baja",AK48="Menor"),AND(AI48="Baja",AK48="Moderado"),AND(AI48="Media",AK48="Leve"),AND(AI48="Media",AK48="Menor"),AND(AI48="Media",AK48="Moderado"),AND(AI48="Alta",AK48="Leve"),AND(AI48="Alta",AK48="Menor")),"Moderado",IF(OR(AND(AI48="Muy Baja",AK48="Mayor"),AND(AI48="Baja",AK48="Mayor"),AND(AI48="Media",AK48="Mayor"),AND(AI48="Alta",AK48="Moderado"),AND(AI48="Alta",AK48="Mayor"),AND(AI48="Muy Alta",AK48="Leve"),AND(AI48="Muy Alta",AK48="Menor"),AND(AI48="Muy Alta",AK48="Moderado"),AND(AI48="Muy Alta",AK48="Mayor")),"Alto",IF(OR(AND(AI48="Muy Baja",AK48="Catastrófico"),AND(AI48="Baja",AK48="Catastrófico"),AND(AI48="Media",AK48="Catastrófico"),AND(AI48="Alta",AK48="Catastrófico"),AND(AI48="Muy Alta",AK48="Catastrófico")),"Extremo","")))),"")</f>
        <v/>
      </c>
      <c r="AN48" s="124"/>
      <c r="AO48" s="124"/>
      <c r="AP48" s="124"/>
      <c r="AQ48" s="124"/>
      <c r="AR48" s="124"/>
      <c r="AS48" s="124"/>
      <c r="AT48" s="124"/>
      <c r="AU48" s="140"/>
      <c r="AV48" s="141"/>
      <c r="AW48" s="148"/>
      <c r="AX48" s="148"/>
      <c r="AY48" s="125"/>
      <c r="AZ48" s="126"/>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26"/>
      <c r="B49" s="130"/>
      <c r="C49" s="268"/>
      <c r="D49" s="268"/>
      <c r="E49" s="268"/>
      <c r="F49" s="199"/>
      <c r="G49" s="271"/>
      <c r="H49" s="202"/>
      <c r="I49" s="202"/>
      <c r="J49" s="268"/>
      <c r="K49" s="222"/>
      <c r="L49" s="224"/>
      <c r="M49" s="260"/>
      <c r="N49" s="257"/>
      <c r="O49" s="260">
        <f>IF(NOT(ISERROR(MATCH(N49,_xlfn.ANCHORARRAY(G60),0))),M62&amp;"Por favor no seleccionar los criterios de impacto",N49)</f>
        <v>0</v>
      </c>
      <c r="P49" s="224"/>
      <c r="Q49" s="260"/>
      <c r="R49" s="264"/>
      <c r="S49" s="197"/>
      <c r="T49" s="197" t="str">
        <f t="shared" si="1"/>
        <v/>
      </c>
      <c r="U49" s="197"/>
      <c r="V49" s="197" t="str">
        <f t="shared" si="2"/>
        <v/>
      </c>
      <c r="W49" s="197" t="str">
        <f t="shared" si="3"/>
        <v/>
      </c>
      <c r="X49" s="197" t="str">
        <f t="shared" si="4"/>
        <v/>
      </c>
      <c r="Y49" s="6">
        <v>3</v>
      </c>
      <c r="Z49" s="127"/>
      <c r="AA49" s="117" t="str">
        <f>IF(OR(AB49="Preventivo",AB49="Detectivo"),"Probabilidad",IF(AB49="Correctivo","Impacto",""))</f>
        <v/>
      </c>
      <c r="AB49" s="118"/>
      <c r="AC49" s="118"/>
      <c r="AD49" s="119" t="str">
        <f t="shared" si="56"/>
        <v/>
      </c>
      <c r="AE49" s="118"/>
      <c r="AF49" s="118"/>
      <c r="AG49" s="118"/>
      <c r="AH49" s="120" t="str">
        <f>IFERROR(IF(AND(AA48="Probabilidad",AA49="Probabilidad"),(AJ48-(+AJ48*AD49)),IF(AND(AA48="Impacto",AA49="Probabilidad"),(AJ47-(+AJ47*AD49)),IF(AA49="Impacto",AJ48,""))),"")</f>
        <v/>
      </c>
      <c r="AI49" s="121" t="str">
        <f t="shared" si="6"/>
        <v/>
      </c>
      <c r="AJ49" s="122" t="str">
        <f t="shared" si="57"/>
        <v/>
      </c>
      <c r="AK49" s="121" t="str">
        <f t="shared" si="8"/>
        <v/>
      </c>
      <c r="AL49" s="122" t="str">
        <f>IFERROR(IF(AND(AA48="Impacto",AA49="Impacto"),(AL48-(+AL48*AD49)),IF(AND(AA48="Probabilidad",AA49="Impacto"),(AL47-(+AL47*AD49)),IF(AA49="Probabilidad",AL48,""))),"")</f>
        <v/>
      </c>
      <c r="AM49" s="123" t="str">
        <f t="shared" si="58"/>
        <v/>
      </c>
      <c r="AN49" s="124"/>
      <c r="AO49" s="124"/>
      <c r="AP49" s="124"/>
      <c r="AQ49" s="124"/>
      <c r="AR49" s="124"/>
      <c r="AS49" s="124"/>
      <c r="AT49" s="124"/>
      <c r="AU49" s="140"/>
      <c r="AV49" s="141"/>
      <c r="AW49" s="148"/>
      <c r="AX49" s="148"/>
      <c r="AY49" s="125"/>
      <c r="AZ49" s="126"/>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26"/>
      <c r="B50" s="130"/>
      <c r="C50" s="268"/>
      <c r="D50" s="268"/>
      <c r="E50" s="268"/>
      <c r="F50" s="199"/>
      <c r="G50" s="271"/>
      <c r="H50" s="202"/>
      <c r="I50" s="202"/>
      <c r="J50" s="268"/>
      <c r="K50" s="222"/>
      <c r="L50" s="224"/>
      <c r="M50" s="260"/>
      <c r="N50" s="257"/>
      <c r="O50" s="260">
        <f>IF(NOT(ISERROR(MATCH(N50,_xlfn.ANCHORARRAY(G61),0))),M63&amp;"Por favor no seleccionar los criterios de impacto",N50)</f>
        <v>0</v>
      </c>
      <c r="P50" s="224"/>
      <c r="Q50" s="260"/>
      <c r="R50" s="264"/>
      <c r="S50" s="197"/>
      <c r="T50" s="197" t="str">
        <f t="shared" si="1"/>
        <v/>
      </c>
      <c r="U50" s="197"/>
      <c r="V50" s="197" t="str">
        <f t="shared" si="2"/>
        <v/>
      </c>
      <c r="W50" s="197" t="str">
        <f t="shared" si="3"/>
        <v/>
      </c>
      <c r="X50" s="197" t="str">
        <f t="shared" si="4"/>
        <v/>
      </c>
      <c r="Y50" s="6">
        <v>4</v>
      </c>
      <c r="Z50" s="116"/>
      <c r="AA50" s="117" t="str">
        <f t="shared" ref="AA50:AA52" si="59">IF(OR(AB50="Preventivo",AB50="Detectivo"),"Probabilidad",IF(AB50="Correctivo","Impacto",""))</f>
        <v/>
      </c>
      <c r="AB50" s="118"/>
      <c r="AC50" s="118"/>
      <c r="AD50" s="119" t="str">
        <f t="shared" si="56"/>
        <v/>
      </c>
      <c r="AE50" s="118"/>
      <c r="AF50" s="118"/>
      <c r="AG50" s="118"/>
      <c r="AH50" s="120" t="str">
        <f t="shared" ref="AH50:AH52" si="60">IFERROR(IF(AND(AA49="Probabilidad",AA50="Probabilidad"),(AJ49-(+AJ49*AD50)),IF(AND(AA49="Impacto",AA50="Probabilidad"),(AJ48-(+AJ48*AD50)),IF(AA50="Impacto",AJ49,""))),"")</f>
        <v/>
      </c>
      <c r="AI50" s="121" t="str">
        <f t="shared" si="6"/>
        <v/>
      </c>
      <c r="AJ50" s="122" t="str">
        <f t="shared" si="57"/>
        <v/>
      </c>
      <c r="AK50" s="121" t="str">
        <f t="shared" si="8"/>
        <v/>
      </c>
      <c r="AL50" s="122" t="str">
        <f t="shared" ref="AL50:AL52" si="61">IFERROR(IF(AND(AA49="Impacto",AA50="Impacto"),(AL49-(+AL49*AD50)),IF(AND(AA49="Probabilidad",AA50="Impacto"),(AL48-(+AL48*AD50)),IF(AA50="Probabilidad",AL49,""))),"")</f>
        <v/>
      </c>
      <c r="AM50" s="123" t="str">
        <f>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24"/>
      <c r="AO50" s="124"/>
      <c r="AP50" s="124"/>
      <c r="AQ50" s="124"/>
      <c r="AR50" s="124"/>
      <c r="AS50" s="124"/>
      <c r="AT50" s="124"/>
      <c r="AU50" s="140"/>
      <c r="AV50" s="141"/>
      <c r="AW50" s="148"/>
      <c r="AX50" s="148"/>
      <c r="AY50" s="125"/>
      <c r="AZ50" s="126"/>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row>
    <row r="51" spans="1:84" ht="151.5" customHeight="1" x14ac:dyDescent="0.3">
      <c r="A51" s="226"/>
      <c r="B51" s="130"/>
      <c r="C51" s="268"/>
      <c r="D51" s="268"/>
      <c r="E51" s="268"/>
      <c r="F51" s="199"/>
      <c r="G51" s="271"/>
      <c r="H51" s="202"/>
      <c r="I51" s="202"/>
      <c r="J51" s="268"/>
      <c r="K51" s="222"/>
      <c r="L51" s="224"/>
      <c r="M51" s="260"/>
      <c r="N51" s="257"/>
      <c r="O51" s="260">
        <f>IF(NOT(ISERROR(MATCH(N51,_xlfn.ANCHORARRAY(G62),0))),M64&amp;"Por favor no seleccionar los criterios de impacto",N51)</f>
        <v>0</v>
      </c>
      <c r="P51" s="224"/>
      <c r="Q51" s="260"/>
      <c r="R51" s="264"/>
      <c r="S51" s="197"/>
      <c r="T51" s="197" t="str">
        <f t="shared" si="1"/>
        <v/>
      </c>
      <c r="U51" s="197"/>
      <c r="V51" s="197" t="str">
        <f t="shared" si="2"/>
        <v/>
      </c>
      <c r="W51" s="197" t="str">
        <f t="shared" si="3"/>
        <v/>
      </c>
      <c r="X51" s="197" t="str">
        <f t="shared" si="4"/>
        <v/>
      </c>
      <c r="Y51" s="6">
        <v>5</v>
      </c>
      <c r="Z51" s="116"/>
      <c r="AA51" s="117" t="str">
        <f t="shared" si="59"/>
        <v/>
      </c>
      <c r="AB51" s="118"/>
      <c r="AC51" s="118"/>
      <c r="AD51" s="119" t="str">
        <f t="shared" si="56"/>
        <v/>
      </c>
      <c r="AE51" s="118"/>
      <c r="AF51" s="118"/>
      <c r="AG51" s="118"/>
      <c r="AH51" s="120" t="str">
        <f t="shared" si="60"/>
        <v/>
      </c>
      <c r="AI51" s="121" t="str">
        <f t="shared" si="6"/>
        <v/>
      </c>
      <c r="AJ51" s="122" t="str">
        <f t="shared" si="57"/>
        <v/>
      </c>
      <c r="AK51" s="121" t="str">
        <f t="shared" si="8"/>
        <v/>
      </c>
      <c r="AL51" s="122" t="str">
        <f t="shared" si="61"/>
        <v/>
      </c>
      <c r="AM51" s="123" t="str">
        <f t="shared" ref="AM51:AM52" si="62">IFERROR(IF(OR(AND(AI51="Muy Baja",AK51="Leve"),AND(AI51="Muy Baja",AK51="Menor"),AND(AI51="Baja",AK51="Leve")),"Bajo",IF(OR(AND(AI51="Muy baja",AK51="Moderado"),AND(AI51="Baja",AK51="Menor"),AND(AI51="Baja",AK51="Moderado"),AND(AI51="Media",AK51="Leve"),AND(AI51="Media",AK51="Menor"),AND(AI51="Media",AK51="Moderado"),AND(AI51="Alta",AK51="Leve"),AND(AI51="Alta",AK51="Menor")),"Moderado",IF(OR(AND(AI51="Muy Baja",AK51="Mayor"),AND(AI51="Baja",AK51="Mayor"),AND(AI51="Media",AK51="Mayor"),AND(AI51="Alta",AK51="Moderado"),AND(AI51="Alta",AK51="Mayor"),AND(AI51="Muy Alta",AK51="Leve"),AND(AI51="Muy Alta",AK51="Menor"),AND(AI51="Muy Alta",AK51="Moderado"),AND(AI51="Muy Alta",AK51="Mayor")),"Alto",IF(OR(AND(AI51="Muy Baja",AK51="Catastrófico"),AND(AI51="Baja",AK51="Catastrófico"),AND(AI51="Media",AK51="Catastrófico"),AND(AI51="Alta",AK51="Catastrófico"),AND(AI51="Muy Alta",AK51="Catastrófico")),"Extremo","")))),"")</f>
        <v/>
      </c>
      <c r="AN51" s="124"/>
      <c r="AO51" s="124"/>
      <c r="AP51" s="124"/>
      <c r="AQ51" s="124"/>
      <c r="AR51" s="124"/>
      <c r="AS51" s="124"/>
      <c r="AT51" s="124"/>
      <c r="AU51" s="140"/>
      <c r="AV51" s="141"/>
      <c r="AW51" s="148"/>
      <c r="AX51" s="148"/>
      <c r="AY51" s="125"/>
      <c r="AZ51" s="126"/>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row>
    <row r="52" spans="1:84" ht="151.5" customHeight="1" x14ac:dyDescent="0.3">
      <c r="A52" s="266"/>
      <c r="B52" s="131"/>
      <c r="C52" s="269"/>
      <c r="D52" s="269"/>
      <c r="E52" s="269"/>
      <c r="F52" s="200"/>
      <c r="G52" s="272"/>
      <c r="H52" s="203"/>
      <c r="I52" s="203"/>
      <c r="J52" s="269"/>
      <c r="K52" s="273"/>
      <c r="L52" s="262"/>
      <c r="M52" s="261"/>
      <c r="N52" s="258"/>
      <c r="O52" s="261">
        <f>IF(NOT(ISERROR(MATCH(N52,_xlfn.ANCHORARRAY(G63),0))),M65&amp;"Por favor no seleccionar los criterios de impacto",N52)</f>
        <v>0</v>
      </c>
      <c r="P52" s="262"/>
      <c r="Q52" s="261"/>
      <c r="R52" s="265"/>
      <c r="S52" s="197"/>
      <c r="T52" s="197" t="str">
        <f t="shared" si="1"/>
        <v/>
      </c>
      <c r="U52" s="197"/>
      <c r="V52" s="197" t="str">
        <f t="shared" si="2"/>
        <v/>
      </c>
      <c r="W52" s="197" t="str">
        <f t="shared" si="3"/>
        <v/>
      </c>
      <c r="X52" s="197" t="str">
        <f t="shared" si="4"/>
        <v/>
      </c>
      <c r="Y52" s="6">
        <v>6</v>
      </c>
      <c r="Z52" s="116"/>
      <c r="AA52" s="117" t="str">
        <f t="shared" si="59"/>
        <v/>
      </c>
      <c r="AB52" s="118"/>
      <c r="AC52" s="118"/>
      <c r="AD52" s="119" t="str">
        <f t="shared" si="56"/>
        <v/>
      </c>
      <c r="AE52" s="118"/>
      <c r="AF52" s="118"/>
      <c r="AG52" s="118"/>
      <c r="AH52" s="120" t="str">
        <f t="shared" si="60"/>
        <v/>
      </c>
      <c r="AI52" s="121" t="str">
        <f t="shared" si="6"/>
        <v/>
      </c>
      <c r="AJ52" s="122" t="str">
        <f t="shared" si="57"/>
        <v/>
      </c>
      <c r="AK52" s="121" t="str">
        <f t="shared" si="8"/>
        <v/>
      </c>
      <c r="AL52" s="122" t="str">
        <f t="shared" si="61"/>
        <v/>
      </c>
      <c r="AM52" s="123" t="str">
        <f t="shared" si="62"/>
        <v/>
      </c>
      <c r="AN52" s="124"/>
      <c r="AO52" s="124"/>
      <c r="AP52" s="124"/>
      <c r="AQ52" s="124"/>
      <c r="AR52" s="124"/>
      <c r="AS52" s="124"/>
      <c r="AT52" s="124"/>
      <c r="AU52" s="140"/>
      <c r="AV52" s="141"/>
      <c r="AW52" s="148"/>
      <c r="AX52" s="148"/>
      <c r="AY52" s="125"/>
      <c r="AZ52" s="126"/>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row>
    <row r="53" spans="1:84" ht="151.5" customHeight="1" x14ac:dyDescent="0.3">
      <c r="A53" s="225">
        <v>10</v>
      </c>
      <c r="B53" s="129"/>
      <c r="C53" s="267"/>
      <c r="D53" s="267"/>
      <c r="E53" s="267"/>
      <c r="F53" s="198"/>
      <c r="G53" s="270"/>
      <c r="H53" s="201"/>
      <c r="I53" s="201"/>
      <c r="J53" s="267"/>
      <c r="K53" s="221"/>
      <c r="L53" s="223" t="str">
        <f>IF(K53&lt;=0,"",IF(K53&lt;=2,"Muy Baja",IF(K53&lt;=24,"Baja",IF(K53&lt;=500,"Media",IF(K53&lt;=5000,"Alta","Muy Alta")))))</f>
        <v/>
      </c>
      <c r="M53" s="259" t="str">
        <f>IF(L53="","",IF(L53="Muy Baja",0.2,IF(L53="Baja",0.4,IF(L53="Media",0.6,IF(L53="Alta",0.8,IF(L53="Muy Alta",1,))))))</f>
        <v/>
      </c>
      <c r="N53" s="256"/>
      <c r="O53" s="259">
        <f>IF(NOT(ISERROR(MATCH(N53,'Tabla Impacto'!$B$221:$B$223,0))),'Tabla Impacto'!$F$223&amp;"Por favor no seleccionar los criterios de impacto(Afectación Económica o presupuestal y Pérdida Reputacional)",N53)</f>
        <v>0</v>
      </c>
      <c r="P53" s="223" t="str">
        <f>IF(OR(O53='Tabla Impacto'!$C$11,O53='Tabla Impacto'!$D$11),"Leve",IF(OR(O53='Tabla Impacto'!$C$12,O53='Tabla Impacto'!$D$12),"Menor",IF(OR(O53='Tabla Impacto'!$C$13,O53='Tabla Impacto'!$D$13),"Moderado",IF(OR(O53='Tabla Impacto'!$C$14,O53='Tabla Impacto'!$D$14),"Mayor",IF(OR(O53='Tabla Impacto'!$C$15,O53='Tabla Impacto'!$D$15),"Catastrófico","")))))</f>
        <v/>
      </c>
      <c r="Q53" s="259" t="str">
        <f>IF(P53="","",IF(P53="Leve",0.2,IF(P53="Menor",0.4,IF(P53="Moderado",0.6,IF(P53="Mayor",0.8,IF(P53="Catastrófico",1,))))))</f>
        <v/>
      </c>
      <c r="R53" s="263" t="str">
        <f>IF(OR(AND(L53="Muy Baja",P53="Leve"),AND(L53="Muy Baja",P53="Menor"),AND(L53="Baja",P53="Leve")),"Bajo",IF(OR(AND(L53="Muy baja",P53="Moderado"),AND(L53="Baja",P53="Menor"),AND(L53="Baja",P53="Moderado"),AND(L53="Media",P53="Leve"),AND(L53="Media",P53="Menor"),AND(L53="Media",P53="Moderado"),AND(L53="Alta",P53="Leve"),AND(L53="Alta",P53="Menor")),"Moderado",IF(OR(AND(L53="Muy Baja",P53="Mayor"),AND(L53="Baja",P53="Mayor"),AND(L53="Media",P53="Mayor"),AND(L53="Alta",P53="Moderado"),AND(L53="Alta",P53="Mayor"),AND(L53="Muy Alta",P53="Leve"),AND(L53="Muy Alta",P53="Menor"),AND(L53="Muy Alta",P53="Moderado"),AND(L53="Muy Alta",P53="Mayor")),"Alto",IF(OR(AND(L53="Muy Baja",P53="Catastrófico"),AND(L53="Baja",P53="Catastrófico"),AND(L53="Media",P53="Catastrófico"),AND(L53="Alta",P53="Catastrófico"),AND(L53="Muy Alta",P53="Catastrófico")),"Extremo",""))))</f>
        <v/>
      </c>
      <c r="S53" s="197"/>
      <c r="T53" s="197" t="str">
        <f t="shared" si="1"/>
        <v/>
      </c>
      <c r="U53" s="197"/>
      <c r="V53" s="197" t="str">
        <f t="shared" si="2"/>
        <v/>
      </c>
      <c r="W53" s="197" t="str">
        <f t="shared" si="3"/>
        <v/>
      </c>
      <c r="X53" s="197" t="str">
        <f t="shared" si="4"/>
        <v/>
      </c>
      <c r="Y53" s="6">
        <v>1</v>
      </c>
      <c r="Z53" s="116"/>
      <c r="AA53" s="117" t="str">
        <f>IF(OR(AB53="Preventivo",AB53="Detectivo"),"Probabilidad",IF(AB53="Correctivo","Impacto",""))</f>
        <v/>
      </c>
      <c r="AB53" s="118"/>
      <c r="AC53" s="118"/>
      <c r="AD53" s="119" t="str">
        <f>IF(AND(AB53="Preventivo",AC53="Automático"),"50%",IF(AND(AB53="Preventivo",AC53="Manual"),"40%",IF(AND(AB53="Detectivo",AC53="Automático"),"40%",IF(AND(AB53="Detectivo",AC53="Manual"),"30%",IF(AND(AB53="Correctivo",AC53="Automático"),"35%",IF(AND(AB53="Correctivo",AC53="Manual"),"25%",""))))))</f>
        <v/>
      </c>
      <c r="AE53" s="118"/>
      <c r="AF53" s="118"/>
      <c r="AG53" s="118"/>
      <c r="AH53" s="120" t="str">
        <f>IFERROR(IF(AA53="Probabilidad",(M53-(+M53*AD53)),IF(AA53="Impacto",M53,"")),"")</f>
        <v/>
      </c>
      <c r="AI53" s="121" t="str">
        <f>IFERROR(IF(AH53="","",IF(AH53&lt;=0.2,"Muy Baja",IF(AH53&lt;=0.4,"Baja",IF(AH53&lt;=0.6,"Media",IF(AH53&lt;=0.8,"Alta","Muy Alta"))))),"")</f>
        <v/>
      </c>
      <c r="AJ53" s="122" t="str">
        <f>+AH53</f>
        <v/>
      </c>
      <c r="AK53" s="121" t="str">
        <f>IFERROR(IF(AL53="","",IF(AL53&lt;=0.2,"Leve",IF(AL53&lt;=0.4,"Menor",IF(AL53&lt;=0.6,"Moderado",IF(AL53&lt;=0.8,"Mayor","Catastrófico"))))),"")</f>
        <v/>
      </c>
      <c r="AL53" s="122" t="str">
        <f>IFERROR(IF(AA53="Impacto",(Q53-(+Q53*AD53)),IF(AA53="Probabilidad",Q53,"")),"")</f>
        <v/>
      </c>
      <c r="AM53" s="123" t="str">
        <f>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24"/>
      <c r="AO53" s="124"/>
      <c r="AP53" s="124"/>
      <c r="AQ53" s="124"/>
      <c r="AR53" s="124"/>
      <c r="AS53" s="124"/>
      <c r="AT53" s="124"/>
      <c r="AU53" s="140"/>
      <c r="AV53" s="141"/>
      <c r="AW53" s="148"/>
      <c r="AX53" s="148"/>
      <c r="AY53" s="125"/>
      <c r="AZ53" s="126"/>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row>
    <row r="54" spans="1:84" ht="151.5" customHeight="1" x14ac:dyDescent="0.3">
      <c r="A54" s="226"/>
      <c r="B54" s="130"/>
      <c r="C54" s="268"/>
      <c r="D54" s="268"/>
      <c r="E54" s="268"/>
      <c r="F54" s="199"/>
      <c r="G54" s="271"/>
      <c r="H54" s="202"/>
      <c r="I54" s="202"/>
      <c r="J54" s="268"/>
      <c r="K54" s="222"/>
      <c r="L54" s="224"/>
      <c r="M54" s="260"/>
      <c r="N54" s="257"/>
      <c r="O54" s="260">
        <f>IF(NOT(ISERROR(MATCH(N54,_xlfn.ANCHORARRAY(G65),0))),M67&amp;"Por favor no seleccionar los criterios de impacto",N54)</f>
        <v>0</v>
      </c>
      <c r="P54" s="224"/>
      <c r="Q54" s="260"/>
      <c r="R54" s="264"/>
      <c r="S54" s="197"/>
      <c r="T54" s="197" t="str">
        <f t="shared" si="1"/>
        <v/>
      </c>
      <c r="U54" s="197"/>
      <c r="V54" s="197" t="str">
        <f t="shared" si="2"/>
        <v/>
      </c>
      <c r="W54" s="197" t="str">
        <f t="shared" si="3"/>
        <v/>
      </c>
      <c r="X54" s="197" t="str">
        <f t="shared" si="4"/>
        <v/>
      </c>
      <c r="Y54" s="6">
        <v>2</v>
      </c>
      <c r="Z54" s="116"/>
      <c r="AA54" s="117" t="str">
        <f>IF(OR(AB54="Preventivo",AB54="Detectivo"),"Probabilidad",IF(AB54="Correctivo","Impacto",""))</f>
        <v/>
      </c>
      <c r="AB54" s="118"/>
      <c r="AC54" s="118"/>
      <c r="AD54" s="119" t="str">
        <f t="shared" ref="AD54:AD58" si="63">IF(AND(AB54="Preventivo",AC54="Automático"),"50%",IF(AND(AB54="Preventivo",AC54="Manual"),"40%",IF(AND(AB54="Detectivo",AC54="Automático"),"40%",IF(AND(AB54="Detectivo",AC54="Manual"),"30%",IF(AND(AB54="Correctivo",AC54="Automático"),"35%",IF(AND(AB54="Correctivo",AC54="Manual"),"25%",""))))))</f>
        <v/>
      </c>
      <c r="AE54" s="118"/>
      <c r="AF54" s="118"/>
      <c r="AG54" s="118"/>
      <c r="AH54" s="120" t="str">
        <f>IFERROR(IF(AND(AA53="Probabilidad",AA54="Probabilidad"),(AJ53-(+AJ53*AD54)),IF(AA54="Probabilidad",(M53-(+M53*AD54)),IF(AA54="Impacto",AJ53,""))),"")</f>
        <v/>
      </c>
      <c r="AI54" s="121" t="str">
        <f t="shared" si="6"/>
        <v/>
      </c>
      <c r="AJ54" s="122" t="str">
        <f t="shared" ref="AJ54:AJ58" si="64">+AH54</f>
        <v/>
      </c>
      <c r="AK54" s="121" t="str">
        <f t="shared" si="8"/>
        <v/>
      </c>
      <c r="AL54" s="122" t="str">
        <f>IFERROR(IF(AND(AA53="Impacto",AA54="Impacto"),(AL53-(+AL53*AD54)),IF(AA54="Impacto",(Q53-(+Q53*AD54)),IF(AA54="Probabilidad",AL53,""))),"")</f>
        <v/>
      </c>
      <c r="AM54" s="123" t="str">
        <f t="shared" ref="AM54:AM55" si="65">IFERROR(IF(OR(AND(AI54="Muy Baja",AK54="Leve"),AND(AI54="Muy Baja",AK54="Menor"),AND(AI54="Baja",AK54="Leve")),"Bajo",IF(OR(AND(AI54="Muy baja",AK54="Moderado"),AND(AI54="Baja",AK54="Menor"),AND(AI54="Baja",AK54="Moderado"),AND(AI54="Media",AK54="Leve"),AND(AI54="Media",AK54="Menor"),AND(AI54="Media",AK54="Moderado"),AND(AI54="Alta",AK54="Leve"),AND(AI54="Alta",AK54="Menor")),"Moderado",IF(OR(AND(AI54="Muy Baja",AK54="Mayor"),AND(AI54="Baja",AK54="Mayor"),AND(AI54="Media",AK54="Mayor"),AND(AI54="Alta",AK54="Moderado"),AND(AI54="Alta",AK54="Mayor"),AND(AI54="Muy Alta",AK54="Leve"),AND(AI54="Muy Alta",AK54="Menor"),AND(AI54="Muy Alta",AK54="Moderado"),AND(AI54="Muy Alta",AK54="Mayor")),"Alto",IF(OR(AND(AI54="Muy Baja",AK54="Catastrófico"),AND(AI54="Baja",AK54="Catastrófico"),AND(AI54="Media",AK54="Catastrófico"),AND(AI54="Alta",AK54="Catastrófico"),AND(AI54="Muy Alta",AK54="Catastrófico")),"Extremo","")))),"")</f>
        <v/>
      </c>
      <c r="AN54" s="124"/>
      <c r="AO54" s="124"/>
      <c r="AP54" s="124"/>
      <c r="AQ54" s="124"/>
      <c r="AR54" s="124"/>
      <c r="AS54" s="124"/>
      <c r="AT54" s="124"/>
      <c r="AU54" s="140"/>
      <c r="AV54" s="141"/>
      <c r="AW54" s="148"/>
      <c r="AX54" s="148"/>
      <c r="AY54" s="125"/>
      <c r="AZ54" s="126"/>
    </row>
    <row r="55" spans="1:84" ht="151.5" customHeight="1" x14ac:dyDescent="0.3">
      <c r="A55" s="226"/>
      <c r="B55" s="130"/>
      <c r="C55" s="268"/>
      <c r="D55" s="268"/>
      <c r="E55" s="268"/>
      <c r="F55" s="199"/>
      <c r="G55" s="271"/>
      <c r="H55" s="202"/>
      <c r="I55" s="202"/>
      <c r="J55" s="268"/>
      <c r="K55" s="222"/>
      <c r="L55" s="224"/>
      <c r="M55" s="260"/>
      <c r="N55" s="257"/>
      <c r="O55" s="260">
        <f>IF(NOT(ISERROR(MATCH(N55,_xlfn.ANCHORARRAY(G66),0))),M68&amp;"Por favor no seleccionar los criterios de impacto",N55)</f>
        <v>0</v>
      </c>
      <c r="P55" s="224"/>
      <c r="Q55" s="260"/>
      <c r="R55" s="264"/>
      <c r="S55" s="197"/>
      <c r="T55" s="197" t="str">
        <f t="shared" si="1"/>
        <v/>
      </c>
      <c r="U55" s="197"/>
      <c r="V55" s="197" t="str">
        <f t="shared" si="2"/>
        <v/>
      </c>
      <c r="W55" s="197" t="str">
        <f t="shared" si="3"/>
        <v/>
      </c>
      <c r="X55" s="197" t="str">
        <f t="shared" si="4"/>
        <v/>
      </c>
      <c r="Y55" s="6">
        <v>3</v>
      </c>
      <c r="Z55" s="127"/>
      <c r="AA55" s="117" t="str">
        <f>IF(OR(AB55="Preventivo",AB55="Detectivo"),"Probabilidad",IF(AB55="Correctivo","Impacto",""))</f>
        <v/>
      </c>
      <c r="AB55" s="118"/>
      <c r="AC55" s="118"/>
      <c r="AD55" s="119" t="str">
        <f t="shared" si="63"/>
        <v/>
      </c>
      <c r="AE55" s="118"/>
      <c r="AF55" s="118"/>
      <c r="AG55" s="118"/>
      <c r="AH55" s="120" t="str">
        <f>IFERROR(IF(AND(AA54="Probabilidad",AA55="Probabilidad"),(AJ54-(+AJ54*AD55)),IF(AND(AA54="Impacto",AA55="Probabilidad"),(AJ53-(+AJ53*AD55)),IF(AA55="Impacto",AJ54,""))),"")</f>
        <v/>
      </c>
      <c r="AI55" s="121" t="str">
        <f t="shared" si="6"/>
        <v/>
      </c>
      <c r="AJ55" s="122" t="str">
        <f t="shared" si="64"/>
        <v/>
      </c>
      <c r="AK55" s="121" t="str">
        <f t="shared" si="8"/>
        <v/>
      </c>
      <c r="AL55" s="122" t="str">
        <f>IFERROR(IF(AND(AA54="Impacto",AA55="Impacto"),(AL54-(+AL54*AD55)),IF(AND(AA54="Probabilidad",AA55="Impacto"),(AL53-(+AL53*AD55)),IF(AA55="Probabilidad",AL54,""))),"")</f>
        <v/>
      </c>
      <c r="AM55" s="123" t="str">
        <f t="shared" si="65"/>
        <v/>
      </c>
      <c r="AN55" s="124"/>
      <c r="AO55" s="124"/>
      <c r="AP55" s="124"/>
      <c r="AQ55" s="124"/>
      <c r="AR55" s="124"/>
      <c r="AS55" s="124"/>
      <c r="AT55" s="124"/>
      <c r="AU55" s="140"/>
      <c r="AV55" s="141"/>
      <c r="AW55" s="148"/>
      <c r="AX55" s="148"/>
      <c r="AY55" s="125"/>
      <c r="AZ55" s="126"/>
    </row>
    <row r="56" spans="1:84" ht="151.5" customHeight="1" x14ac:dyDescent="0.3">
      <c r="A56" s="226"/>
      <c r="B56" s="130"/>
      <c r="C56" s="268"/>
      <c r="D56" s="268"/>
      <c r="E56" s="268"/>
      <c r="F56" s="199"/>
      <c r="G56" s="271"/>
      <c r="H56" s="202"/>
      <c r="I56" s="202"/>
      <c r="J56" s="268"/>
      <c r="K56" s="222"/>
      <c r="L56" s="224"/>
      <c r="M56" s="260"/>
      <c r="N56" s="257"/>
      <c r="O56" s="260">
        <f>IF(NOT(ISERROR(MATCH(N56,_xlfn.ANCHORARRAY(G67),0))),M69&amp;"Por favor no seleccionar los criterios de impacto",N56)</f>
        <v>0</v>
      </c>
      <c r="P56" s="224"/>
      <c r="Q56" s="260"/>
      <c r="R56" s="264"/>
      <c r="S56" s="197"/>
      <c r="T56" s="197" t="str">
        <f t="shared" si="1"/>
        <v/>
      </c>
      <c r="U56" s="197"/>
      <c r="V56" s="197" t="str">
        <f t="shared" si="2"/>
        <v/>
      </c>
      <c r="W56" s="197" t="str">
        <f t="shared" si="3"/>
        <v/>
      </c>
      <c r="X56" s="197" t="str">
        <f t="shared" si="4"/>
        <v/>
      </c>
      <c r="Y56" s="6">
        <v>4</v>
      </c>
      <c r="Z56" s="116"/>
      <c r="AA56" s="117" t="str">
        <f t="shared" ref="AA56:AA58" si="66">IF(OR(AB56="Preventivo",AB56="Detectivo"),"Probabilidad",IF(AB56="Correctivo","Impacto",""))</f>
        <v/>
      </c>
      <c r="AB56" s="118"/>
      <c r="AC56" s="118"/>
      <c r="AD56" s="119" t="str">
        <f t="shared" si="63"/>
        <v/>
      </c>
      <c r="AE56" s="118"/>
      <c r="AF56" s="118"/>
      <c r="AG56" s="118"/>
      <c r="AH56" s="120" t="str">
        <f t="shared" ref="AH56:AH58" si="67">IFERROR(IF(AND(AA55="Probabilidad",AA56="Probabilidad"),(AJ55-(+AJ55*AD56)),IF(AND(AA55="Impacto",AA56="Probabilidad"),(AJ54-(+AJ54*AD56)),IF(AA56="Impacto",AJ55,""))),"")</f>
        <v/>
      </c>
      <c r="AI56" s="121" t="str">
        <f t="shared" si="6"/>
        <v/>
      </c>
      <c r="AJ56" s="122" t="str">
        <f t="shared" si="64"/>
        <v/>
      </c>
      <c r="AK56" s="121" t="str">
        <f t="shared" si="8"/>
        <v/>
      </c>
      <c r="AL56" s="122" t="str">
        <f t="shared" ref="AL56:AL58" si="68">IFERROR(IF(AND(AA55="Impacto",AA56="Impacto"),(AL55-(+AL55*AD56)),IF(AND(AA55="Probabilidad",AA56="Impacto"),(AL54-(+AL54*AD56)),IF(AA56="Probabilidad",AL55,""))),"")</f>
        <v/>
      </c>
      <c r="AM56" s="123" t="str">
        <f>IFERROR(IF(OR(AND(AI56="Muy Baja",AK56="Leve"),AND(AI56="Muy Baja",AK56="Menor"),AND(AI56="Baja",AK56="Leve")),"Bajo",IF(OR(AND(AI56="Muy baja",AK56="Moderado"),AND(AI56="Baja",AK56="Menor"),AND(AI56="Baja",AK56="Moderado"),AND(AI56="Media",AK56="Leve"),AND(AI56="Media",AK56="Menor"),AND(AI56="Media",AK56="Moderado"),AND(AI56="Alta",AK56="Leve"),AND(AI56="Alta",AK56="Menor")),"Moderado",IF(OR(AND(AI56="Muy Baja",AK56="Mayor"),AND(AI56="Baja",AK56="Mayor"),AND(AI56="Media",AK56="Mayor"),AND(AI56="Alta",AK56="Moderado"),AND(AI56="Alta",AK56="Mayor"),AND(AI56="Muy Alta",AK56="Leve"),AND(AI56="Muy Alta",AK56="Menor"),AND(AI56="Muy Alta",AK56="Moderado"),AND(AI56="Muy Alta",AK56="Mayor")),"Alto",IF(OR(AND(AI56="Muy Baja",AK56="Catastrófico"),AND(AI56="Baja",AK56="Catastrófico"),AND(AI56="Media",AK56="Catastrófico"),AND(AI56="Alta",AK56="Catastrófico"),AND(AI56="Muy Alta",AK56="Catastrófico")),"Extremo","")))),"")</f>
        <v/>
      </c>
      <c r="AN56" s="124"/>
      <c r="AO56" s="124"/>
      <c r="AP56" s="124"/>
      <c r="AQ56" s="124"/>
      <c r="AR56" s="124"/>
      <c r="AS56" s="124"/>
      <c r="AT56" s="124"/>
      <c r="AU56" s="140"/>
      <c r="AV56" s="141"/>
      <c r="AW56" s="148"/>
      <c r="AX56" s="148"/>
      <c r="AY56" s="125"/>
      <c r="AZ56" s="126"/>
    </row>
    <row r="57" spans="1:84" ht="151.5" customHeight="1" x14ac:dyDescent="0.3">
      <c r="A57" s="226"/>
      <c r="B57" s="130"/>
      <c r="C57" s="268"/>
      <c r="D57" s="268"/>
      <c r="E57" s="268"/>
      <c r="F57" s="199"/>
      <c r="G57" s="271"/>
      <c r="H57" s="202"/>
      <c r="I57" s="202"/>
      <c r="J57" s="268"/>
      <c r="K57" s="222"/>
      <c r="L57" s="224"/>
      <c r="M57" s="260"/>
      <c r="N57" s="257"/>
      <c r="O57" s="260">
        <f>IF(NOT(ISERROR(MATCH(N57,_xlfn.ANCHORARRAY(G68),0))),M70&amp;"Por favor no seleccionar los criterios de impacto",N57)</f>
        <v>0</v>
      </c>
      <c r="P57" s="224"/>
      <c r="Q57" s="260"/>
      <c r="R57" s="264"/>
      <c r="S57" s="197"/>
      <c r="T57" s="197" t="str">
        <f t="shared" si="1"/>
        <v/>
      </c>
      <c r="U57" s="197"/>
      <c r="V57" s="197" t="str">
        <f t="shared" si="2"/>
        <v/>
      </c>
      <c r="W57" s="197" t="str">
        <f t="shared" si="3"/>
        <v/>
      </c>
      <c r="X57" s="197" t="str">
        <f t="shared" si="4"/>
        <v/>
      </c>
      <c r="Y57" s="6">
        <v>5</v>
      </c>
      <c r="Z57" s="116"/>
      <c r="AA57" s="117" t="str">
        <f t="shared" si="66"/>
        <v/>
      </c>
      <c r="AB57" s="118"/>
      <c r="AC57" s="118"/>
      <c r="AD57" s="119" t="str">
        <f t="shared" si="63"/>
        <v/>
      </c>
      <c r="AE57" s="118"/>
      <c r="AF57" s="118"/>
      <c r="AG57" s="118"/>
      <c r="AH57" s="120" t="str">
        <f t="shared" si="67"/>
        <v/>
      </c>
      <c r="AI57" s="121" t="str">
        <f t="shared" si="6"/>
        <v/>
      </c>
      <c r="AJ57" s="122" t="str">
        <f t="shared" si="64"/>
        <v/>
      </c>
      <c r="AK57" s="121" t="str">
        <f t="shared" si="8"/>
        <v/>
      </c>
      <c r="AL57" s="122" t="str">
        <f t="shared" si="68"/>
        <v/>
      </c>
      <c r="AM57" s="123" t="str">
        <f t="shared" ref="AM57:AM58" si="69">IFERROR(IF(OR(AND(AI57="Muy Baja",AK57="Leve"),AND(AI57="Muy Baja",AK57="Menor"),AND(AI57="Baja",AK57="Leve")),"Bajo",IF(OR(AND(AI57="Muy baja",AK57="Moderado"),AND(AI57="Baja",AK57="Menor"),AND(AI57="Baja",AK57="Moderado"),AND(AI57="Media",AK57="Leve"),AND(AI57="Media",AK57="Menor"),AND(AI57="Media",AK57="Moderado"),AND(AI57="Alta",AK57="Leve"),AND(AI57="Alta",AK57="Menor")),"Moderado",IF(OR(AND(AI57="Muy Baja",AK57="Mayor"),AND(AI57="Baja",AK57="Mayor"),AND(AI57="Media",AK57="Mayor"),AND(AI57="Alta",AK57="Moderado"),AND(AI57="Alta",AK57="Mayor"),AND(AI57="Muy Alta",AK57="Leve"),AND(AI57="Muy Alta",AK57="Menor"),AND(AI57="Muy Alta",AK57="Moderado"),AND(AI57="Muy Alta",AK57="Mayor")),"Alto",IF(OR(AND(AI57="Muy Baja",AK57="Catastrófico"),AND(AI57="Baja",AK57="Catastrófico"),AND(AI57="Media",AK57="Catastrófico"),AND(AI57="Alta",AK57="Catastrófico"),AND(AI57="Muy Alta",AK57="Catastrófico")),"Extremo","")))),"")</f>
        <v/>
      </c>
      <c r="AN57" s="124"/>
      <c r="AO57" s="124"/>
      <c r="AP57" s="124"/>
      <c r="AQ57" s="124"/>
      <c r="AR57" s="124"/>
      <c r="AS57" s="124"/>
      <c r="AT57" s="124"/>
      <c r="AU57" s="140"/>
      <c r="AV57" s="141"/>
      <c r="AW57" s="148"/>
      <c r="AX57" s="148"/>
      <c r="AY57" s="125"/>
      <c r="AZ57" s="126"/>
    </row>
    <row r="58" spans="1:84" ht="151.5" customHeight="1" x14ac:dyDescent="0.3">
      <c r="A58" s="266"/>
      <c r="B58" s="131"/>
      <c r="C58" s="269"/>
      <c r="D58" s="269"/>
      <c r="E58" s="269"/>
      <c r="F58" s="200"/>
      <c r="G58" s="272"/>
      <c r="H58" s="203"/>
      <c r="I58" s="203"/>
      <c r="J58" s="269"/>
      <c r="K58" s="273"/>
      <c r="L58" s="262"/>
      <c r="M58" s="261"/>
      <c r="N58" s="258"/>
      <c r="O58" s="261">
        <f>IF(NOT(ISERROR(MATCH(N58,_xlfn.ANCHORARRAY(G69),0))),M71&amp;"Por favor no seleccionar los criterios de impacto",N58)</f>
        <v>0</v>
      </c>
      <c r="P58" s="262"/>
      <c r="Q58" s="261"/>
      <c r="R58" s="265"/>
      <c r="S58" s="197"/>
      <c r="T58" s="197" t="str">
        <f t="shared" si="1"/>
        <v/>
      </c>
      <c r="U58" s="197"/>
      <c r="V58" s="197" t="str">
        <f t="shared" si="2"/>
        <v/>
      </c>
      <c r="W58" s="197" t="str">
        <f t="shared" si="3"/>
        <v/>
      </c>
      <c r="X58" s="197" t="str">
        <f t="shared" si="4"/>
        <v/>
      </c>
      <c r="Y58" s="6">
        <v>6</v>
      </c>
      <c r="Z58" s="116"/>
      <c r="AA58" s="117" t="str">
        <f t="shared" si="66"/>
        <v/>
      </c>
      <c r="AB58" s="118"/>
      <c r="AC58" s="118"/>
      <c r="AD58" s="119" t="str">
        <f t="shared" si="63"/>
        <v/>
      </c>
      <c r="AE58" s="118"/>
      <c r="AF58" s="118"/>
      <c r="AG58" s="118"/>
      <c r="AH58" s="120" t="str">
        <f t="shared" si="67"/>
        <v/>
      </c>
      <c r="AI58" s="121" t="str">
        <f t="shared" si="6"/>
        <v/>
      </c>
      <c r="AJ58" s="122" t="str">
        <f t="shared" si="64"/>
        <v/>
      </c>
      <c r="AK58" s="121" t="str">
        <f t="shared" si="8"/>
        <v/>
      </c>
      <c r="AL58" s="122" t="str">
        <f t="shared" si="68"/>
        <v/>
      </c>
      <c r="AM58" s="123" t="str">
        <f t="shared" si="69"/>
        <v/>
      </c>
      <c r="AN58" s="124"/>
      <c r="AO58" s="124"/>
      <c r="AP58" s="124"/>
      <c r="AQ58" s="124"/>
      <c r="AR58" s="124"/>
      <c r="AS58" s="124"/>
      <c r="AT58" s="124"/>
      <c r="AU58" s="140"/>
      <c r="AV58" s="141"/>
      <c r="AW58" s="148"/>
      <c r="AX58" s="148"/>
      <c r="AY58" s="125"/>
      <c r="AZ58" s="126"/>
    </row>
    <row r="59" spans="1:84" ht="49.5" customHeight="1" x14ac:dyDescent="0.3">
      <c r="A59" s="6"/>
      <c r="B59" s="132"/>
      <c r="C59" s="274" t="s">
        <v>169</v>
      </c>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5"/>
      <c r="AP59" s="275"/>
      <c r="AQ59" s="275"/>
      <c r="AR59" s="275"/>
      <c r="AS59" s="275"/>
      <c r="AT59" s="275"/>
      <c r="AU59" s="275"/>
      <c r="AV59" s="275"/>
      <c r="AW59" s="275"/>
      <c r="AX59" s="275"/>
      <c r="AY59" s="275"/>
      <c r="AZ59" s="276"/>
    </row>
    <row r="61" spans="1:84" x14ac:dyDescent="0.3">
      <c r="A61" s="3"/>
      <c r="B61" s="1"/>
      <c r="C61" s="24" t="s">
        <v>170</v>
      </c>
      <c r="D61" s="1"/>
      <c r="E61" s="1"/>
      <c r="F61" s="1"/>
      <c r="J61" s="1"/>
    </row>
  </sheetData>
  <dataConsolidate/>
  <mergeCells count="191">
    <mergeCell ref="H14:H15"/>
    <mergeCell ref="S8:X8"/>
    <mergeCell ref="S9:V9"/>
    <mergeCell ref="W9:X9"/>
    <mergeCell ref="S10:T10"/>
    <mergeCell ref="U10:V10"/>
    <mergeCell ref="AO8:AT8"/>
    <mergeCell ref="AO9:AR9"/>
    <mergeCell ref="AS9:AT9"/>
    <mergeCell ref="AO10:AP10"/>
    <mergeCell ref="AQ10:AR10"/>
    <mergeCell ref="AA9:AA10"/>
    <mergeCell ref="AB9:AG9"/>
    <mergeCell ref="R11:R13"/>
    <mergeCell ref="M11:M13"/>
    <mergeCell ref="N11:N13"/>
    <mergeCell ref="O11:O13"/>
    <mergeCell ref="P11:P13"/>
    <mergeCell ref="Q11:Q13"/>
    <mergeCell ref="Q9:Q10"/>
    <mergeCell ref="R9:R10"/>
    <mergeCell ref="N9:N10"/>
    <mergeCell ref="O9:O10"/>
    <mergeCell ref="K9:K10"/>
    <mergeCell ref="F14:F15"/>
    <mergeCell ref="I14:I15"/>
    <mergeCell ref="B11:B16"/>
    <mergeCell ref="Y5:AA5"/>
    <mergeCell ref="A8:K8"/>
    <mergeCell ref="L8:R8"/>
    <mergeCell ref="Y8:AG8"/>
    <mergeCell ref="AH8:AN8"/>
    <mergeCell ref="AU8:AZ8"/>
    <mergeCell ref="F11:F13"/>
    <mergeCell ref="I11:I13"/>
    <mergeCell ref="J14:J15"/>
    <mergeCell ref="K14:K15"/>
    <mergeCell ref="L14:L15"/>
    <mergeCell ref="M14:M15"/>
    <mergeCell ref="A14:A15"/>
    <mergeCell ref="C14:C15"/>
    <mergeCell ref="D14:D15"/>
    <mergeCell ref="E14:E15"/>
    <mergeCell ref="G14:G15"/>
    <mergeCell ref="AU9:AU10"/>
    <mergeCell ref="AZ9:AZ10"/>
    <mergeCell ref="AY9:AY10"/>
    <mergeCell ref="AX9:AX10"/>
    <mergeCell ref="C59:AZ59"/>
    <mergeCell ref="Q47:Q52"/>
    <mergeCell ref="R47:R52"/>
    <mergeCell ref="A53:A58"/>
    <mergeCell ref="C53:C58"/>
    <mergeCell ref="D53:D58"/>
    <mergeCell ref="E53:E58"/>
    <mergeCell ref="G53:G58"/>
    <mergeCell ref="J53:J58"/>
    <mergeCell ref="K53:K58"/>
    <mergeCell ref="L53:L58"/>
    <mergeCell ref="M53:M58"/>
    <mergeCell ref="N53:N58"/>
    <mergeCell ref="O53:O58"/>
    <mergeCell ref="P53:P58"/>
    <mergeCell ref="Q53:Q58"/>
    <mergeCell ref="R53:R58"/>
    <mergeCell ref="N47:N52"/>
    <mergeCell ref="O47:O52"/>
    <mergeCell ref="P47:P52"/>
    <mergeCell ref="A47:A52"/>
    <mergeCell ref="C47:C52"/>
    <mergeCell ref="D47:D52"/>
    <mergeCell ref="E47:E52"/>
    <mergeCell ref="G47:G52"/>
    <mergeCell ref="J47:J52"/>
    <mergeCell ref="K47:K52"/>
    <mergeCell ref="L47:L52"/>
    <mergeCell ref="M47:M52"/>
    <mergeCell ref="Q35:Q40"/>
    <mergeCell ref="R35:R40"/>
    <mergeCell ref="J41:J46"/>
    <mergeCell ref="K41:K46"/>
    <mergeCell ref="L41:L46"/>
    <mergeCell ref="M41:M46"/>
    <mergeCell ref="N41:N46"/>
    <mergeCell ref="J35:J40"/>
    <mergeCell ref="K35:K40"/>
    <mergeCell ref="L35:L40"/>
    <mergeCell ref="M35:M40"/>
    <mergeCell ref="O41:O46"/>
    <mergeCell ref="P41:P46"/>
    <mergeCell ref="Q41:Q46"/>
    <mergeCell ref="R41:R46"/>
    <mergeCell ref="M23:M28"/>
    <mergeCell ref="N23:N28"/>
    <mergeCell ref="K29:K34"/>
    <mergeCell ref="L29:L34"/>
    <mergeCell ref="M29:M34"/>
    <mergeCell ref="O23:O28"/>
    <mergeCell ref="P23:P28"/>
    <mergeCell ref="A41:A46"/>
    <mergeCell ref="C41:C46"/>
    <mergeCell ref="D41:D46"/>
    <mergeCell ref="E41:E46"/>
    <mergeCell ref="G41:G46"/>
    <mergeCell ref="A35:A40"/>
    <mergeCell ref="C35:C40"/>
    <mergeCell ref="D35:D40"/>
    <mergeCell ref="E35:E40"/>
    <mergeCell ref="G35:G40"/>
    <mergeCell ref="Q23:Q28"/>
    <mergeCell ref="R23:R28"/>
    <mergeCell ref="Q29:Q34"/>
    <mergeCell ref="R29:R34"/>
    <mergeCell ref="N35:N40"/>
    <mergeCell ref="O35:O40"/>
    <mergeCell ref="P35:P40"/>
    <mergeCell ref="A23:A28"/>
    <mergeCell ref="C23:C28"/>
    <mergeCell ref="D23:D28"/>
    <mergeCell ref="A29:A34"/>
    <mergeCell ref="C29:C34"/>
    <mergeCell ref="D29:D34"/>
    <mergeCell ref="E29:E34"/>
    <mergeCell ref="G29:G34"/>
    <mergeCell ref="J29:J34"/>
    <mergeCell ref="E23:E28"/>
    <mergeCell ref="G23:G28"/>
    <mergeCell ref="N29:N34"/>
    <mergeCell ref="O29:O34"/>
    <mergeCell ref="P29:P34"/>
    <mergeCell ref="J23:J28"/>
    <mergeCell ref="K23:K28"/>
    <mergeCell ref="L23:L28"/>
    <mergeCell ref="A17:A22"/>
    <mergeCell ref="C17:C22"/>
    <mergeCell ref="D17:D22"/>
    <mergeCell ref="E17:E22"/>
    <mergeCell ref="G17:G22"/>
    <mergeCell ref="J17:J22"/>
    <mergeCell ref="K17:K22"/>
    <mergeCell ref="L17:L22"/>
    <mergeCell ref="M17:M22"/>
    <mergeCell ref="N17:N22"/>
    <mergeCell ref="O17:O22"/>
    <mergeCell ref="P17:P22"/>
    <mergeCell ref="Q17:Q22"/>
    <mergeCell ref="R17:R22"/>
    <mergeCell ref="O14:O15"/>
    <mergeCell ref="P14:P15"/>
    <mergeCell ref="Q14:Q15"/>
    <mergeCell ref="R14:R15"/>
    <mergeCell ref="N14:N15"/>
    <mergeCell ref="AW9:AW10"/>
    <mergeCell ref="AV9:AV10"/>
    <mergeCell ref="A5:C5"/>
    <mergeCell ref="A6:C6"/>
    <mergeCell ref="A7:C7"/>
    <mergeCell ref="A9:A10"/>
    <mergeCell ref="J9:J10"/>
    <mergeCell ref="G9:G10"/>
    <mergeCell ref="E9:E10"/>
    <mergeCell ref="D9:D10"/>
    <mergeCell ref="AN9:AN10"/>
    <mergeCell ref="D6:R6"/>
    <mergeCell ref="D7:R7"/>
    <mergeCell ref="Y9:Y10"/>
    <mergeCell ref="AM9:AM10"/>
    <mergeCell ref="AL9:AL10"/>
    <mergeCell ref="AH9:AH10"/>
    <mergeCell ref="Z9:Z10"/>
    <mergeCell ref="AK9:AK10"/>
    <mergeCell ref="AI9:AI10"/>
    <mergeCell ref="AJ9:AJ10"/>
    <mergeCell ref="D5:R5"/>
    <mergeCell ref="P9:P10"/>
    <mergeCell ref="L9:L10"/>
    <mergeCell ref="M9:M10"/>
    <mergeCell ref="N1:P1"/>
    <mergeCell ref="N2:P2"/>
    <mergeCell ref="N3:P3"/>
    <mergeCell ref="N4:P4"/>
    <mergeCell ref="A1:E4"/>
    <mergeCell ref="F1:M4"/>
    <mergeCell ref="J11:J13"/>
    <mergeCell ref="K11:K13"/>
    <mergeCell ref="L11:L13"/>
    <mergeCell ref="A11:A13"/>
    <mergeCell ref="C11:C13"/>
    <mergeCell ref="G11:G13"/>
    <mergeCell ref="C9:C10"/>
    <mergeCell ref="F9:F10"/>
  </mergeCells>
  <conditionalFormatting sqref="L11 L14">
    <cfRule type="cellIs" dxfId="99" priority="326" operator="equal">
      <formula>"Baja"</formula>
    </cfRule>
    <cfRule type="cellIs" dxfId="98" priority="325" operator="equal">
      <formula>"Media"</formula>
    </cfRule>
    <cfRule type="cellIs" dxfId="97" priority="324" operator="equal">
      <formula>"Alta"</formula>
    </cfRule>
    <cfRule type="cellIs" dxfId="96" priority="327" operator="equal">
      <formula>"Muy Baja"</formula>
    </cfRule>
    <cfRule type="cellIs" dxfId="95" priority="323" operator="equal">
      <formula>"Muy Alta"</formula>
    </cfRule>
  </conditionalFormatting>
  <conditionalFormatting sqref="L16:L17">
    <cfRule type="cellIs" dxfId="94" priority="197" operator="equal">
      <formula>"Muy Alta"</formula>
    </cfRule>
    <cfRule type="cellIs" dxfId="93" priority="201" operator="equal">
      <formula>"Muy Baja"</formula>
    </cfRule>
    <cfRule type="cellIs" dxfId="92" priority="200" operator="equal">
      <formula>"Baja"</formula>
    </cfRule>
    <cfRule type="cellIs" dxfId="91" priority="199" operator="equal">
      <formula>"Media"</formula>
    </cfRule>
    <cfRule type="cellIs" dxfId="90" priority="198" operator="equal">
      <formula>"Alta"</formula>
    </cfRule>
  </conditionalFormatting>
  <conditionalFormatting sqref="L23">
    <cfRule type="cellIs" dxfId="89" priority="173" operator="equal">
      <formula>"Muy Baja"</formula>
    </cfRule>
    <cfRule type="cellIs" dxfId="88" priority="171" operator="equal">
      <formula>"Media"</formula>
    </cfRule>
    <cfRule type="cellIs" dxfId="87" priority="172" operator="equal">
      <formula>"Baja"</formula>
    </cfRule>
    <cfRule type="cellIs" dxfId="86" priority="169" operator="equal">
      <formula>"Muy Alta"</formula>
    </cfRule>
    <cfRule type="cellIs" dxfId="85" priority="170" operator="equal">
      <formula>"Alta"</formula>
    </cfRule>
  </conditionalFormatting>
  <conditionalFormatting sqref="L29">
    <cfRule type="cellIs" dxfId="84" priority="145" operator="equal">
      <formula>"Muy Baja"</formula>
    </cfRule>
    <cfRule type="cellIs" dxfId="83" priority="141" operator="equal">
      <formula>"Muy Alta"</formula>
    </cfRule>
    <cfRule type="cellIs" dxfId="82" priority="142" operator="equal">
      <formula>"Alta"</formula>
    </cfRule>
    <cfRule type="cellIs" dxfId="81" priority="144" operator="equal">
      <formula>"Baja"</formula>
    </cfRule>
    <cfRule type="cellIs" dxfId="80" priority="143" operator="equal">
      <formula>"Media"</formula>
    </cfRule>
  </conditionalFormatting>
  <conditionalFormatting sqref="L35">
    <cfRule type="cellIs" dxfId="79" priority="113" operator="equal">
      <formula>"Muy Alta"</formula>
    </cfRule>
    <cfRule type="cellIs" dxfId="78" priority="114" operator="equal">
      <formula>"Alta"</formula>
    </cfRule>
    <cfRule type="cellIs" dxfId="77" priority="117" operator="equal">
      <formula>"Muy Baja"</formula>
    </cfRule>
    <cfRule type="cellIs" dxfId="76" priority="116" operator="equal">
      <formula>"Baja"</formula>
    </cfRule>
    <cfRule type="cellIs" dxfId="75" priority="115" operator="equal">
      <formula>"Media"</formula>
    </cfRule>
  </conditionalFormatting>
  <conditionalFormatting sqref="L41">
    <cfRule type="cellIs" dxfId="74" priority="85" operator="equal">
      <formula>"Muy Alta"</formula>
    </cfRule>
    <cfRule type="cellIs" dxfId="73" priority="86" operator="equal">
      <formula>"Alta"</formula>
    </cfRule>
    <cfRule type="cellIs" dxfId="72" priority="88" operator="equal">
      <formula>"Baja"</formula>
    </cfRule>
    <cfRule type="cellIs" dxfId="71" priority="89" operator="equal">
      <formula>"Muy Baja"</formula>
    </cfRule>
    <cfRule type="cellIs" dxfId="70" priority="87" operator="equal">
      <formula>"Media"</formula>
    </cfRule>
  </conditionalFormatting>
  <conditionalFormatting sqref="L47">
    <cfRule type="cellIs" dxfId="69" priority="57" operator="equal">
      <formula>"Muy Alta"</formula>
    </cfRule>
    <cfRule type="cellIs" dxfId="68" priority="58" operator="equal">
      <formula>"Alta"</formula>
    </cfRule>
    <cfRule type="cellIs" dxfId="67" priority="59" operator="equal">
      <formula>"Media"</formula>
    </cfRule>
    <cfRule type="cellIs" dxfId="66" priority="60" operator="equal">
      <formula>"Baja"</formula>
    </cfRule>
    <cfRule type="cellIs" dxfId="65" priority="61" operator="equal">
      <formula>"Muy Baja"</formula>
    </cfRule>
  </conditionalFormatting>
  <conditionalFormatting sqref="L53">
    <cfRule type="cellIs" dxfId="64" priority="31" operator="equal">
      <formula>"Media"</formula>
    </cfRule>
    <cfRule type="cellIs" dxfId="63" priority="30" operator="equal">
      <formula>"Alta"</formula>
    </cfRule>
    <cfRule type="cellIs" dxfId="62" priority="32" operator="equal">
      <formula>"Baja"</formula>
    </cfRule>
    <cfRule type="cellIs" dxfId="61" priority="33" operator="equal">
      <formula>"Muy Baja"</formula>
    </cfRule>
    <cfRule type="cellIs" dxfId="60" priority="29" operator="equal">
      <formula>"Muy Alta"</formula>
    </cfRule>
  </conditionalFormatting>
  <conditionalFormatting sqref="O11:O58">
    <cfRule type="containsText" dxfId="59" priority="5" operator="containsText" text="❌">
      <formula>NOT(ISERROR(SEARCH("❌",O11)))</formula>
    </cfRule>
  </conditionalFormatting>
  <conditionalFormatting sqref="P11 P14 P16:P17 P23 P29 P35 P41 P47 P53">
    <cfRule type="cellIs" dxfId="58" priority="321" operator="equal">
      <formula>"Menor"</formula>
    </cfRule>
    <cfRule type="cellIs" dxfId="57" priority="320" operator="equal">
      <formula>"Moderado"</formula>
    </cfRule>
    <cfRule type="cellIs" dxfId="56" priority="319" operator="equal">
      <formula>"Mayor"</formula>
    </cfRule>
    <cfRule type="cellIs" dxfId="55" priority="322" operator="equal">
      <formula>"Leve"</formula>
    </cfRule>
    <cfRule type="cellIs" dxfId="54" priority="318" operator="equal">
      <formula>"Catastrófico"</formula>
    </cfRule>
  </conditionalFormatting>
  <conditionalFormatting sqref="R14">
    <cfRule type="cellIs" dxfId="53" priority="244" operator="equal">
      <formula>"Extremo"</formula>
    </cfRule>
    <cfRule type="cellIs" dxfId="52" priority="245" operator="equal">
      <formula>"Alto"</formula>
    </cfRule>
    <cfRule type="cellIs" dxfId="51" priority="246" operator="equal">
      <formula>"Moderado"</formula>
    </cfRule>
    <cfRule type="cellIs" dxfId="50" priority="247" operator="equal">
      <formula>"Bajo"</formula>
    </cfRule>
  </conditionalFormatting>
  <conditionalFormatting sqref="R16:R17">
    <cfRule type="cellIs" dxfId="49" priority="190" operator="equal">
      <formula>"Moderado"</formula>
    </cfRule>
    <cfRule type="cellIs" dxfId="48" priority="188" operator="equal">
      <formula>"Extremo"</formula>
    </cfRule>
    <cfRule type="cellIs" dxfId="47" priority="189" operator="equal">
      <formula>"Alto"</formula>
    </cfRule>
    <cfRule type="cellIs" dxfId="46" priority="191" operator="equal">
      <formula>"Bajo"</formula>
    </cfRule>
  </conditionalFormatting>
  <conditionalFormatting sqref="R23">
    <cfRule type="cellIs" dxfId="45" priority="160" operator="equal">
      <formula>"Extremo"</formula>
    </cfRule>
    <cfRule type="cellIs" dxfId="44" priority="161" operator="equal">
      <formula>"Alto"</formula>
    </cfRule>
    <cfRule type="cellIs" dxfId="43" priority="162" operator="equal">
      <formula>"Moderado"</formula>
    </cfRule>
    <cfRule type="cellIs" dxfId="42" priority="163" operator="equal">
      <formula>"Bajo"</formula>
    </cfRule>
  </conditionalFormatting>
  <conditionalFormatting sqref="R29">
    <cfRule type="cellIs" dxfId="41" priority="132" operator="equal">
      <formula>"Extremo"</formula>
    </cfRule>
    <cfRule type="cellIs" dxfId="40" priority="133" operator="equal">
      <formula>"Alto"</formula>
    </cfRule>
    <cfRule type="cellIs" dxfId="39" priority="134" operator="equal">
      <formula>"Moderado"</formula>
    </cfRule>
    <cfRule type="cellIs" dxfId="38" priority="135" operator="equal">
      <formula>"Bajo"</formula>
    </cfRule>
  </conditionalFormatting>
  <conditionalFormatting sqref="R35">
    <cfRule type="cellIs" dxfId="37" priority="104" operator="equal">
      <formula>"Extremo"</formula>
    </cfRule>
    <cfRule type="cellIs" dxfId="36" priority="106" operator="equal">
      <formula>"Moderado"</formula>
    </cfRule>
    <cfRule type="cellIs" dxfId="35" priority="105" operator="equal">
      <formula>"Alto"</formula>
    </cfRule>
    <cfRule type="cellIs" dxfId="34" priority="107" operator="equal">
      <formula>"Bajo"</formula>
    </cfRule>
  </conditionalFormatting>
  <conditionalFormatting sqref="R41">
    <cfRule type="cellIs" dxfId="33" priority="78" operator="equal">
      <formula>"Moderado"</formula>
    </cfRule>
    <cfRule type="cellIs" dxfId="32" priority="76" operator="equal">
      <formula>"Extremo"</formula>
    </cfRule>
    <cfRule type="cellIs" dxfId="31" priority="77" operator="equal">
      <formula>"Alto"</formula>
    </cfRule>
    <cfRule type="cellIs" dxfId="30" priority="79" operator="equal">
      <formula>"Bajo"</formula>
    </cfRule>
  </conditionalFormatting>
  <conditionalFormatting sqref="R47">
    <cfRule type="cellIs" dxfId="29" priority="51" operator="equal">
      <formula>"Bajo"</formula>
    </cfRule>
    <cfRule type="cellIs" dxfId="28" priority="50" operator="equal">
      <formula>"Moderado"</formula>
    </cfRule>
    <cfRule type="cellIs" dxfId="27" priority="49" operator="equal">
      <formula>"Alto"</formula>
    </cfRule>
    <cfRule type="cellIs" dxfId="26" priority="48" operator="equal">
      <formula>"Extremo"</formula>
    </cfRule>
  </conditionalFormatting>
  <conditionalFormatting sqref="R53">
    <cfRule type="cellIs" dxfId="25" priority="20" operator="equal">
      <formula>"Extremo"</formula>
    </cfRule>
    <cfRule type="cellIs" dxfId="24" priority="23" operator="equal">
      <formula>"Bajo"</formula>
    </cfRule>
    <cfRule type="cellIs" dxfId="23" priority="22" operator="equal">
      <formula>"Moderado"</formula>
    </cfRule>
    <cfRule type="cellIs" dxfId="22" priority="21" operator="equal">
      <formula>"Alto"</formula>
    </cfRule>
  </conditionalFormatting>
  <conditionalFormatting sqref="R11:X11 S12:X58">
    <cfRule type="cellIs" dxfId="21" priority="314" operator="equal">
      <formula>"Extremo"</formula>
    </cfRule>
    <cfRule type="cellIs" dxfId="20" priority="316" operator="equal">
      <formula>"Moderado"</formula>
    </cfRule>
    <cfRule type="cellIs" dxfId="19" priority="317" operator="equal">
      <formula>"Bajo"</formula>
    </cfRule>
    <cfRule type="cellIs" dxfId="18" priority="315" operator="equal">
      <formula>"Alto"</formula>
    </cfRule>
  </conditionalFormatting>
  <conditionalFormatting sqref="AI11:AI58">
    <cfRule type="cellIs" dxfId="17" priority="19" operator="equal">
      <formula>"Muy Baja"</formula>
    </cfRule>
    <cfRule type="cellIs" dxfId="16" priority="18" operator="equal">
      <formula>"Baja"</formula>
    </cfRule>
    <cfRule type="cellIs" dxfId="15" priority="17" operator="equal">
      <formula>"Media"</formula>
    </cfRule>
    <cfRule type="cellIs" dxfId="14" priority="16" operator="equal">
      <formula>"Alta"</formula>
    </cfRule>
    <cfRule type="cellIs" dxfId="13" priority="15" operator="equal">
      <formula>"Muy Alta"</formula>
    </cfRule>
  </conditionalFormatting>
  <conditionalFormatting sqref="AK11:AK58">
    <cfRule type="cellIs" dxfId="12" priority="14" operator="equal">
      <formula>"Leve"</formula>
    </cfRule>
    <cfRule type="cellIs" dxfId="11" priority="12" operator="equal">
      <formula>"Moderado"</formula>
    </cfRule>
    <cfRule type="cellIs" dxfId="10" priority="13" operator="equal">
      <formula>"Menor"</formula>
    </cfRule>
    <cfRule type="cellIs" dxfId="9" priority="11" operator="equal">
      <formula>"Mayor"</formula>
    </cfRule>
    <cfRule type="cellIs" dxfId="8" priority="10" operator="equal">
      <formula>"Catastrófico"</formula>
    </cfRule>
  </conditionalFormatting>
  <conditionalFormatting sqref="AM11:AM58">
    <cfRule type="cellIs" dxfId="7" priority="9" operator="equal">
      <formula>"Bajo"</formula>
    </cfRule>
    <cfRule type="cellIs" dxfId="6" priority="8" operator="equal">
      <formula>"Moderado"</formula>
    </cfRule>
    <cfRule type="cellIs" dxfId="5" priority="6" operator="equal">
      <formula>"Extremo"</formula>
    </cfRule>
    <cfRule type="cellIs" dxfId="4" priority="7" operator="equal">
      <formula>"Alto"</formula>
    </cfRule>
  </conditionalFormatting>
  <conditionalFormatting sqref="AO11:AT30">
    <cfRule type="cellIs" dxfId="3" priority="1" operator="equal">
      <formula>"Extremo"</formula>
    </cfRule>
    <cfRule type="cellIs" dxfId="2" priority="4" operator="equal">
      <formula>"Bajo"</formula>
    </cfRule>
    <cfRule type="cellIs" dxfId="1" priority="3" operator="equal">
      <formula>"Moderado"</formula>
    </cfRule>
    <cfRule type="cellIs" dxfId="0" priority="2" operator="equal">
      <formula>"Alto"</formula>
    </cfRule>
  </conditionalFormatting>
  <pageMargins left="0.7" right="0.7" top="0.75" bottom="0.75" header="0.3" footer="0.3"/>
  <pageSetup orientation="portrait" r:id="rId1"/>
  <ignoredErrors>
    <ignoredError sqref="AL13" formula="1"/>
  </ignoredError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'Opciones Tratamiento'!$B$9:$B$10</xm:f>
          </x14:formula1>
          <xm:sqref>AZ20:AZ21 AZ23:AZ24 AZ26:AZ27 AZ29:AZ30 AZ32:AZ33 AZ35:AZ36 AZ38:AZ39 AZ41:AZ42 AZ44:AZ45 AZ47:AZ48 AZ50:AZ51 AZ53:AZ54 AZ56:AZ57 AZ17:AZ18</xm:sqref>
        </x14:dataValidation>
        <x14:dataValidation type="list" allowBlank="1" showInputMessage="1" showErrorMessage="1" xr:uid="{00000000-0002-0000-0100-000001000000}">
          <x14:formula1>
            <xm:f>'Tabla Valoración controles'!$D$4:$D$6</xm:f>
          </x14:formula1>
          <xm:sqref>AB11:AB58</xm:sqref>
        </x14:dataValidation>
        <x14:dataValidation type="list" allowBlank="1" showInputMessage="1" showErrorMessage="1" xr:uid="{00000000-0002-0000-0100-000002000000}">
          <x14:formula1>
            <xm:f>'Tabla Valoración controles'!$D$7:$D$8</xm:f>
          </x14:formula1>
          <xm:sqref>AC11:AC58</xm:sqref>
        </x14:dataValidation>
        <x14:dataValidation type="list" allowBlank="1" showInputMessage="1" showErrorMessage="1" xr:uid="{00000000-0002-0000-0100-000003000000}">
          <x14:formula1>
            <xm:f>'Tabla Valoración controles'!$D$9:$D$10</xm:f>
          </x14:formula1>
          <xm:sqref>AE11:AE58</xm:sqref>
        </x14:dataValidation>
        <x14:dataValidation type="list" allowBlank="1" showInputMessage="1" showErrorMessage="1" xr:uid="{00000000-0002-0000-0100-000004000000}">
          <x14:formula1>
            <xm:f>'Tabla Valoración controles'!$D$11:$D$12</xm:f>
          </x14:formula1>
          <xm:sqref>AF11:AF58</xm:sqref>
        </x14:dataValidation>
        <x14:dataValidation type="list" allowBlank="1" showInputMessage="1" showErrorMessage="1" xr:uid="{00000000-0002-0000-0100-000005000000}">
          <x14:formula1>
            <xm:f>'Tabla Valoración controles'!$D$13:$D$14</xm:f>
          </x14:formula1>
          <xm:sqref>AG11:AG58</xm:sqref>
        </x14:dataValidation>
        <x14:dataValidation type="list" allowBlank="1" showInputMessage="1" showErrorMessage="1" xr:uid="{00000000-0002-0000-0100-000006000000}">
          <x14:formula1>
            <xm:f>'Opciones Tratamiento'!$B$13:$B$19</xm:f>
          </x14:formula1>
          <xm:sqref>J11:J58</xm:sqref>
        </x14:dataValidation>
        <x14:dataValidation type="list" allowBlank="1" showInputMessage="1" showErrorMessage="1" xr:uid="{00000000-0002-0000-0100-000007000000}">
          <x14:formula1>
            <xm:f>'Opciones Tratamiento'!$E$2:$E$4</xm:f>
          </x14:formula1>
          <xm:sqref>C11:C58</xm:sqref>
        </x14:dataValidation>
        <x14:dataValidation type="list" allowBlank="1" showInputMessage="1" showErrorMessage="1" xr:uid="{00000000-0002-0000-0100-000008000000}">
          <x14:formula1>
            <xm:f>'Tabla Impacto'!$F$210:$F$221</xm:f>
          </x14:formula1>
          <xm:sqref>N11:N58</xm:sqref>
        </x14:dataValidation>
        <x14:dataValidation type="custom" allowBlank="1" showInputMessage="1" showErrorMessage="1" error="Recuerde que las acciones se generan bajo la medida de mitigar el riesgo" xr:uid="{00000000-0002-0000-0100-000009000000}">
          <x14:formula1>
            <xm:f>IF(OR(AU11='Opciones Tratamiento'!$B$2,AU11='Opciones Tratamiento'!$B$3,AU11='Opciones Tratamiento'!$B$4),ISBLANK(AU11),ISTEXT(AU11))</xm:f>
          </x14:formula1>
          <xm:sqref>AZ11:AZ16</xm:sqref>
        </x14:dataValidation>
        <x14:dataValidation type="custom" allowBlank="1" showInputMessage="1" showErrorMessage="1" error="Recuerde que las acciones se generan bajo la medida de mitigar el riesgo" xr:uid="{00000000-0002-0000-0100-00000A000000}">
          <x14:formula1>
            <xm:f>IF(OR(AN11='Opciones Tratamiento'!$B$2,AN11='Opciones Tratamiento'!$B$3,AN11='Opciones Tratamiento'!$B$4),ISBLANK(AN11),ISTEXT(AN11))</xm:f>
          </x14:formula1>
          <xm:sqref>AV11:AV58</xm:sqref>
        </x14:dataValidation>
        <x14:dataValidation type="custom" allowBlank="1" showInputMessage="1" showErrorMessage="1" error="Recuerde que las acciones se generan bajo la medida de mitigar el riesgo" xr:uid="{00000000-0002-0000-0100-00000B000000}">
          <x14:formula1>
            <xm:f>IF(OR(AN11='Opciones Tratamiento'!$B$2,AN11='Opciones Tratamiento'!$B$3,AN11='Opciones Tratamiento'!$B$4),ISBLANK(AN11),ISTEXT(AN11))</xm:f>
          </x14:formula1>
          <xm:sqref>AY11:AY58</xm:sqref>
        </x14:dataValidation>
        <x14:dataValidation type="custom" allowBlank="1" showInputMessage="1" showErrorMessage="1" error="Recuerde que las acciones se generan bajo la medida de mitigar el riesgo" xr:uid="{00000000-0002-0000-0100-00000C000000}">
          <x14:formula1>
            <xm:f>IF(OR(AN11='Opciones Tratamiento'!$B$2,AN11='Opciones Tratamiento'!$B$3,AN11='Opciones Tratamiento'!$B$4),ISBLANK(AN11),ISTEXT(AN11))</xm:f>
          </x14:formula1>
          <xm:sqref>AX11:AX58</xm:sqref>
        </x14:dataValidation>
        <x14:dataValidation type="custom" allowBlank="1" showInputMessage="1" showErrorMessage="1" error="Recuerde que las acciones se generan bajo la medida de mitigar el riesgo" xr:uid="{00000000-0002-0000-0100-00000D000000}">
          <x14:formula1>
            <xm:f>IF(OR(AN11='Opciones Tratamiento'!$B$2,AN11='Opciones Tratamiento'!$B$3,AN11='Opciones Tratamiento'!$B$4),ISBLANK(AN11),ISTEXT(AN11))</xm:f>
          </x14:formula1>
          <xm:sqref>AW11:AW58</xm:sqref>
        </x14:dataValidation>
        <x14:dataValidation type="custom" allowBlank="1" showInputMessage="1" showErrorMessage="1" error="Recuerde que las acciones se generan bajo la medida de mitigar el riesgo" xr:uid="{00000000-0002-0000-0100-00000E000000}">
          <x14:formula1>
            <xm:f>IF(OR(AN11='Opciones Tratamiento'!$B$2,AN11='Opciones Tratamiento'!$B$3,AN11='Opciones Tratamiento'!$B$4),ISBLANK(AN11),ISTEXT(AN11))</xm:f>
          </x14:formula1>
          <xm:sqref>AU11:AU58</xm:sqref>
        </x14:dataValidation>
        <x14:dataValidation type="list" allowBlank="1" showInputMessage="1" showErrorMessage="1" xr:uid="{00000000-0002-0000-0100-00000F000000}">
          <x14:formula1>
            <xm:f>'Opciones Tratamiento'!$B$2:$B$5</xm:f>
          </x14:formula1>
          <xm:sqref>AN11:AN58 AO31:AT58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337" t="s">
        <v>171</v>
      </c>
      <c r="C2" s="337"/>
      <c r="D2" s="337"/>
      <c r="E2" s="337"/>
      <c r="F2" s="337"/>
      <c r="G2" s="337"/>
      <c r="H2" s="337"/>
      <c r="I2" s="337"/>
      <c r="J2" s="374" t="s">
        <v>15</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337"/>
      <c r="C3" s="337"/>
      <c r="D3" s="337"/>
      <c r="E3" s="337"/>
      <c r="F3" s="337"/>
      <c r="G3" s="337"/>
      <c r="H3" s="337"/>
      <c r="I3" s="337"/>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337"/>
      <c r="C4" s="337"/>
      <c r="D4" s="337"/>
      <c r="E4" s="337"/>
      <c r="F4" s="337"/>
      <c r="G4" s="337"/>
      <c r="H4" s="337"/>
      <c r="I4" s="337"/>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385" t="s">
        <v>102</v>
      </c>
      <c r="C6" s="385"/>
      <c r="D6" s="386"/>
      <c r="E6" s="375" t="s">
        <v>172</v>
      </c>
      <c r="F6" s="376"/>
      <c r="G6" s="376"/>
      <c r="H6" s="376"/>
      <c r="I6" s="377"/>
      <c r="J6" s="371" t="str">
        <f>IF(AND('Mapa final'!$L$11="Muy Alta",'Mapa final'!$P$11="Leve"),CONCATENATE("R",'Mapa final'!$A$11),"")</f>
        <v/>
      </c>
      <c r="K6" s="372"/>
      <c r="L6" s="372" t="str">
        <f>IF(AND('Mapa final'!$L$14="Muy Alta",'Mapa final'!$P$14="Leve"),CONCATENATE("R",'Mapa final'!$A$14),"")</f>
        <v/>
      </c>
      <c r="M6" s="372"/>
      <c r="N6" s="372" t="str">
        <f>IF(AND('Mapa final'!$L$16="Muy Alta",'Mapa final'!$P$16="Leve"),CONCATENATE("R",'Mapa final'!$A$16),"")</f>
        <v/>
      </c>
      <c r="O6" s="373"/>
      <c r="P6" s="371" t="str">
        <f>IF(AND('Mapa final'!$L$11="Muy Alta",'Mapa final'!$P$11="Menor"),CONCATENATE("R",'Mapa final'!$A$11),"")</f>
        <v/>
      </c>
      <c r="Q6" s="372"/>
      <c r="R6" s="372" t="str">
        <f>IF(AND('Mapa final'!$L$14="Muy Alta",'Mapa final'!$P$14="Menor"),CONCATENATE("R",'Mapa final'!$A$14),"")</f>
        <v/>
      </c>
      <c r="S6" s="372"/>
      <c r="T6" s="372" t="str">
        <f>IF(AND('Mapa final'!$L$16="Muy Alta",'Mapa final'!$P$16="Menor"),CONCATENATE("R",'Mapa final'!$A$16),"")</f>
        <v/>
      </c>
      <c r="U6" s="373"/>
      <c r="V6" s="371" t="str">
        <f>IF(AND('Mapa final'!$L$11="Muy Alta",'Mapa final'!$P$11="Moderado"),CONCATENATE("R",'Mapa final'!$A$11),"")</f>
        <v/>
      </c>
      <c r="W6" s="372"/>
      <c r="X6" s="372" t="str">
        <f>IF(AND('Mapa final'!$L$14="Muy Alta",'Mapa final'!$P$14="Moderado"),CONCATENATE("R",'Mapa final'!$A$14),"")</f>
        <v/>
      </c>
      <c r="Y6" s="372"/>
      <c r="Z6" s="372" t="str">
        <f>IF(AND('Mapa final'!$L$16="Muy Alta",'Mapa final'!$P$16="Moderado"),CONCATENATE("R",'Mapa final'!$A$16),"")</f>
        <v/>
      </c>
      <c r="AA6" s="373"/>
      <c r="AB6" s="371" t="str">
        <f>IF(AND('Mapa final'!$L$11="Muy Alta",'Mapa final'!$P$11="Mayor"),CONCATENATE("R",'Mapa final'!$A$11),"")</f>
        <v/>
      </c>
      <c r="AC6" s="372"/>
      <c r="AD6" s="372" t="str">
        <f>IF(AND('Mapa final'!$L$14="Muy Alta",'Mapa final'!$P$14="Mayor"),CONCATENATE("R",'Mapa final'!$A$14),"")</f>
        <v/>
      </c>
      <c r="AE6" s="372"/>
      <c r="AF6" s="372" t="str">
        <f>IF(AND('Mapa final'!$L$16="Muy Alta",'Mapa final'!$P$16="Mayor"),CONCATENATE("R",'Mapa final'!$A$16),"")</f>
        <v/>
      </c>
      <c r="AG6" s="373"/>
      <c r="AH6" s="362" t="str">
        <f>IF(AND('Mapa final'!$L$11="Muy Alta",'Mapa final'!$P$11="Catastrófico"),CONCATENATE("R",'Mapa final'!$A$11),"")</f>
        <v/>
      </c>
      <c r="AI6" s="363"/>
      <c r="AJ6" s="363" t="str">
        <f>IF(AND('Mapa final'!$L$14="Muy Alta",'Mapa final'!$P$14="Catastrófico"),CONCATENATE("R",'Mapa final'!$A$14),"")</f>
        <v/>
      </c>
      <c r="AK6" s="363"/>
      <c r="AL6" s="363" t="str">
        <f>IF(AND('Mapa final'!$L$16="Muy Alta",'Mapa final'!$P$16="Catastrófico"),CONCATENATE("R",'Mapa final'!$A$16),"")</f>
        <v/>
      </c>
      <c r="AM6" s="364"/>
      <c r="AO6" s="387" t="s">
        <v>173</v>
      </c>
      <c r="AP6" s="388"/>
      <c r="AQ6" s="388"/>
      <c r="AR6" s="388"/>
      <c r="AS6" s="388"/>
      <c r="AT6" s="389"/>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385"/>
      <c r="C7" s="385"/>
      <c r="D7" s="386"/>
      <c r="E7" s="378"/>
      <c r="F7" s="379"/>
      <c r="G7" s="379"/>
      <c r="H7" s="379"/>
      <c r="I7" s="380"/>
      <c r="J7" s="365"/>
      <c r="K7" s="366"/>
      <c r="L7" s="366"/>
      <c r="M7" s="366"/>
      <c r="N7" s="366"/>
      <c r="O7" s="367"/>
      <c r="P7" s="365"/>
      <c r="Q7" s="366"/>
      <c r="R7" s="366"/>
      <c r="S7" s="366"/>
      <c r="T7" s="366"/>
      <c r="U7" s="367"/>
      <c r="V7" s="365"/>
      <c r="W7" s="366"/>
      <c r="X7" s="366"/>
      <c r="Y7" s="366"/>
      <c r="Z7" s="366"/>
      <c r="AA7" s="367"/>
      <c r="AB7" s="365"/>
      <c r="AC7" s="366"/>
      <c r="AD7" s="366"/>
      <c r="AE7" s="366"/>
      <c r="AF7" s="366"/>
      <c r="AG7" s="367"/>
      <c r="AH7" s="356"/>
      <c r="AI7" s="357"/>
      <c r="AJ7" s="357"/>
      <c r="AK7" s="357"/>
      <c r="AL7" s="357"/>
      <c r="AM7" s="358"/>
      <c r="AN7" s="80"/>
      <c r="AO7" s="390"/>
      <c r="AP7" s="391"/>
      <c r="AQ7" s="391"/>
      <c r="AR7" s="391"/>
      <c r="AS7" s="391"/>
      <c r="AT7" s="392"/>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385"/>
      <c r="C8" s="385"/>
      <c r="D8" s="386"/>
      <c r="E8" s="378"/>
      <c r="F8" s="379"/>
      <c r="G8" s="379"/>
      <c r="H8" s="379"/>
      <c r="I8" s="380"/>
      <c r="J8" s="365" t="str">
        <f>IF(AND('Mapa final'!$L$17="Muy Alta",'Mapa final'!$P$17="Leve"),CONCATENATE("R",'Mapa final'!$A$17),"")</f>
        <v/>
      </c>
      <c r="K8" s="366"/>
      <c r="L8" s="366" t="str">
        <f>IF(AND('Mapa final'!$L$23="Muy Alta",'Mapa final'!$P$23="Leve"),CONCATENATE("R",'Mapa final'!$A$23),"")</f>
        <v/>
      </c>
      <c r="M8" s="366"/>
      <c r="N8" s="366" t="str">
        <f>IF(AND('Mapa final'!$L$29="Muy Alta",'Mapa final'!$P$29="Leve"),CONCATENATE("R",'Mapa final'!$A$29),"")</f>
        <v/>
      </c>
      <c r="O8" s="367"/>
      <c r="P8" s="365" t="str">
        <f>IF(AND('Mapa final'!$L$17="Muy Alta",'Mapa final'!$P$17="Menor"),CONCATENATE("R",'Mapa final'!$A$17),"")</f>
        <v/>
      </c>
      <c r="Q8" s="366"/>
      <c r="R8" s="366" t="str">
        <f>IF(AND('Mapa final'!$L$23="Muy Alta",'Mapa final'!$P$23="Menor"),CONCATENATE("R",'Mapa final'!$A$23),"")</f>
        <v/>
      </c>
      <c r="S8" s="366"/>
      <c r="T8" s="366" t="str">
        <f>IF(AND('Mapa final'!$L$29="Muy Alta",'Mapa final'!$P$29="Menor"),CONCATENATE("R",'Mapa final'!$A$29),"")</f>
        <v/>
      </c>
      <c r="U8" s="367"/>
      <c r="V8" s="365" t="str">
        <f>IF(AND('Mapa final'!$L$17="Muy Alta",'Mapa final'!$P$17="Moderado"),CONCATENATE("R",'Mapa final'!$A$17),"")</f>
        <v/>
      </c>
      <c r="W8" s="366"/>
      <c r="X8" s="366" t="str">
        <f>IF(AND('Mapa final'!$L$23="Muy Alta",'Mapa final'!$P$23="Moderado"),CONCATENATE("R",'Mapa final'!$A$23),"")</f>
        <v/>
      </c>
      <c r="Y8" s="366"/>
      <c r="Z8" s="366" t="str">
        <f>IF(AND('Mapa final'!$L$29="Muy Alta",'Mapa final'!$P$29="Moderado"),CONCATENATE("R",'Mapa final'!$A$29),"")</f>
        <v/>
      </c>
      <c r="AA8" s="367"/>
      <c r="AB8" s="365" t="str">
        <f>IF(AND('Mapa final'!$L$17="Muy Alta",'Mapa final'!$P$17="Mayor"),CONCATENATE("R",'Mapa final'!$A$17),"")</f>
        <v/>
      </c>
      <c r="AC8" s="366"/>
      <c r="AD8" s="366" t="str">
        <f>IF(AND('Mapa final'!$L$23="Muy Alta",'Mapa final'!$P$23="Mayor"),CONCATENATE("R",'Mapa final'!$A$23),"")</f>
        <v/>
      </c>
      <c r="AE8" s="366"/>
      <c r="AF8" s="366" t="str">
        <f>IF(AND('Mapa final'!$L$29="Muy Alta",'Mapa final'!$P$29="Mayor"),CONCATENATE("R",'Mapa final'!$A$29),"")</f>
        <v/>
      </c>
      <c r="AG8" s="367"/>
      <c r="AH8" s="356" t="str">
        <f>IF(AND('Mapa final'!$L$17="Muy Alta",'Mapa final'!$P$17="Catastrófico"),CONCATENATE("R",'Mapa final'!$A$17),"")</f>
        <v/>
      </c>
      <c r="AI8" s="357"/>
      <c r="AJ8" s="357" t="str">
        <f>IF(AND('Mapa final'!$L$23="Muy Alta",'Mapa final'!$P$23="Catastrófico"),CONCATENATE("R",'Mapa final'!$A$23),"")</f>
        <v/>
      </c>
      <c r="AK8" s="357"/>
      <c r="AL8" s="357" t="str">
        <f>IF(AND('Mapa final'!$L$29="Muy Alta",'Mapa final'!$P$29="Catastrófico"),CONCATENATE("R",'Mapa final'!$A$29),"")</f>
        <v/>
      </c>
      <c r="AM8" s="358"/>
      <c r="AN8" s="80"/>
      <c r="AO8" s="390"/>
      <c r="AP8" s="391"/>
      <c r="AQ8" s="391"/>
      <c r="AR8" s="391"/>
      <c r="AS8" s="391"/>
      <c r="AT8" s="392"/>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385"/>
      <c r="C9" s="385"/>
      <c r="D9" s="386"/>
      <c r="E9" s="378"/>
      <c r="F9" s="379"/>
      <c r="G9" s="379"/>
      <c r="H9" s="379"/>
      <c r="I9" s="380"/>
      <c r="J9" s="365"/>
      <c r="K9" s="366"/>
      <c r="L9" s="366"/>
      <c r="M9" s="366"/>
      <c r="N9" s="366"/>
      <c r="O9" s="367"/>
      <c r="P9" s="365"/>
      <c r="Q9" s="366"/>
      <c r="R9" s="366"/>
      <c r="S9" s="366"/>
      <c r="T9" s="366"/>
      <c r="U9" s="367"/>
      <c r="V9" s="365"/>
      <c r="W9" s="366"/>
      <c r="X9" s="366"/>
      <c r="Y9" s="366"/>
      <c r="Z9" s="366"/>
      <c r="AA9" s="367"/>
      <c r="AB9" s="365"/>
      <c r="AC9" s="366"/>
      <c r="AD9" s="366"/>
      <c r="AE9" s="366"/>
      <c r="AF9" s="366"/>
      <c r="AG9" s="367"/>
      <c r="AH9" s="356"/>
      <c r="AI9" s="357"/>
      <c r="AJ9" s="357"/>
      <c r="AK9" s="357"/>
      <c r="AL9" s="357"/>
      <c r="AM9" s="358"/>
      <c r="AN9" s="80"/>
      <c r="AO9" s="390"/>
      <c r="AP9" s="391"/>
      <c r="AQ9" s="391"/>
      <c r="AR9" s="391"/>
      <c r="AS9" s="391"/>
      <c r="AT9" s="392"/>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385"/>
      <c r="C10" s="385"/>
      <c r="D10" s="386"/>
      <c r="E10" s="378"/>
      <c r="F10" s="379"/>
      <c r="G10" s="379"/>
      <c r="H10" s="379"/>
      <c r="I10" s="380"/>
      <c r="J10" s="365" t="str">
        <f>IF(AND('Mapa final'!$L$35="Muy Alta",'Mapa final'!$P$35="Leve"),CONCATENATE("R",'Mapa final'!$A$35),"")</f>
        <v/>
      </c>
      <c r="K10" s="366"/>
      <c r="L10" s="366" t="str">
        <f>IF(AND('Mapa final'!$L$41="Muy Alta",'Mapa final'!$P$41="Leve"),CONCATENATE("R",'Mapa final'!$A$41),"")</f>
        <v/>
      </c>
      <c r="M10" s="366"/>
      <c r="N10" s="366" t="str">
        <f>IF(AND('Mapa final'!$L$47="Muy Alta",'Mapa final'!$P$47="Leve"),CONCATENATE("R",'Mapa final'!$A$47),"")</f>
        <v/>
      </c>
      <c r="O10" s="367"/>
      <c r="P10" s="365" t="str">
        <f>IF(AND('Mapa final'!$L$35="Muy Alta",'Mapa final'!$P$35="Menor"),CONCATENATE("R",'Mapa final'!$A$35),"")</f>
        <v/>
      </c>
      <c r="Q10" s="366"/>
      <c r="R10" s="366" t="str">
        <f>IF(AND('Mapa final'!$L$41="Muy Alta",'Mapa final'!$P$41="Menor"),CONCATENATE("R",'Mapa final'!$A$41),"")</f>
        <v/>
      </c>
      <c r="S10" s="366"/>
      <c r="T10" s="366" t="str">
        <f>IF(AND('Mapa final'!$L$47="Muy Alta",'Mapa final'!$P$47="Menor"),CONCATENATE("R",'Mapa final'!$A$47),"")</f>
        <v/>
      </c>
      <c r="U10" s="367"/>
      <c r="V10" s="365" t="str">
        <f>IF(AND('Mapa final'!$L$35="Muy Alta",'Mapa final'!$P$35="Moderado"),CONCATENATE("R",'Mapa final'!$A$35),"")</f>
        <v/>
      </c>
      <c r="W10" s="366"/>
      <c r="X10" s="366" t="str">
        <f>IF(AND('Mapa final'!$L$41="Muy Alta",'Mapa final'!$P$41="Moderado"),CONCATENATE("R",'Mapa final'!$A$41),"")</f>
        <v/>
      </c>
      <c r="Y10" s="366"/>
      <c r="Z10" s="366" t="str">
        <f>IF(AND('Mapa final'!$L$47="Muy Alta",'Mapa final'!$P$47="Moderado"),CONCATENATE("R",'Mapa final'!$A$47),"")</f>
        <v/>
      </c>
      <c r="AA10" s="367"/>
      <c r="AB10" s="365" t="str">
        <f>IF(AND('Mapa final'!$L$35="Muy Alta",'Mapa final'!$P$35="Mayor"),CONCATENATE("R",'Mapa final'!$A$35),"")</f>
        <v/>
      </c>
      <c r="AC10" s="366"/>
      <c r="AD10" s="366" t="str">
        <f>IF(AND('Mapa final'!$L$41="Muy Alta",'Mapa final'!$P$41="Mayor"),CONCATENATE("R",'Mapa final'!$A$41),"")</f>
        <v/>
      </c>
      <c r="AE10" s="366"/>
      <c r="AF10" s="366" t="str">
        <f>IF(AND('Mapa final'!$L$47="Muy Alta",'Mapa final'!$P$47="Mayor"),CONCATENATE("R",'Mapa final'!$A$47),"")</f>
        <v/>
      </c>
      <c r="AG10" s="367"/>
      <c r="AH10" s="356" t="str">
        <f>IF(AND('Mapa final'!$L$35="Muy Alta",'Mapa final'!$P$35="Catastrófico"),CONCATENATE("R",'Mapa final'!$A$35),"")</f>
        <v/>
      </c>
      <c r="AI10" s="357"/>
      <c r="AJ10" s="357" t="str">
        <f>IF(AND('Mapa final'!$L$41="Muy Alta",'Mapa final'!$P$41="Catastrófico"),CONCATENATE("R",'Mapa final'!$A$41),"")</f>
        <v/>
      </c>
      <c r="AK10" s="357"/>
      <c r="AL10" s="357" t="str">
        <f>IF(AND('Mapa final'!$L$47="Muy Alta",'Mapa final'!$P$47="Catastrófico"),CONCATENATE("R",'Mapa final'!$A$47),"")</f>
        <v/>
      </c>
      <c r="AM10" s="358"/>
      <c r="AN10" s="80"/>
      <c r="AO10" s="390"/>
      <c r="AP10" s="391"/>
      <c r="AQ10" s="391"/>
      <c r="AR10" s="391"/>
      <c r="AS10" s="391"/>
      <c r="AT10" s="392"/>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385"/>
      <c r="C11" s="385"/>
      <c r="D11" s="386"/>
      <c r="E11" s="378"/>
      <c r="F11" s="379"/>
      <c r="G11" s="379"/>
      <c r="H11" s="379"/>
      <c r="I11" s="380"/>
      <c r="J11" s="365"/>
      <c r="K11" s="366"/>
      <c r="L11" s="366"/>
      <c r="M11" s="366"/>
      <c r="N11" s="366"/>
      <c r="O11" s="367"/>
      <c r="P11" s="365"/>
      <c r="Q11" s="366"/>
      <c r="R11" s="366"/>
      <c r="S11" s="366"/>
      <c r="T11" s="366"/>
      <c r="U11" s="367"/>
      <c r="V11" s="365"/>
      <c r="W11" s="366"/>
      <c r="X11" s="366"/>
      <c r="Y11" s="366"/>
      <c r="Z11" s="366"/>
      <c r="AA11" s="367"/>
      <c r="AB11" s="365"/>
      <c r="AC11" s="366"/>
      <c r="AD11" s="366"/>
      <c r="AE11" s="366"/>
      <c r="AF11" s="366"/>
      <c r="AG11" s="367"/>
      <c r="AH11" s="356"/>
      <c r="AI11" s="357"/>
      <c r="AJ11" s="357"/>
      <c r="AK11" s="357"/>
      <c r="AL11" s="357"/>
      <c r="AM11" s="358"/>
      <c r="AN11" s="80"/>
      <c r="AO11" s="390"/>
      <c r="AP11" s="391"/>
      <c r="AQ11" s="391"/>
      <c r="AR11" s="391"/>
      <c r="AS11" s="391"/>
      <c r="AT11" s="392"/>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385"/>
      <c r="C12" s="385"/>
      <c r="D12" s="386"/>
      <c r="E12" s="378"/>
      <c r="F12" s="379"/>
      <c r="G12" s="379"/>
      <c r="H12" s="379"/>
      <c r="I12" s="380"/>
      <c r="J12" s="365" t="str">
        <f>IF(AND('Mapa final'!$L$53="Muy Alta",'Mapa final'!$P$53="Leve"),CONCATENATE("R",'Mapa final'!$A$53),"")</f>
        <v/>
      </c>
      <c r="K12" s="366"/>
      <c r="L12" s="366" t="str">
        <f>IF(AND('Mapa final'!$L$59="Muy Alta",'Mapa final'!$P$59="Leve"),CONCATENATE("R",'Mapa final'!$A$59),"")</f>
        <v/>
      </c>
      <c r="M12" s="366"/>
      <c r="N12" s="366" t="str">
        <f>IF(AND('Mapa final'!$L$65="Muy Alta",'Mapa final'!$P$65="Leve"),CONCATENATE("R",'Mapa final'!$A$65),"")</f>
        <v/>
      </c>
      <c r="O12" s="367"/>
      <c r="P12" s="365" t="str">
        <f>IF(AND('Mapa final'!$L$53="Muy Alta",'Mapa final'!$P$53="Menor"),CONCATENATE("R",'Mapa final'!$A$53),"")</f>
        <v/>
      </c>
      <c r="Q12" s="366"/>
      <c r="R12" s="366" t="str">
        <f>IF(AND('Mapa final'!$L$59="Muy Alta",'Mapa final'!$P$59="Menor"),CONCATENATE("R",'Mapa final'!$A$59),"")</f>
        <v/>
      </c>
      <c r="S12" s="366"/>
      <c r="T12" s="366" t="str">
        <f>IF(AND('Mapa final'!$L$65="Muy Alta",'Mapa final'!$P$65="Menor"),CONCATENATE("R",'Mapa final'!$A$65),"")</f>
        <v/>
      </c>
      <c r="U12" s="367"/>
      <c r="V12" s="365" t="str">
        <f>IF(AND('Mapa final'!$L$53="Muy Alta",'Mapa final'!$P$53="Moderado"),CONCATENATE("R",'Mapa final'!$A$53),"")</f>
        <v/>
      </c>
      <c r="W12" s="366"/>
      <c r="X12" s="366" t="str">
        <f>IF(AND('Mapa final'!$L$59="Muy Alta",'Mapa final'!$P$59="Moderado"),CONCATENATE("R",'Mapa final'!$A$59),"")</f>
        <v/>
      </c>
      <c r="Y12" s="366"/>
      <c r="Z12" s="366" t="str">
        <f>IF(AND('Mapa final'!$L$65="Muy Alta",'Mapa final'!$P$65="Moderado"),CONCATENATE("R",'Mapa final'!$A$65),"")</f>
        <v/>
      </c>
      <c r="AA12" s="367"/>
      <c r="AB12" s="365" t="str">
        <f>IF(AND('Mapa final'!$L$53="Muy Alta",'Mapa final'!$P$53="Mayor"),CONCATENATE("R",'Mapa final'!$A$53),"")</f>
        <v/>
      </c>
      <c r="AC12" s="366"/>
      <c r="AD12" s="366" t="str">
        <f>IF(AND('Mapa final'!$L$59="Muy Alta",'Mapa final'!$P$59="Mayor"),CONCATENATE("R",'Mapa final'!$A$59),"")</f>
        <v/>
      </c>
      <c r="AE12" s="366"/>
      <c r="AF12" s="366" t="str">
        <f>IF(AND('Mapa final'!$L$65="Muy Alta",'Mapa final'!$P$65="Mayor"),CONCATENATE("R",'Mapa final'!$A$65),"")</f>
        <v/>
      </c>
      <c r="AG12" s="367"/>
      <c r="AH12" s="356" t="str">
        <f>IF(AND('Mapa final'!$L$53="Muy Alta",'Mapa final'!$P$53="Catastrófico"),CONCATENATE("R",'Mapa final'!$A$53),"")</f>
        <v/>
      </c>
      <c r="AI12" s="357"/>
      <c r="AJ12" s="357" t="str">
        <f>IF(AND('Mapa final'!$L$59="Muy Alta",'Mapa final'!$P$59="Catastrófico"),CONCATENATE("R",'Mapa final'!$A$59),"")</f>
        <v/>
      </c>
      <c r="AK12" s="357"/>
      <c r="AL12" s="357" t="str">
        <f>IF(AND('Mapa final'!$L$65="Muy Alta",'Mapa final'!$P$65="Catastrófico"),CONCATENATE("R",'Mapa final'!$A$65),"")</f>
        <v/>
      </c>
      <c r="AM12" s="358"/>
      <c r="AN12" s="80"/>
      <c r="AO12" s="390"/>
      <c r="AP12" s="391"/>
      <c r="AQ12" s="391"/>
      <c r="AR12" s="391"/>
      <c r="AS12" s="391"/>
      <c r="AT12" s="392"/>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385"/>
      <c r="C13" s="385"/>
      <c r="D13" s="386"/>
      <c r="E13" s="381"/>
      <c r="F13" s="382"/>
      <c r="G13" s="382"/>
      <c r="H13" s="382"/>
      <c r="I13" s="383"/>
      <c r="J13" s="365"/>
      <c r="K13" s="366"/>
      <c r="L13" s="366"/>
      <c r="M13" s="366"/>
      <c r="N13" s="366"/>
      <c r="O13" s="367"/>
      <c r="P13" s="365"/>
      <c r="Q13" s="366"/>
      <c r="R13" s="366"/>
      <c r="S13" s="366"/>
      <c r="T13" s="366"/>
      <c r="U13" s="367"/>
      <c r="V13" s="365"/>
      <c r="W13" s="366"/>
      <c r="X13" s="366"/>
      <c r="Y13" s="366"/>
      <c r="Z13" s="366"/>
      <c r="AA13" s="367"/>
      <c r="AB13" s="365"/>
      <c r="AC13" s="366"/>
      <c r="AD13" s="366"/>
      <c r="AE13" s="366"/>
      <c r="AF13" s="366"/>
      <c r="AG13" s="367"/>
      <c r="AH13" s="359"/>
      <c r="AI13" s="360"/>
      <c r="AJ13" s="360"/>
      <c r="AK13" s="360"/>
      <c r="AL13" s="360"/>
      <c r="AM13" s="361"/>
      <c r="AN13" s="80"/>
      <c r="AO13" s="393"/>
      <c r="AP13" s="394"/>
      <c r="AQ13" s="394"/>
      <c r="AR13" s="394"/>
      <c r="AS13" s="394"/>
      <c r="AT13" s="395"/>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385"/>
      <c r="C14" s="385"/>
      <c r="D14" s="386"/>
      <c r="E14" s="375" t="s">
        <v>174</v>
      </c>
      <c r="F14" s="376"/>
      <c r="G14" s="376"/>
      <c r="H14" s="376"/>
      <c r="I14" s="376"/>
      <c r="J14" s="353" t="str">
        <f>IF(AND('Mapa final'!$L$11="Alta",'Mapa final'!$P$11="Leve"),CONCATENATE("R",'Mapa final'!$A$11),"")</f>
        <v/>
      </c>
      <c r="K14" s="354"/>
      <c r="L14" s="354" t="str">
        <f>IF(AND('Mapa final'!$L$14="Alta",'Mapa final'!$P$14="Leve"),CONCATENATE("R",'Mapa final'!$A$14),"")</f>
        <v/>
      </c>
      <c r="M14" s="354"/>
      <c r="N14" s="354" t="str">
        <f>IF(AND('Mapa final'!$L$16="Alta",'Mapa final'!$P$16="Leve"),CONCATENATE("R",'Mapa final'!$A$16),"")</f>
        <v/>
      </c>
      <c r="O14" s="355"/>
      <c r="P14" s="353" t="str">
        <f>IF(AND('Mapa final'!$L$11="Alta",'Mapa final'!$P$11="Menor"),CONCATENATE("R",'Mapa final'!$A$11),"")</f>
        <v/>
      </c>
      <c r="Q14" s="354"/>
      <c r="R14" s="354" t="str">
        <f>IF(AND('Mapa final'!$L$14="Alta",'Mapa final'!$P$14="Menor"),CONCATENATE("R",'Mapa final'!$A$14),"")</f>
        <v>R2</v>
      </c>
      <c r="S14" s="354"/>
      <c r="T14" s="354" t="str">
        <f>IF(AND('Mapa final'!$L$16="Alta",'Mapa final'!$P$16="Menor"),CONCATENATE("R",'Mapa final'!$A$16),"")</f>
        <v/>
      </c>
      <c r="U14" s="355"/>
      <c r="V14" s="371" t="str">
        <f>IF(AND('Mapa final'!$L$11="Alta",'Mapa final'!$P$11="Moderado"),CONCATENATE("R",'Mapa final'!$A$11),"")</f>
        <v/>
      </c>
      <c r="W14" s="372"/>
      <c r="X14" s="372" t="str">
        <f>IF(AND('Mapa final'!$L$14="Alta",'Mapa final'!$P$14="Moderado"),CONCATENATE("R",'Mapa final'!$A$14),"")</f>
        <v/>
      </c>
      <c r="Y14" s="372"/>
      <c r="Z14" s="372" t="str">
        <f>IF(AND('Mapa final'!$L$16="Alta",'Mapa final'!$P$16="Moderado"),CONCATENATE("R",'Mapa final'!$A$16),"")</f>
        <v/>
      </c>
      <c r="AA14" s="373"/>
      <c r="AB14" s="371" t="str">
        <f>IF(AND('Mapa final'!$L$11="Alta",'Mapa final'!$P$11="Mayor"),CONCATENATE("R",'Mapa final'!$A$11),"")</f>
        <v/>
      </c>
      <c r="AC14" s="372"/>
      <c r="AD14" s="372" t="str">
        <f>IF(AND('Mapa final'!$L$14="Alta",'Mapa final'!$P$14="Mayor"),CONCATENATE("R",'Mapa final'!$A$14),"")</f>
        <v/>
      </c>
      <c r="AE14" s="372"/>
      <c r="AF14" s="372" t="str">
        <f>IF(AND('Mapa final'!$L$16="Alta",'Mapa final'!$P$16="Mayor"),CONCATENATE("R",'Mapa final'!$A$16),"")</f>
        <v/>
      </c>
      <c r="AG14" s="373"/>
      <c r="AH14" s="362" t="str">
        <f>IF(AND('Mapa final'!$L$11="Alta",'Mapa final'!$P$11="Catastrófico"),CONCATENATE("R",'Mapa final'!$A$11),"")</f>
        <v/>
      </c>
      <c r="AI14" s="363"/>
      <c r="AJ14" s="363" t="str">
        <f>IF(AND('Mapa final'!$L$14="Alta",'Mapa final'!$P$14="Catastrófico"),CONCATENATE("R",'Mapa final'!$A$14),"")</f>
        <v/>
      </c>
      <c r="AK14" s="363"/>
      <c r="AL14" s="363" t="str">
        <f>IF(AND('Mapa final'!$L$16="Alta",'Mapa final'!$P$16="Catastrófico"),CONCATENATE("R",'Mapa final'!$A$16),"")</f>
        <v/>
      </c>
      <c r="AM14" s="364"/>
      <c r="AN14" s="80"/>
      <c r="AO14" s="396" t="s">
        <v>175</v>
      </c>
      <c r="AP14" s="397"/>
      <c r="AQ14" s="397"/>
      <c r="AR14" s="397"/>
      <c r="AS14" s="397"/>
      <c r="AT14" s="398"/>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385"/>
      <c r="C15" s="385"/>
      <c r="D15" s="386"/>
      <c r="E15" s="378"/>
      <c r="F15" s="379"/>
      <c r="G15" s="379"/>
      <c r="H15" s="379"/>
      <c r="I15" s="379"/>
      <c r="J15" s="347"/>
      <c r="K15" s="348"/>
      <c r="L15" s="348"/>
      <c r="M15" s="348"/>
      <c r="N15" s="348"/>
      <c r="O15" s="349"/>
      <c r="P15" s="347"/>
      <c r="Q15" s="348"/>
      <c r="R15" s="348"/>
      <c r="S15" s="348"/>
      <c r="T15" s="348"/>
      <c r="U15" s="349"/>
      <c r="V15" s="365"/>
      <c r="W15" s="366"/>
      <c r="X15" s="366"/>
      <c r="Y15" s="366"/>
      <c r="Z15" s="366"/>
      <c r="AA15" s="367"/>
      <c r="AB15" s="365"/>
      <c r="AC15" s="366"/>
      <c r="AD15" s="366"/>
      <c r="AE15" s="366"/>
      <c r="AF15" s="366"/>
      <c r="AG15" s="367"/>
      <c r="AH15" s="356"/>
      <c r="AI15" s="357"/>
      <c r="AJ15" s="357"/>
      <c r="AK15" s="357"/>
      <c r="AL15" s="357"/>
      <c r="AM15" s="358"/>
      <c r="AN15" s="80"/>
      <c r="AO15" s="399"/>
      <c r="AP15" s="400"/>
      <c r="AQ15" s="400"/>
      <c r="AR15" s="400"/>
      <c r="AS15" s="400"/>
      <c r="AT15" s="401"/>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385"/>
      <c r="C16" s="385"/>
      <c r="D16" s="386"/>
      <c r="E16" s="378"/>
      <c r="F16" s="379"/>
      <c r="G16" s="379"/>
      <c r="H16" s="379"/>
      <c r="I16" s="379"/>
      <c r="J16" s="347" t="str">
        <f>IF(AND('Mapa final'!$L$17="Alta",'Mapa final'!$P$17="Leve"),CONCATENATE("R",'Mapa final'!$A$17),"")</f>
        <v/>
      </c>
      <c r="K16" s="348"/>
      <c r="L16" s="348" t="str">
        <f>IF(AND('Mapa final'!$L$23="Alta",'Mapa final'!$P$23="Leve"),CONCATENATE("R",'Mapa final'!$A$23),"")</f>
        <v/>
      </c>
      <c r="M16" s="348"/>
      <c r="N16" s="348" t="str">
        <f>IF(AND('Mapa final'!$L$29="Alta",'Mapa final'!$P$29="Leve"),CONCATENATE("R",'Mapa final'!$A$29),"")</f>
        <v/>
      </c>
      <c r="O16" s="349"/>
      <c r="P16" s="347" t="str">
        <f>IF(AND('Mapa final'!$L$17="Alta",'Mapa final'!$P$17="Menor"),CONCATENATE("R",'Mapa final'!$A$17),"")</f>
        <v/>
      </c>
      <c r="Q16" s="348"/>
      <c r="R16" s="348" t="str">
        <f>IF(AND('Mapa final'!$L$23="Alta",'Mapa final'!$P$23="Menor"),CONCATENATE("R",'Mapa final'!$A$23),"")</f>
        <v/>
      </c>
      <c r="S16" s="348"/>
      <c r="T16" s="348" t="str">
        <f>IF(AND('Mapa final'!$L$29="Alta",'Mapa final'!$P$29="Menor"),CONCATENATE("R",'Mapa final'!$A$29),"")</f>
        <v/>
      </c>
      <c r="U16" s="349"/>
      <c r="V16" s="365" t="str">
        <f>IF(AND('Mapa final'!$L$17="Alta",'Mapa final'!$P$17="Moderado"),CONCATENATE("R",'Mapa final'!$A$17),"")</f>
        <v/>
      </c>
      <c r="W16" s="366"/>
      <c r="X16" s="366" t="str">
        <f>IF(AND('Mapa final'!$L$23="Alta",'Mapa final'!$P$23="Moderado"),CONCATENATE("R",'Mapa final'!$A$23),"")</f>
        <v/>
      </c>
      <c r="Y16" s="366"/>
      <c r="Z16" s="366" t="str">
        <f>IF(AND('Mapa final'!$L$29="Alta",'Mapa final'!$P$29="Moderado"),CONCATENATE("R",'Mapa final'!$A$29),"")</f>
        <v/>
      </c>
      <c r="AA16" s="367"/>
      <c r="AB16" s="365" t="str">
        <f>IF(AND('Mapa final'!$L$17="Alta",'Mapa final'!$P$17="Mayor"),CONCATENATE("R",'Mapa final'!$A$17),"")</f>
        <v/>
      </c>
      <c r="AC16" s="366"/>
      <c r="AD16" s="366" t="str">
        <f>IF(AND('Mapa final'!$L$23="Alta",'Mapa final'!$P$23="Mayor"),CONCATENATE("R",'Mapa final'!$A$23),"")</f>
        <v/>
      </c>
      <c r="AE16" s="366"/>
      <c r="AF16" s="366" t="str">
        <f>IF(AND('Mapa final'!$L$29="Alta",'Mapa final'!$P$29="Mayor"),CONCATENATE("R",'Mapa final'!$A$29),"")</f>
        <v/>
      </c>
      <c r="AG16" s="367"/>
      <c r="AH16" s="356" t="str">
        <f>IF(AND('Mapa final'!$L$17="Alta",'Mapa final'!$P$17="Catastrófico"),CONCATENATE("R",'Mapa final'!$A$17),"")</f>
        <v/>
      </c>
      <c r="AI16" s="357"/>
      <c r="AJ16" s="357" t="str">
        <f>IF(AND('Mapa final'!$L$23="Alta",'Mapa final'!$P$23="Catastrófico"),CONCATENATE("R",'Mapa final'!$A$23),"")</f>
        <v/>
      </c>
      <c r="AK16" s="357"/>
      <c r="AL16" s="357" t="str">
        <f>IF(AND('Mapa final'!$L$29="Alta",'Mapa final'!$P$29="Catastrófico"),CONCATENATE("R",'Mapa final'!$A$29),"")</f>
        <v/>
      </c>
      <c r="AM16" s="358"/>
      <c r="AN16" s="80"/>
      <c r="AO16" s="399"/>
      <c r="AP16" s="400"/>
      <c r="AQ16" s="400"/>
      <c r="AR16" s="400"/>
      <c r="AS16" s="400"/>
      <c r="AT16" s="401"/>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385"/>
      <c r="C17" s="385"/>
      <c r="D17" s="386"/>
      <c r="E17" s="378"/>
      <c r="F17" s="379"/>
      <c r="G17" s="379"/>
      <c r="H17" s="379"/>
      <c r="I17" s="379"/>
      <c r="J17" s="347"/>
      <c r="K17" s="348"/>
      <c r="L17" s="348"/>
      <c r="M17" s="348"/>
      <c r="N17" s="348"/>
      <c r="O17" s="349"/>
      <c r="P17" s="347"/>
      <c r="Q17" s="348"/>
      <c r="R17" s="348"/>
      <c r="S17" s="348"/>
      <c r="T17" s="348"/>
      <c r="U17" s="349"/>
      <c r="V17" s="365"/>
      <c r="W17" s="366"/>
      <c r="X17" s="366"/>
      <c r="Y17" s="366"/>
      <c r="Z17" s="366"/>
      <c r="AA17" s="367"/>
      <c r="AB17" s="365"/>
      <c r="AC17" s="366"/>
      <c r="AD17" s="366"/>
      <c r="AE17" s="366"/>
      <c r="AF17" s="366"/>
      <c r="AG17" s="367"/>
      <c r="AH17" s="356"/>
      <c r="AI17" s="357"/>
      <c r="AJ17" s="357"/>
      <c r="AK17" s="357"/>
      <c r="AL17" s="357"/>
      <c r="AM17" s="358"/>
      <c r="AN17" s="80"/>
      <c r="AO17" s="399"/>
      <c r="AP17" s="400"/>
      <c r="AQ17" s="400"/>
      <c r="AR17" s="400"/>
      <c r="AS17" s="400"/>
      <c r="AT17" s="401"/>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385"/>
      <c r="C18" s="385"/>
      <c r="D18" s="386"/>
      <c r="E18" s="378"/>
      <c r="F18" s="379"/>
      <c r="G18" s="379"/>
      <c r="H18" s="379"/>
      <c r="I18" s="379"/>
      <c r="J18" s="347" t="str">
        <f>IF(AND('Mapa final'!$L$35="Alta",'Mapa final'!$P$35="Leve"),CONCATENATE("R",'Mapa final'!$A$35),"")</f>
        <v/>
      </c>
      <c r="K18" s="348"/>
      <c r="L18" s="348" t="str">
        <f>IF(AND('Mapa final'!$L$41="Alta",'Mapa final'!$P$41="Leve"),CONCATENATE("R",'Mapa final'!$A$41),"")</f>
        <v/>
      </c>
      <c r="M18" s="348"/>
      <c r="N18" s="348" t="str">
        <f>IF(AND('Mapa final'!$L$47="Alta",'Mapa final'!$P$47="Leve"),CONCATENATE("R",'Mapa final'!$A$47),"")</f>
        <v/>
      </c>
      <c r="O18" s="349"/>
      <c r="P18" s="347" t="str">
        <f>IF(AND('Mapa final'!$L$35="Alta",'Mapa final'!$P$35="Menor"),CONCATENATE("R",'Mapa final'!$A$35),"")</f>
        <v/>
      </c>
      <c r="Q18" s="348"/>
      <c r="R18" s="348" t="str">
        <f>IF(AND('Mapa final'!$L$41="Alta",'Mapa final'!$P$41="Menor"),CONCATENATE("R",'Mapa final'!$A$41),"")</f>
        <v/>
      </c>
      <c r="S18" s="348"/>
      <c r="T18" s="348" t="str">
        <f>IF(AND('Mapa final'!$L$47="Alta",'Mapa final'!$P$47="Menor"),CONCATENATE("R",'Mapa final'!$A$47),"")</f>
        <v/>
      </c>
      <c r="U18" s="349"/>
      <c r="V18" s="365" t="str">
        <f>IF(AND('Mapa final'!$L$35="Alta",'Mapa final'!$P$35="Moderado"),CONCATENATE("R",'Mapa final'!$A$35),"")</f>
        <v/>
      </c>
      <c r="W18" s="366"/>
      <c r="X18" s="366" t="str">
        <f>IF(AND('Mapa final'!$L$41="Alta",'Mapa final'!$P$41="Moderado"),CONCATENATE("R",'Mapa final'!$A$41),"")</f>
        <v/>
      </c>
      <c r="Y18" s="366"/>
      <c r="Z18" s="366" t="str">
        <f>IF(AND('Mapa final'!$L$47="Alta",'Mapa final'!$P$47="Moderado"),CONCATENATE("R",'Mapa final'!$A$47),"")</f>
        <v/>
      </c>
      <c r="AA18" s="367"/>
      <c r="AB18" s="365" t="str">
        <f>IF(AND('Mapa final'!$L$35="Alta",'Mapa final'!$P$35="Mayor"),CONCATENATE("R",'Mapa final'!$A$35),"")</f>
        <v/>
      </c>
      <c r="AC18" s="366"/>
      <c r="AD18" s="366" t="str">
        <f>IF(AND('Mapa final'!$L$41="Alta",'Mapa final'!$P$41="Mayor"),CONCATENATE("R",'Mapa final'!$A$41),"")</f>
        <v/>
      </c>
      <c r="AE18" s="366"/>
      <c r="AF18" s="366" t="str">
        <f>IF(AND('Mapa final'!$L$47="Alta",'Mapa final'!$P$47="Mayor"),CONCATENATE("R",'Mapa final'!$A$47),"")</f>
        <v/>
      </c>
      <c r="AG18" s="367"/>
      <c r="AH18" s="356" t="str">
        <f>IF(AND('Mapa final'!$L$35="Alta",'Mapa final'!$P$35="Catastrófico"),CONCATENATE("R",'Mapa final'!$A$35),"")</f>
        <v/>
      </c>
      <c r="AI18" s="357"/>
      <c r="AJ18" s="357" t="str">
        <f>IF(AND('Mapa final'!$L$41="Alta",'Mapa final'!$P$41="Catastrófico"),CONCATENATE("R",'Mapa final'!$A$41),"")</f>
        <v/>
      </c>
      <c r="AK18" s="357"/>
      <c r="AL18" s="357" t="str">
        <f>IF(AND('Mapa final'!$L$47="Alta",'Mapa final'!$P$47="Catastrófico"),CONCATENATE("R",'Mapa final'!$A$47),"")</f>
        <v/>
      </c>
      <c r="AM18" s="358"/>
      <c r="AN18" s="80"/>
      <c r="AO18" s="399"/>
      <c r="AP18" s="400"/>
      <c r="AQ18" s="400"/>
      <c r="AR18" s="400"/>
      <c r="AS18" s="400"/>
      <c r="AT18" s="401"/>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385"/>
      <c r="C19" s="385"/>
      <c r="D19" s="386"/>
      <c r="E19" s="378"/>
      <c r="F19" s="379"/>
      <c r="G19" s="379"/>
      <c r="H19" s="379"/>
      <c r="I19" s="379"/>
      <c r="J19" s="347"/>
      <c r="K19" s="348"/>
      <c r="L19" s="348"/>
      <c r="M19" s="348"/>
      <c r="N19" s="348"/>
      <c r="O19" s="349"/>
      <c r="P19" s="347"/>
      <c r="Q19" s="348"/>
      <c r="R19" s="348"/>
      <c r="S19" s="348"/>
      <c r="T19" s="348"/>
      <c r="U19" s="349"/>
      <c r="V19" s="365"/>
      <c r="W19" s="366"/>
      <c r="X19" s="366"/>
      <c r="Y19" s="366"/>
      <c r="Z19" s="366"/>
      <c r="AA19" s="367"/>
      <c r="AB19" s="365"/>
      <c r="AC19" s="366"/>
      <c r="AD19" s="366"/>
      <c r="AE19" s="366"/>
      <c r="AF19" s="366"/>
      <c r="AG19" s="367"/>
      <c r="AH19" s="356"/>
      <c r="AI19" s="357"/>
      <c r="AJ19" s="357"/>
      <c r="AK19" s="357"/>
      <c r="AL19" s="357"/>
      <c r="AM19" s="358"/>
      <c r="AN19" s="80"/>
      <c r="AO19" s="399"/>
      <c r="AP19" s="400"/>
      <c r="AQ19" s="400"/>
      <c r="AR19" s="400"/>
      <c r="AS19" s="400"/>
      <c r="AT19" s="401"/>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385"/>
      <c r="C20" s="385"/>
      <c r="D20" s="386"/>
      <c r="E20" s="378"/>
      <c r="F20" s="379"/>
      <c r="G20" s="379"/>
      <c r="H20" s="379"/>
      <c r="I20" s="379"/>
      <c r="J20" s="347" t="str">
        <f>IF(AND('Mapa final'!$L$53="Alta",'Mapa final'!$P$53="Leve"),CONCATENATE("R",'Mapa final'!$A$53),"")</f>
        <v/>
      </c>
      <c r="K20" s="348"/>
      <c r="L20" s="348" t="str">
        <f>IF(AND('Mapa final'!$L$59="Alta",'Mapa final'!$P$59="Leve"),CONCATENATE("R",'Mapa final'!$A$59),"")</f>
        <v/>
      </c>
      <c r="M20" s="348"/>
      <c r="N20" s="348" t="str">
        <f>IF(AND('Mapa final'!$L$65="Alta",'Mapa final'!$P$65="Leve"),CONCATENATE("R",'Mapa final'!$A$65),"")</f>
        <v/>
      </c>
      <c r="O20" s="349"/>
      <c r="P20" s="347" t="str">
        <f>IF(AND('Mapa final'!$L$53="Alta",'Mapa final'!$P$53="Menor"),CONCATENATE("R",'Mapa final'!$A$53),"")</f>
        <v/>
      </c>
      <c r="Q20" s="348"/>
      <c r="R20" s="348" t="str">
        <f>IF(AND('Mapa final'!$L$59="Alta",'Mapa final'!$P$59="Menor"),CONCATENATE("R",'Mapa final'!$A$59),"")</f>
        <v/>
      </c>
      <c r="S20" s="348"/>
      <c r="T20" s="348" t="str">
        <f>IF(AND('Mapa final'!$L$65="Alta",'Mapa final'!$P$65="Menor"),CONCATENATE("R",'Mapa final'!$A$65),"")</f>
        <v/>
      </c>
      <c r="U20" s="349"/>
      <c r="V20" s="365" t="str">
        <f>IF(AND('Mapa final'!$L$53="Alta",'Mapa final'!$P$53="Moderado"),CONCATENATE("R",'Mapa final'!$A$53),"")</f>
        <v/>
      </c>
      <c r="W20" s="366"/>
      <c r="X20" s="366" t="str">
        <f>IF(AND('Mapa final'!$L$59="Alta",'Mapa final'!$P$59="Moderado"),CONCATENATE("R",'Mapa final'!$A$59),"")</f>
        <v/>
      </c>
      <c r="Y20" s="366"/>
      <c r="Z20" s="366" t="str">
        <f>IF(AND('Mapa final'!$L$65="Alta",'Mapa final'!$P$65="Moderado"),CONCATENATE("R",'Mapa final'!$A$65),"")</f>
        <v/>
      </c>
      <c r="AA20" s="367"/>
      <c r="AB20" s="365" t="str">
        <f>IF(AND('Mapa final'!$L$53="Alta",'Mapa final'!$P$53="Mayor"),CONCATENATE("R",'Mapa final'!$A$53),"")</f>
        <v/>
      </c>
      <c r="AC20" s="366"/>
      <c r="AD20" s="366" t="str">
        <f>IF(AND('Mapa final'!$L$59="Alta",'Mapa final'!$P$59="Mayor"),CONCATENATE("R",'Mapa final'!$A$59),"")</f>
        <v/>
      </c>
      <c r="AE20" s="366"/>
      <c r="AF20" s="366" t="str">
        <f>IF(AND('Mapa final'!$L$65="Alta",'Mapa final'!$P$65="Mayor"),CONCATENATE("R",'Mapa final'!$A$65),"")</f>
        <v/>
      </c>
      <c r="AG20" s="367"/>
      <c r="AH20" s="356" t="str">
        <f>IF(AND('Mapa final'!$L$53="Alta",'Mapa final'!$P$53="Catastrófico"),CONCATENATE("R",'Mapa final'!$A$53),"")</f>
        <v/>
      </c>
      <c r="AI20" s="357"/>
      <c r="AJ20" s="357" t="str">
        <f>IF(AND('Mapa final'!$L$59="Alta",'Mapa final'!$P$59="Catastrófico"),CONCATENATE("R",'Mapa final'!$A$59),"")</f>
        <v/>
      </c>
      <c r="AK20" s="357"/>
      <c r="AL20" s="357" t="str">
        <f>IF(AND('Mapa final'!$L$65="Alta",'Mapa final'!$P$65="Catastrófico"),CONCATENATE("R",'Mapa final'!$A$65),"")</f>
        <v/>
      </c>
      <c r="AM20" s="358"/>
      <c r="AN20" s="80"/>
      <c r="AO20" s="399"/>
      <c r="AP20" s="400"/>
      <c r="AQ20" s="400"/>
      <c r="AR20" s="400"/>
      <c r="AS20" s="400"/>
      <c r="AT20" s="401"/>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385"/>
      <c r="C21" s="385"/>
      <c r="D21" s="386"/>
      <c r="E21" s="381"/>
      <c r="F21" s="382"/>
      <c r="G21" s="382"/>
      <c r="H21" s="382"/>
      <c r="I21" s="382"/>
      <c r="J21" s="350"/>
      <c r="K21" s="351"/>
      <c r="L21" s="351"/>
      <c r="M21" s="351"/>
      <c r="N21" s="351"/>
      <c r="O21" s="352"/>
      <c r="P21" s="350"/>
      <c r="Q21" s="351"/>
      <c r="R21" s="351"/>
      <c r="S21" s="351"/>
      <c r="T21" s="351"/>
      <c r="U21" s="352"/>
      <c r="V21" s="368"/>
      <c r="W21" s="369"/>
      <c r="X21" s="369"/>
      <c r="Y21" s="369"/>
      <c r="Z21" s="369"/>
      <c r="AA21" s="370"/>
      <c r="AB21" s="368"/>
      <c r="AC21" s="369"/>
      <c r="AD21" s="369"/>
      <c r="AE21" s="369"/>
      <c r="AF21" s="369"/>
      <c r="AG21" s="370"/>
      <c r="AH21" s="359"/>
      <c r="AI21" s="360"/>
      <c r="AJ21" s="360"/>
      <c r="AK21" s="360"/>
      <c r="AL21" s="360"/>
      <c r="AM21" s="361"/>
      <c r="AN21" s="80"/>
      <c r="AO21" s="402"/>
      <c r="AP21" s="403"/>
      <c r="AQ21" s="403"/>
      <c r="AR21" s="403"/>
      <c r="AS21" s="403"/>
      <c r="AT21" s="404"/>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385"/>
      <c r="C22" s="385"/>
      <c r="D22" s="386"/>
      <c r="E22" s="375" t="s">
        <v>176</v>
      </c>
      <c r="F22" s="376"/>
      <c r="G22" s="376"/>
      <c r="H22" s="376"/>
      <c r="I22" s="377"/>
      <c r="J22" s="353" t="str">
        <f>IF(AND('Mapa final'!$L$11="Media",'Mapa final'!$P$11="Leve"),CONCATENATE("R",'Mapa final'!$A$11),"")</f>
        <v/>
      </c>
      <c r="K22" s="354"/>
      <c r="L22" s="354" t="str">
        <f>IF(AND('Mapa final'!$L$14="Media",'Mapa final'!$P$14="Leve"),CONCATENATE("R",'Mapa final'!$A$14),"")</f>
        <v/>
      </c>
      <c r="M22" s="354"/>
      <c r="N22" s="354" t="str">
        <f>IF(AND('Mapa final'!$L$16="Media",'Mapa final'!$P$16="Leve"),CONCATENATE("R",'Mapa final'!$A$16),"")</f>
        <v/>
      </c>
      <c r="O22" s="355"/>
      <c r="P22" s="353" t="str">
        <f>IF(AND('Mapa final'!$L$11="Media",'Mapa final'!$P$11="Menor"),CONCATENATE("R",'Mapa final'!$A$11),"")</f>
        <v>R1</v>
      </c>
      <c r="Q22" s="354"/>
      <c r="R22" s="354" t="str">
        <f>IF(AND('Mapa final'!$L$14="Media",'Mapa final'!$P$14="Menor"),CONCATENATE("R",'Mapa final'!$A$14),"")</f>
        <v/>
      </c>
      <c r="S22" s="354"/>
      <c r="T22" s="354" t="str">
        <f>IF(AND('Mapa final'!$L$16="Media",'Mapa final'!$P$16="Menor"),CONCATENATE("R",'Mapa final'!$A$16),"")</f>
        <v>R3</v>
      </c>
      <c r="U22" s="355"/>
      <c r="V22" s="353" t="str">
        <f>IF(AND('Mapa final'!$L$11="Media",'Mapa final'!$P$11="Moderado"),CONCATENATE("R",'Mapa final'!$A$11),"")</f>
        <v/>
      </c>
      <c r="W22" s="354"/>
      <c r="X22" s="354" t="str">
        <f>IF(AND('Mapa final'!$L$14="Media",'Mapa final'!$P$14="Moderado"),CONCATENATE("R",'Mapa final'!$A$14),"")</f>
        <v/>
      </c>
      <c r="Y22" s="354"/>
      <c r="Z22" s="354" t="str">
        <f>IF(AND('Mapa final'!$L$16="Media",'Mapa final'!$P$16="Moderado"),CONCATENATE("R",'Mapa final'!$A$16),"")</f>
        <v/>
      </c>
      <c r="AA22" s="355"/>
      <c r="AB22" s="371" t="str">
        <f>IF(AND('Mapa final'!$L$11="Media",'Mapa final'!$P$11="Mayor"),CONCATENATE("R",'Mapa final'!$A$11),"")</f>
        <v/>
      </c>
      <c r="AC22" s="372"/>
      <c r="AD22" s="372" t="str">
        <f>IF(AND('Mapa final'!$L$14="Media",'Mapa final'!$P$14="Mayor"),CONCATENATE("R",'Mapa final'!$A$14),"")</f>
        <v/>
      </c>
      <c r="AE22" s="372"/>
      <c r="AF22" s="372" t="str">
        <f>IF(AND('Mapa final'!$L$16="Media",'Mapa final'!$P$16="Mayor"),CONCATENATE("R",'Mapa final'!$A$16),"")</f>
        <v/>
      </c>
      <c r="AG22" s="373"/>
      <c r="AH22" s="362" t="str">
        <f>IF(AND('Mapa final'!$L$11="Media",'Mapa final'!$P$11="Catastrófico"),CONCATENATE("R",'Mapa final'!$A$11),"")</f>
        <v/>
      </c>
      <c r="AI22" s="363"/>
      <c r="AJ22" s="363" t="str">
        <f>IF(AND('Mapa final'!$L$14="Media",'Mapa final'!$P$14="Catastrófico"),CONCATENATE("R",'Mapa final'!$A$14),"")</f>
        <v/>
      </c>
      <c r="AK22" s="363"/>
      <c r="AL22" s="363" t="str">
        <f>IF(AND('Mapa final'!$L$16="Media",'Mapa final'!$P$16="Catastrófico"),CONCATENATE("R",'Mapa final'!$A$16),"")</f>
        <v/>
      </c>
      <c r="AM22" s="364"/>
      <c r="AN22" s="80"/>
      <c r="AO22" s="405" t="s">
        <v>177</v>
      </c>
      <c r="AP22" s="406"/>
      <c r="AQ22" s="406"/>
      <c r="AR22" s="406"/>
      <c r="AS22" s="406"/>
      <c r="AT22" s="407"/>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385"/>
      <c r="C23" s="385"/>
      <c r="D23" s="386"/>
      <c r="E23" s="378"/>
      <c r="F23" s="379"/>
      <c r="G23" s="379"/>
      <c r="H23" s="379"/>
      <c r="I23" s="380"/>
      <c r="J23" s="347"/>
      <c r="K23" s="348"/>
      <c r="L23" s="348"/>
      <c r="M23" s="348"/>
      <c r="N23" s="348"/>
      <c r="O23" s="349"/>
      <c r="P23" s="347"/>
      <c r="Q23" s="348"/>
      <c r="R23" s="348"/>
      <c r="S23" s="348"/>
      <c r="T23" s="348"/>
      <c r="U23" s="349"/>
      <c r="V23" s="347"/>
      <c r="W23" s="348"/>
      <c r="X23" s="348"/>
      <c r="Y23" s="348"/>
      <c r="Z23" s="348"/>
      <c r="AA23" s="349"/>
      <c r="AB23" s="365"/>
      <c r="AC23" s="366"/>
      <c r="AD23" s="366"/>
      <c r="AE23" s="366"/>
      <c r="AF23" s="366"/>
      <c r="AG23" s="367"/>
      <c r="AH23" s="356"/>
      <c r="AI23" s="357"/>
      <c r="AJ23" s="357"/>
      <c r="AK23" s="357"/>
      <c r="AL23" s="357"/>
      <c r="AM23" s="358"/>
      <c r="AN23" s="80"/>
      <c r="AO23" s="408"/>
      <c r="AP23" s="409"/>
      <c r="AQ23" s="409"/>
      <c r="AR23" s="409"/>
      <c r="AS23" s="409"/>
      <c r="AT23" s="410"/>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385"/>
      <c r="C24" s="385"/>
      <c r="D24" s="386"/>
      <c r="E24" s="378"/>
      <c r="F24" s="379"/>
      <c r="G24" s="379"/>
      <c r="H24" s="379"/>
      <c r="I24" s="380"/>
      <c r="J24" s="347" t="str">
        <f>IF(AND('Mapa final'!$L$17="Media",'Mapa final'!$P$17="Leve"),CONCATENATE("R",'Mapa final'!$A$17),"")</f>
        <v/>
      </c>
      <c r="K24" s="348"/>
      <c r="L24" s="348" t="str">
        <f>IF(AND('Mapa final'!$L$23="Media",'Mapa final'!$P$23="Leve"),CONCATENATE("R",'Mapa final'!$A$23),"")</f>
        <v/>
      </c>
      <c r="M24" s="348"/>
      <c r="N24" s="348" t="str">
        <f>IF(AND('Mapa final'!$L$29="Media",'Mapa final'!$P$29="Leve"),CONCATENATE("R",'Mapa final'!$A$29),"")</f>
        <v/>
      </c>
      <c r="O24" s="349"/>
      <c r="P24" s="347" t="str">
        <f>IF(AND('Mapa final'!$L$17="Media",'Mapa final'!$P$17="Menor"),CONCATENATE("R",'Mapa final'!$A$17),"")</f>
        <v/>
      </c>
      <c r="Q24" s="348"/>
      <c r="R24" s="348" t="str">
        <f>IF(AND('Mapa final'!$L$23="Media",'Mapa final'!$P$23="Menor"),CONCATENATE("R",'Mapa final'!$A$23),"")</f>
        <v/>
      </c>
      <c r="S24" s="348"/>
      <c r="T24" s="348" t="str">
        <f>IF(AND('Mapa final'!$L$29="Media",'Mapa final'!$P$29="Menor"),CONCATENATE("R",'Mapa final'!$A$29),"")</f>
        <v/>
      </c>
      <c r="U24" s="349"/>
      <c r="V24" s="347" t="str">
        <f>IF(AND('Mapa final'!$L$17="Media",'Mapa final'!$P$17="Moderado"),CONCATENATE("R",'Mapa final'!$A$17),"")</f>
        <v/>
      </c>
      <c r="W24" s="348"/>
      <c r="X24" s="348" t="str">
        <f>IF(AND('Mapa final'!$L$23="Media",'Mapa final'!$P$23="Moderado"),CONCATENATE("R",'Mapa final'!$A$23),"")</f>
        <v/>
      </c>
      <c r="Y24" s="348"/>
      <c r="Z24" s="348" t="str">
        <f>IF(AND('Mapa final'!$L$29="Media",'Mapa final'!$P$29="Moderado"),CONCATENATE("R",'Mapa final'!$A$29),"")</f>
        <v/>
      </c>
      <c r="AA24" s="349"/>
      <c r="AB24" s="365" t="str">
        <f>IF(AND('Mapa final'!$L$17="Media",'Mapa final'!$P$17="Mayor"),CONCATENATE("R",'Mapa final'!$A$17),"")</f>
        <v/>
      </c>
      <c r="AC24" s="366"/>
      <c r="AD24" s="366" t="str">
        <f>IF(AND('Mapa final'!$L$23="Media",'Mapa final'!$P$23="Mayor"),CONCATENATE("R",'Mapa final'!$A$23),"")</f>
        <v/>
      </c>
      <c r="AE24" s="366"/>
      <c r="AF24" s="366" t="str">
        <f>IF(AND('Mapa final'!$L$29="Media",'Mapa final'!$P$29="Mayor"),CONCATENATE("R",'Mapa final'!$A$29),"")</f>
        <v/>
      </c>
      <c r="AG24" s="367"/>
      <c r="AH24" s="356" t="str">
        <f>IF(AND('Mapa final'!$L$17="Media",'Mapa final'!$P$17="Catastrófico"),CONCATENATE("R",'Mapa final'!$A$17),"")</f>
        <v/>
      </c>
      <c r="AI24" s="357"/>
      <c r="AJ24" s="357" t="str">
        <f>IF(AND('Mapa final'!$L$23="Media",'Mapa final'!$P$23="Catastrófico"),CONCATENATE("R",'Mapa final'!$A$23),"")</f>
        <v/>
      </c>
      <c r="AK24" s="357"/>
      <c r="AL24" s="357" t="str">
        <f>IF(AND('Mapa final'!$L$29="Media",'Mapa final'!$P$29="Catastrófico"),CONCATENATE("R",'Mapa final'!$A$29),"")</f>
        <v/>
      </c>
      <c r="AM24" s="358"/>
      <c r="AN24" s="80"/>
      <c r="AO24" s="408"/>
      <c r="AP24" s="409"/>
      <c r="AQ24" s="409"/>
      <c r="AR24" s="409"/>
      <c r="AS24" s="409"/>
      <c r="AT24" s="410"/>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385"/>
      <c r="C25" s="385"/>
      <c r="D25" s="386"/>
      <c r="E25" s="378"/>
      <c r="F25" s="379"/>
      <c r="G25" s="379"/>
      <c r="H25" s="379"/>
      <c r="I25" s="380"/>
      <c r="J25" s="347"/>
      <c r="K25" s="348"/>
      <c r="L25" s="348"/>
      <c r="M25" s="348"/>
      <c r="N25" s="348"/>
      <c r="O25" s="349"/>
      <c r="P25" s="347"/>
      <c r="Q25" s="348"/>
      <c r="R25" s="348"/>
      <c r="S25" s="348"/>
      <c r="T25" s="348"/>
      <c r="U25" s="349"/>
      <c r="V25" s="347"/>
      <c r="W25" s="348"/>
      <c r="X25" s="348"/>
      <c r="Y25" s="348"/>
      <c r="Z25" s="348"/>
      <c r="AA25" s="349"/>
      <c r="AB25" s="365"/>
      <c r="AC25" s="366"/>
      <c r="AD25" s="366"/>
      <c r="AE25" s="366"/>
      <c r="AF25" s="366"/>
      <c r="AG25" s="367"/>
      <c r="AH25" s="356"/>
      <c r="AI25" s="357"/>
      <c r="AJ25" s="357"/>
      <c r="AK25" s="357"/>
      <c r="AL25" s="357"/>
      <c r="AM25" s="358"/>
      <c r="AN25" s="80"/>
      <c r="AO25" s="408"/>
      <c r="AP25" s="409"/>
      <c r="AQ25" s="409"/>
      <c r="AR25" s="409"/>
      <c r="AS25" s="409"/>
      <c r="AT25" s="410"/>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385"/>
      <c r="C26" s="385"/>
      <c r="D26" s="386"/>
      <c r="E26" s="378"/>
      <c r="F26" s="379"/>
      <c r="G26" s="379"/>
      <c r="H26" s="379"/>
      <c r="I26" s="380"/>
      <c r="J26" s="347" t="str">
        <f>IF(AND('Mapa final'!$L$35="Media",'Mapa final'!$P$35="Leve"),CONCATENATE("R",'Mapa final'!$A$35),"")</f>
        <v/>
      </c>
      <c r="K26" s="348"/>
      <c r="L26" s="348" t="str">
        <f>IF(AND('Mapa final'!$L$41="Media",'Mapa final'!$P$41="Leve"),CONCATENATE("R",'Mapa final'!$A$41),"")</f>
        <v/>
      </c>
      <c r="M26" s="348"/>
      <c r="N26" s="348" t="str">
        <f>IF(AND('Mapa final'!$L$47="Media",'Mapa final'!$P$47="Leve"),CONCATENATE("R",'Mapa final'!$A$47),"")</f>
        <v/>
      </c>
      <c r="O26" s="349"/>
      <c r="P26" s="347" t="str">
        <f>IF(AND('Mapa final'!$L$35="Media",'Mapa final'!$P$35="Menor"),CONCATENATE("R",'Mapa final'!$A$35),"")</f>
        <v/>
      </c>
      <c r="Q26" s="348"/>
      <c r="R26" s="348" t="str">
        <f>IF(AND('Mapa final'!$L$41="Media",'Mapa final'!$P$41="Menor"),CONCATENATE("R",'Mapa final'!$A$41),"")</f>
        <v/>
      </c>
      <c r="S26" s="348"/>
      <c r="T26" s="348" t="str">
        <f>IF(AND('Mapa final'!$L$47="Media",'Mapa final'!$P$47="Menor"),CONCATENATE("R",'Mapa final'!$A$47),"")</f>
        <v/>
      </c>
      <c r="U26" s="349"/>
      <c r="V26" s="347" t="str">
        <f>IF(AND('Mapa final'!$L$35="Media",'Mapa final'!$P$35="Moderado"),CONCATENATE("R",'Mapa final'!$A$35),"")</f>
        <v/>
      </c>
      <c r="W26" s="348"/>
      <c r="X26" s="348" t="str">
        <f>IF(AND('Mapa final'!$L$41="Media",'Mapa final'!$P$41="Moderado"),CONCATENATE("R",'Mapa final'!$A$41),"")</f>
        <v/>
      </c>
      <c r="Y26" s="348"/>
      <c r="Z26" s="348" t="str">
        <f>IF(AND('Mapa final'!$L$47="Media",'Mapa final'!$P$47="Moderado"),CONCATENATE("R",'Mapa final'!$A$47),"")</f>
        <v/>
      </c>
      <c r="AA26" s="349"/>
      <c r="AB26" s="365" t="str">
        <f>IF(AND('Mapa final'!$L$35="Media",'Mapa final'!$P$35="Mayor"),CONCATENATE("R",'Mapa final'!$A$35),"")</f>
        <v/>
      </c>
      <c r="AC26" s="366"/>
      <c r="AD26" s="366" t="str">
        <f>IF(AND('Mapa final'!$L$41="Media",'Mapa final'!$P$41="Mayor"),CONCATENATE("R",'Mapa final'!$A$41),"")</f>
        <v/>
      </c>
      <c r="AE26" s="366"/>
      <c r="AF26" s="366" t="str">
        <f>IF(AND('Mapa final'!$L$47="Media",'Mapa final'!$P$47="Mayor"),CONCATENATE("R",'Mapa final'!$A$47),"")</f>
        <v/>
      </c>
      <c r="AG26" s="367"/>
      <c r="AH26" s="356" t="str">
        <f>IF(AND('Mapa final'!$L$35="Media",'Mapa final'!$P$35="Catastrófico"),CONCATENATE("R",'Mapa final'!$A$35),"")</f>
        <v/>
      </c>
      <c r="AI26" s="357"/>
      <c r="AJ26" s="357" t="str">
        <f>IF(AND('Mapa final'!$L$41="Media",'Mapa final'!$P$41="Catastrófico"),CONCATENATE("R",'Mapa final'!$A$41),"")</f>
        <v/>
      </c>
      <c r="AK26" s="357"/>
      <c r="AL26" s="357" t="str">
        <f>IF(AND('Mapa final'!$L$47="Media",'Mapa final'!$P$47="Catastrófico"),CONCATENATE("R",'Mapa final'!$A$47),"")</f>
        <v/>
      </c>
      <c r="AM26" s="358"/>
      <c r="AN26" s="80"/>
      <c r="AO26" s="408"/>
      <c r="AP26" s="409"/>
      <c r="AQ26" s="409"/>
      <c r="AR26" s="409"/>
      <c r="AS26" s="409"/>
      <c r="AT26" s="41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385"/>
      <c r="C27" s="385"/>
      <c r="D27" s="386"/>
      <c r="E27" s="378"/>
      <c r="F27" s="379"/>
      <c r="G27" s="379"/>
      <c r="H27" s="379"/>
      <c r="I27" s="380"/>
      <c r="J27" s="347"/>
      <c r="K27" s="348"/>
      <c r="L27" s="348"/>
      <c r="M27" s="348"/>
      <c r="N27" s="348"/>
      <c r="O27" s="349"/>
      <c r="P27" s="347"/>
      <c r="Q27" s="348"/>
      <c r="R27" s="348"/>
      <c r="S27" s="348"/>
      <c r="T27" s="348"/>
      <c r="U27" s="349"/>
      <c r="V27" s="347"/>
      <c r="W27" s="348"/>
      <c r="X27" s="348"/>
      <c r="Y27" s="348"/>
      <c r="Z27" s="348"/>
      <c r="AA27" s="349"/>
      <c r="AB27" s="365"/>
      <c r="AC27" s="366"/>
      <c r="AD27" s="366"/>
      <c r="AE27" s="366"/>
      <c r="AF27" s="366"/>
      <c r="AG27" s="367"/>
      <c r="AH27" s="356"/>
      <c r="AI27" s="357"/>
      <c r="AJ27" s="357"/>
      <c r="AK27" s="357"/>
      <c r="AL27" s="357"/>
      <c r="AM27" s="358"/>
      <c r="AN27" s="80"/>
      <c r="AO27" s="408"/>
      <c r="AP27" s="409"/>
      <c r="AQ27" s="409"/>
      <c r="AR27" s="409"/>
      <c r="AS27" s="409"/>
      <c r="AT27" s="41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385"/>
      <c r="C28" s="385"/>
      <c r="D28" s="386"/>
      <c r="E28" s="378"/>
      <c r="F28" s="379"/>
      <c r="G28" s="379"/>
      <c r="H28" s="379"/>
      <c r="I28" s="380"/>
      <c r="J28" s="347" t="str">
        <f>IF(AND('Mapa final'!$L$53="Media",'Mapa final'!$P$53="Leve"),CONCATENATE("R",'Mapa final'!$A$53),"")</f>
        <v/>
      </c>
      <c r="K28" s="348"/>
      <c r="L28" s="348" t="str">
        <f>IF(AND('Mapa final'!$L$59="Media",'Mapa final'!$P$59="Leve"),CONCATENATE("R",'Mapa final'!$A$59),"")</f>
        <v/>
      </c>
      <c r="M28" s="348"/>
      <c r="N28" s="348" t="str">
        <f>IF(AND('Mapa final'!$L$65="Media",'Mapa final'!$P$65="Leve"),CONCATENATE("R",'Mapa final'!$A$65),"")</f>
        <v/>
      </c>
      <c r="O28" s="349"/>
      <c r="P28" s="347" t="str">
        <f>IF(AND('Mapa final'!$L$53="Media",'Mapa final'!$P$53="Menor"),CONCATENATE("R",'Mapa final'!$A$53),"")</f>
        <v/>
      </c>
      <c r="Q28" s="348"/>
      <c r="R28" s="348" t="str">
        <f>IF(AND('Mapa final'!$L$59="Media",'Mapa final'!$P$59="Menor"),CONCATENATE("R",'Mapa final'!$A$59),"")</f>
        <v/>
      </c>
      <c r="S28" s="348"/>
      <c r="T28" s="348" t="str">
        <f>IF(AND('Mapa final'!$L$65="Media",'Mapa final'!$P$65="Menor"),CONCATENATE("R",'Mapa final'!$A$65),"")</f>
        <v/>
      </c>
      <c r="U28" s="349"/>
      <c r="V28" s="347" t="str">
        <f>IF(AND('Mapa final'!$L$53="Media",'Mapa final'!$P$53="Moderado"),CONCATENATE("R",'Mapa final'!$A$53),"")</f>
        <v/>
      </c>
      <c r="W28" s="348"/>
      <c r="X28" s="348" t="str">
        <f>IF(AND('Mapa final'!$L$59="Media",'Mapa final'!$P$59="Moderado"),CONCATENATE("R",'Mapa final'!$A$59),"")</f>
        <v/>
      </c>
      <c r="Y28" s="348"/>
      <c r="Z28" s="348" t="str">
        <f>IF(AND('Mapa final'!$L$65="Media",'Mapa final'!$P$65="Moderado"),CONCATENATE("R",'Mapa final'!$A$65),"")</f>
        <v/>
      </c>
      <c r="AA28" s="349"/>
      <c r="AB28" s="365" t="str">
        <f>IF(AND('Mapa final'!$L$53="Media",'Mapa final'!$P$53="Mayor"),CONCATENATE("R",'Mapa final'!$A$53),"")</f>
        <v/>
      </c>
      <c r="AC28" s="366"/>
      <c r="AD28" s="366" t="str">
        <f>IF(AND('Mapa final'!$L$59="Media",'Mapa final'!$P$59="Mayor"),CONCATENATE("R",'Mapa final'!$A$59),"")</f>
        <v/>
      </c>
      <c r="AE28" s="366"/>
      <c r="AF28" s="366" t="str">
        <f>IF(AND('Mapa final'!$L$65="Media",'Mapa final'!$P$65="Mayor"),CONCATENATE("R",'Mapa final'!$A$65),"")</f>
        <v/>
      </c>
      <c r="AG28" s="367"/>
      <c r="AH28" s="356" t="str">
        <f>IF(AND('Mapa final'!$L$53="Media",'Mapa final'!$P$53="Catastrófico"),CONCATENATE("R",'Mapa final'!$A$53),"")</f>
        <v/>
      </c>
      <c r="AI28" s="357"/>
      <c r="AJ28" s="357" t="str">
        <f>IF(AND('Mapa final'!$L$59="Media",'Mapa final'!$P$59="Catastrófico"),CONCATENATE("R",'Mapa final'!$A$59),"")</f>
        <v/>
      </c>
      <c r="AK28" s="357"/>
      <c r="AL28" s="357" t="str">
        <f>IF(AND('Mapa final'!$L$65="Media",'Mapa final'!$P$65="Catastrófico"),CONCATENATE("R",'Mapa final'!$A$65),"")</f>
        <v/>
      </c>
      <c r="AM28" s="358"/>
      <c r="AN28" s="80"/>
      <c r="AO28" s="408"/>
      <c r="AP28" s="409"/>
      <c r="AQ28" s="409"/>
      <c r="AR28" s="409"/>
      <c r="AS28" s="409"/>
      <c r="AT28" s="41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385"/>
      <c r="C29" s="385"/>
      <c r="D29" s="386"/>
      <c r="E29" s="381"/>
      <c r="F29" s="382"/>
      <c r="G29" s="382"/>
      <c r="H29" s="382"/>
      <c r="I29" s="383"/>
      <c r="J29" s="347"/>
      <c r="K29" s="348"/>
      <c r="L29" s="348"/>
      <c r="M29" s="348"/>
      <c r="N29" s="348"/>
      <c r="O29" s="349"/>
      <c r="P29" s="350"/>
      <c r="Q29" s="351"/>
      <c r="R29" s="351"/>
      <c r="S29" s="351"/>
      <c r="T29" s="351"/>
      <c r="U29" s="352"/>
      <c r="V29" s="350"/>
      <c r="W29" s="351"/>
      <c r="X29" s="351"/>
      <c r="Y29" s="351"/>
      <c r="Z29" s="351"/>
      <c r="AA29" s="352"/>
      <c r="AB29" s="368"/>
      <c r="AC29" s="369"/>
      <c r="AD29" s="369"/>
      <c r="AE29" s="369"/>
      <c r="AF29" s="369"/>
      <c r="AG29" s="370"/>
      <c r="AH29" s="359"/>
      <c r="AI29" s="360"/>
      <c r="AJ29" s="360"/>
      <c r="AK29" s="360"/>
      <c r="AL29" s="360"/>
      <c r="AM29" s="361"/>
      <c r="AN29" s="80"/>
      <c r="AO29" s="411"/>
      <c r="AP29" s="412"/>
      <c r="AQ29" s="412"/>
      <c r="AR29" s="412"/>
      <c r="AS29" s="412"/>
      <c r="AT29" s="413"/>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385"/>
      <c r="C30" s="385"/>
      <c r="D30" s="386"/>
      <c r="E30" s="375" t="s">
        <v>178</v>
      </c>
      <c r="F30" s="376"/>
      <c r="G30" s="376"/>
      <c r="H30" s="376"/>
      <c r="I30" s="376"/>
      <c r="J30" s="344" t="str">
        <f>IF(AND('Mapa final'!$L$11="Baja",'Mapa final'!$P$11="Leve"),CONCATENATE("R",'Mapa final'!$A$11),"")</f>
        <v/>
      </c>
      <c r="K30" s="345"/>
      <c r="L30" s="345" t="str">
        <f>IF(AND('Mapa final'!$L$14="Baja",'Mapa final'!$P$14="Leve"),CONCATENATE("R",'Mapa final'!$A$14),"")</f>
        <v/>
      </c>
      <c r="M30" s="345"/>
      <c r="N30" s="345" t="str">
        <f>IF(AND('Mapa final'!$L$16="Baja",'Mapa final'!$P$16="Leve"),CONCATENATE("R",'Mapa final'!$A$16),"")</f>
        <v/>
      </c>
      <c r="O30" s="346"/>
      <c r="P30" s="354" t="str">
        <f>IF(AND('Mapa final'!$L$11="Baja",'Mapa final'!$P$11="Menor"),CONCATENATE("R",'Mapa final'!$A$11),"")</f>
        <v/>
      </c>
      <c r="Q30" s="354"/>
      <c r="R30" s="354" t="str">
        <f>IF(AND('Mapa final'!$L$14="Baja",'Mapa final'!$P$14="Menor"),CONCATENATE("R",'Mapa final'!$A$14),"")</f>
        <v/>
      </c>
      <c r="S30" s="354"/>
      <c r="T30" s="354" t="str">
        <f>IF(AND('Mapa final'!$L$16="Baja",'Mapa final'!$P$16="Menor"),CONCATENATE("R",'Mapa final'!$A$16),"")</f>
        <v/>
      </c>
      <c r="U30" s="355"/>
      <c r="V30" s="353" t="str">
        <f>IF(AND('Mapa final'!$L$11="Baja",'Mapa final'!$P$11="Moderado"),CONCATENATE("R",'Mapa final'!$A$11),"")</f>
        <v/>
      </c>
      <c r="W30" s="354"/>
      <c r="X30" s="354" t="str">
        <f>IF(AND('Mapa final'!$L$14="Baja",'Mapa final'!$P$14="Moderado"),CONCATENATE("R",'Mapa final'!$A$14),"")</f>
        <v/>
      </c>
      <c r="Y30" s="354"/>
      <c r="Z30" s="354" t="str">
        <f>IF(AND('Mapa final'!$L$16="Baja",'Mapa final'!$P$16="Moderado"),CONCATENATE("R",'Mapa final'!$A$16),"")</f>
        <v/>
      </c>
      <c r="AA30" s="355"/>
      <c r="AB30" s="371" t="str">
        <f>IF(AND('Mapa final'!$L$11="Baja",'Mapa final'!$P$11="Mayor"),CONCATENATE("R",'Mapa final'!$A$11),"")</f>
        <v/>
      </c>
      <c r="AC30" s="372"/>
      <c r="AD30" s="372" t="str">
        <f>IF(AND('Mapa final'!$L$14="Baja",'Mapa final'!$P$14="Mayor"),CONCATENATE("R",'Mapa final'!$A$14),"")</f>
        <v/>
      </c>
      <c r="AE30" s="372"/>
      <c r="AF30" s="372" t="str">
        <f>IF(AND('Mapa final'!$L$16="Baja",'Mapa final'!$P$16="Mayor"),CONCATENATE("R",'Mapa final'!$A$16),"")</f>
        <v/>
      </c>
      <c r="AG30" s="373"/>
      <c r="AH30" s="362" t="str">
        <f>IF(AND('Mapa final'!$L$11="Baja",'Mapa final'!$P$11="Catastrófico"),CONCATENATE("R",'Mapa final'!$A$11),"")</f>
        <v/>
      </c>
      <c r="AI30" s="363"/>
      <c r="AJ30" s="363" t="str">
        <f>IF(AND('Mapa final'!$L$14="Baja",'Mapa final'!$P$14="Catastrófico"),CONCATENATE("R",'Mapa final'!$A$14),"")</f>
        <v/>
      </c>
      <c r="AK30" s="363"/>
      <c r="AL30" s="363" t="str">
        <f>IF(AND('Mapa final'!$L$16="Baja",'Mapa final'!$P$16="Catastrófico"),CONCATENATE("R",'Mapa final'!$A$16),"")</f>
        <v/>
      </c>
      <c r="AM30" s="364"/>
      <c r="AN30" s="80"/>
      <c r="AO30" s="414" t="s">
        <v>179</v>
      </c>
      <c r="AP30" s="415"/>
      <c r="AQ30" s="415"/>
      <c r="AR30" s="415"/>
      <c r="AS30" s="415"/>
      <c r="AT30" s="416"/>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385"/>
      <c r="C31" s="385"/>
      <c r="D31" s="386"/>
      <c r="E31" s="378"/>
      <c r="F31" s="379"/>
      <c r="G31" s="379"/>
      <c r="H31" s="379"/>
      <c r="I31" s="379"/>
      <c r="J31" s="338"/>
      <c r="K31" s="339"/>
      <c r="L31" s="339"/>
      <c r="M31" s="339"/>
      <c r="N31" s="339"/>
      <c r="O31" s="340"/>
      <c r="P31" s="348"/>
      <c r="Q31" s="348"/>
      <c r="R31" s="348"/>
      <c r="S31" s="348"/>
      <c r="T31" s="348"/>
      <c r="U31" s="349"/>
      <c r="V31" s="347"/>
      <c r="W31" s="348"/>
      <c r="X31" s="348"/>
      <c r="Y31" s="348"/>
      <c r="Z31" s="348"/>
      <c r="AA31" s="349"/>
      <c r="AB31" s="365"/>
      <c r="AC31" s="366"/>
      <c r="AD31" s="366"/>
      <c r="AE31" s="366"/>
      <c r="AF31" s="366"/>
      <c r="AG31" s="367"/>
      <c r="AH31" s="356"/>
      <c r="AI31" s="357"/>
      <c r="AJ31" s="357"/>
      <c r="AK31" s="357"/>
      <c r="AL31" s="357"/>
      <c r="AM31" s="358"/>
      <c r="AN31" s="80"/>
      <c r="AO31" s="417"/>
      <c r="AP31" s="418"/>
      <c r="AQ31" s="418"/>
      <c r="AR31" s="418"/>
      <c r="AS31" s="418"/>
      <c r="AT31" s="419"/>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385"/>
      <c r="C32" s="385"/>
      <c r="D32" s="386"/>
      <c r="E32" s="378"/>
      <c r="F32" s="379"/>
      <c r="G32" s="379"/>
      <c r="H32" s="379"/>
      <c r="I32" s="379"/>
      <c r="J32" s="338" t="str">
        <f>IF(AND('Mapa final'!$L$17="Baja",'Mapa final'!$P$17="Leve"),CONCATENATE("R",'Mapa final'!$A$17),"")</f>
        <v/>
      </c>
      <c r="K32" s="339"/>
      <c r="L32" s="339" t="str">
        <f>IF(AND('Mapa final'!$L$23="Baja",'Mapa final'!$P$23="Leve"),CONCATENATE("R",'Mapa final'!$A$23),"")</f>
        <v/>
      </c>
      <c r="M32" s="339"/>
      <c r="N32" s="339" t="str">
        <f>IF(AND('Mapa final'!$L$29="Baja",'Mapa final'!$P$29="Leve"),CONCATENATE("R",'Mapa final'!$A$29),"")</f>
        <v/>
      </c>
      <c r="O32" s="340"/>
      <c r="P32" s="348" t="str">
        <f>IF(AND('Mapa final'!$L$17="Baja",'Mapa final'!$P$17="Menor"),CONCATENATE("R",'Mapa final'!$A$17),"")</f>
        <v/>
      </c>
      <c r="Q32" s="348"/>
      <c r="R32" s="348" t="str">
        <f>IF(AND('Mapa final'!$L$23="Baja",'Mapa final'!$P$23="Menor"),CONCATENATE("R",'Mapa final'!$A$23),"")</f>
        <v/>
      </c>
      <c r="S32" s="348"/>
      <c r="T32" s="348" t="str">
        <f>IF(AND('Mapa final'!$L$29="Baja",'Mapa final'!$P$29="Menor"),CONCATENATE("R",'Mapa final'!$A$29),"")</f>
        <v/>
      </c>
      <c r="U32" s="349"/>
      <c r="V32" s="347" t="str">
        <f>IF(AND('Mapa final'!$L$17="Baja",'Mapa final'!$P$17="Moderado"),CONCATENATE("R",'Mapa final'!$A$17),"")</f>
        <v/>
      </c>
      <c r="W32" s="348"/>
      <c r="X32" s="348" t="str">
        <f>IF(AND('Mapa final'!$L$23="Baja",'Mapa final'!$P$23="Moderado"),CONCATENATE("R",'Mapa final'!$A$23),"")</f>
        <v/>
      </c>
      <c r="Y32" s="348"/>
      <c r="Z32" s="348" t="str">
        <f>IF(AND('Mapa final'!$L$29="Baja",'Mapa final'!$P$29="Moderado"),CONCATENATE("R",'Mapa final'!$A$29),"")</f>
        <v/>
      </c>
      <c r="AA32" s="349"/>
      <c r="AB32" s="365" t="str">
        <f>IF(AND('Mapa final'!$L$17="Baja",'Mapa final'!$P$17="Mayor"),CONCATENATE("R",'Mapa final'!$A$17),"")</f>
        <v/>
      </c>
      <c r="AC32" s="366"/>
      <c r="AD32" s="366" t="str">
        <f>IF(AND('Mapa final'!$L$23="Baja",'Mapa final'!$P$23="Mayor"),CONCATENATE("R",'Mapa final'!$A$23),"")</f>
        <v/>
      </c>
      <c r="AE32" s="366"/>
      <c r="AF32" s="366" t="str">
        <f>IF(AND('Mapa final'!$L$29="Baja",'Mapa final'!$P$29="Mayor"),CONCATENATE("R",'Mapa final'!$A$29),"")</f>
        <v/>
      </c>
      <c r="AG32" s="367"/>
      <c r="AH32" s="356" t="str">
        <f>IF(AND('Mapa final'!$L$17="Baja",'Mapa final'!$P$17="Catastrófico"),CONCATENATE("R",'Mapa final'!$A$17),"")</f>
        <v/>
      </c>
      <c r="AI32" s="357"/>
      <c r="AJ32" s="357" t="str">
        <f>IF(AND('Mapa final'!$L$23="Baja",'Mapa final'!$P$23="Catastrófico"),CONCATENATE("R",'Mapa final'!$A$23),"")</f>
        <v/>
      </c>
      <c r="AK32" s="357"/>
      <c r="AL32" s="357" t="str">
        <f>IF(AND('Mapa final'!$L$29="Baja",'Mapa final'!$P$29="Catastrófico"),CONCATENATE("R",'Mapa final'!$A$29),"")</f>
        <v/>
      </c>
      <c r="AM32" s="358"/>
      <c r="AN32" s="80"/>
      <c r="AO32" s="417"/>
      <c r="AP32" s="418"/>
      <c r="AQ32" s="418"/>
      <c r="AR32" s="418"/>
      <c r="AS32" s="418"/>
      <c r="AT32" s="419"/>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385"/>
      <c r="C33" s="385"/>
      <c r="D33" s="386"/>
      <c r="E33" s="378"/>
      <c r="F33" s="379"/>
      <c r="G33" s="379"/>
      <c r="H33" s="379"/>
      <c r="I33" s="379"/>
      <c r="J33" s="338"/>
      <c r="K33" s="339"/>
      <c r="L33" s="339"/>
      <c r="M33" s="339"/>
      <c r="N33" s="339"/>
      <c r="O33" s="340"/>
      <c r="P33" s="348"/>
      <c r="Q33" s="348"/>
      <c r="R33" s="348"/>
      <c r="S33" s="348"/>
      <c r="T33" s="348"/>
      <c r="U33" s="349"/>
      <c r="V33" s="347"/>
      <c r="W33" s="348"/>
      <c r="X33" s="348"/>
      <c r="Y33" s="348"/>
      <c r="Z33" s="348"/>
      <c r="AA33" s="349"/>
      <c r="AB33" s="365"/>
      <c r="AC33" s="366"/>
      <c r="AD33" s="366"/>
      <c r="AE33" s="366"/>
      <c r="AF33" s="366"/>
      <c r="AG33" s="367"/>
      <c r="AH33" s="356"/>
      <c r="AI33" s="357"/>
      <c r="AJ33" s="357"/>
      <c r="AK33" s="357"/>
      <c r="AL33" s="357"/>
      <c r="AM33" s="358"/>
      <c r="AN33" s="80"/>
      <c r="AO33" s="417"/>
      <c r="AP33" s="418"/>
      <c r="AQ33" s="418"/>
      <c r="AR33" s="418"/>
      <c r="AS33" s="418"/>
      <c r="AT33" s="419"/>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385"/>
      <c r="C34" s="385"/>
      <c r="D34" s="386"/>
      <c r="E34" s="378"/>
      <c r="F34" s="379"/>
      <c r="G34" s="379"/>
      <c r="H34" s="379"/>
      <c r="I34" s="379"/>
      <c r="J34" s="338" t="str">
        <f>IF(AND('Mapa final'!$L$35="Baja",'Mapa final'!$P$35="Leve"),CONCATENATE("R",'Mapa final'!$A$35),"")</f>
        <v/>
      </c>
      <c r="K34" s="339"/>
      <c r="L34" s="339" t="str">
        <f>IF(AND('Mapa final'!$L$41="Baja",'Mapa final'!$P$41="Leve"),CONCATENATE("R",'Mapa final'!$A$41),"")</f>
        <v/>
      </c>
      <c r="M34" s="339"/>
      <c r="N34" s="339" t="str">
        <f>IF(AND('Mapa final'!$L$47="Baja",'Mapa final'!$P$47="Leve"),CONCATENATE("R",'Mapa final'!$A$47),"")</f>
        <v/>
      </c>
      <c r="O34" s="340"/>
      <c r="P34" s="348" t="str">
        <f>IF(AND('Mapa final'!$L$35="Baja",'Mapa final'!$P$35="Menor"),CONCATENATE("R",'Mapa final'!$A$35),"")</f>
        <v/>
      </c>
      <c r="Q34" s="348"/>
      <c r="R34" s="348" t="str">
        <f>IF(AND('Mapa final'!$L$41="Baja",'Mapa final'!$P$41="Menor"),CONCATENATE("R",'Mapa final'!$A$41),"")</f>
        <v/>
      </c>
      <c r="S34" s="348"/>
      <c r="T34" s="348" t="str">
        <f>IF(AND('Mapa final'!$L$47="Baja",'Mapa final'!$P$47="Menor"),CONCATENATE("R",'Mapa final'!$A$47),"")</f>
        <v/>
      </c>
      <c r="U34" s="349"/>
      <c r="V34" s="347" t="str">
        <f>IF(AND('Mapa final'!$L$35="Baja",'Mapa final'!$P$35="Moderado"),CONCATENATE("R",'Mapa final'!$A$35),"")</f>
        <v/>
      </c>
      <c r="W34" s="348"/>
      <c r="X34" s="348" t="str">
        <f>IF(AND('Mapa final'!$L$41="Baja",'Mapa final'!$P$41="Moderado"),CONCATENATE("R",'Mapa final'!$A$41),"")</f>
        <v/>
      </c>
      <c r="Y34" s="348"/>
      <c r="Z34" s="348" t="str">
        <f>IF(AND('Mapa final'!$L$47="Baja",'Mapa final'!$P$47="Moderado"),CONCATENATE("R",'Mapa final'!$A$47),"")</f>
        <v/>
      </c>
      <c r="AA34" s="349"/>
      <c r="AB34" s="365" t="str">
        <f>IF(AND('Mapa final'!$L$35="Baja",'Mapa final'!$P$35="Mayor"),CONCATENATE("R",'Mapa final'!$A$35),"")</f>
        <v/>
      </c>
      <c r="AC34" s="366"/>
      <c r="AD34" s="366" t="str">
        <f>IF(AND('Mapa final'!$L$41="Baja",'Mapa final'!$P$41="Mayor"),CONCATENATE("R",'Mapa final'!$A$41),"")</f>
        <v/>
      </c>
      <c r="AE34" s="366"/>
      <c r="AF34" s="366" t="str">
        <f>IF(AND('Mapa final'!$L$47="Baja",'Mapa final'!$P$47="Mayor"),CONCATENATE("R",'Mapa final'!$A$47),"")</f>
        <v/>
      </c>
      <c r="AG34" s="367"/>
      <c r="AH34" s="356" t="str">
        <f>IF(AND('Mapa final'!$L$35="Baja",'Mapa final'!$P$35="Catastrófico"),CONCATENATE("R",'Mapa final'!$A$35),"")</f>
        <v/>
      </c>
      <c r="AI34" s="357"/>
      <c r="AJ34" s="357" t="str">
        <f>IF(AND('Mapa final'!$L$41="Baja",'Mapa final'!$P$41="Catastrófico"),CONCATENATE("R",'Mapa final'!$A$41),"")</f>
        <v/>
      </c>
      <c r="AK34" s="357"/>
      <c r="AL34" s="357" t="str">
        <f>IF(AND('Mapa final'!$L$47="Baja",'Mapa final'!$P$47="Catastrófico"),CONCATENATE("R",'Mapa final'!$A$47),"")</f>
        <v/>
      </c>
      <c r="AM34" s="358"/>
      <c r="AN34" s="80"/>
      <c r="AO34" s="417"/>
      <c r="AP34" s="418"/>
      <c r="AQ34" s="418"/>
      <c r="AR34" s="418"/>
      <c r="AS34" s="418"/>
      <c r="AT34" s="419"/>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385"/>
      <c r="C35" s="385"/>
      <c r="D35" s="386"/>
      <c r="E35" s="378"/>
      <c r="F35" s="379"/>
      <c r="G35" s="379"/>
      <c r="H35" s="379"/>
      <c r="I35" s="379"/>
      <c r="J35" s="338"/>
      <c r="K35" s="339"/>
      <c r="L35" s="339"/>
      <c r="M35" s="339"/>
      <c r="N35" s="339"/>
      <c r="O35" s="340"/>
      <c r="P35" s="348"/>
      <c r="Q35" s="348"/>
      <c r="R35" s="348"/>
      <c r="S35" s="348"/>
      <c r="T35" s="348"/>
      <c r="U35" s="349"/>
      <c r="V35" s="347"/>
      <c r="W35" s="348"/>
      <c r="X35" s="348"/>
      <c r="Y35" s="348"/>
      <c r="Z35" s="348"/>
      <c r="AA35" s="349"/>
      <c r="AB35" s="365"/>
      <c r="AC35" s="366"/>
      <c r="AD35" s="366"/>
      <c r="AE35" s="366"/>
      <c r="AF35" s="366"/>
      <c r="AG35" s="367"/>
      <c r="AH35" s="356"/>
      <c r="AI35" s="357"/>
      <c r="AJ35" s="357"/>
      <c r="AK35" s="357"/>
      <c r="AL35" s="357"/>
      <c r="AM35" s="358"/>
      <c r="AN35" s="80"/>
      <c r="AO35" s="417"/>
      <c r="AP35" s="418"/>
      <c r="AQ35" s="418"/>
      <c r="AR35" s="418"/>
      <c r="AS35" s="418"/>
      <c r="AT35" s="419"/>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385"/>
      <c r="C36" s="385"/>
      <c r="D36" s="386"/>
      <c r="E36" s="378"/>
      <c r="F36" s="379"/>
      <c r="G36" s="379"/>
      <c r="H36" s="379"/>
      <c r="I36" s="379"/>
      <c r="J36" s="338" t="str">
        <f>IF(AND('Mapa final'!$L$53="Baja",'Mapa final'!$P$53="Leve"),CONCATENATE("R",'Mapa final'!$A$53),"")</f>
        <v/>
      </c>
      <c r="K36" s="339"/>
      <c r="L36" s="339" t="str">
        <f>IF(AND('Mapa final'!$L$59="Baja",'Mapa final'!$P$59="Leve"),CONCATENATE("R",'Mapa final'!$A$59),"")</f>
        <v/>
      </c>
      <c r="M36" s="339"/>
      <c r="N36" s="339" t="str">
        <f>IF(AND('Mapa final'!$L$65="Baja",'Mapa final'!$P$65="Leve"),CONCATENATE("R",'Mapa final'!$A$65),"")</f>
        <v/>
      </c>
      <c r="O36" s="340"/>
      <c r="P36" s="348" t="str">
        <f>IF(AND('Mapa final'!$L$53="Baja",'Mapa final'!$P$53="Menor"),CONCATENATE("R",'Mapa final'!$A$53),"")</f>
        <v/>
      </c>
      <c r="Q36" s="348"/>
      <c r="R36" s="348" t="str">
        <f>IF(AND('Mapa final'!$L$59="Baja",'Mapa final'!$P$59="Menor"),CONCATENATE("R",'Mapa final'!$A$59),"")</f>
        <v/>
      </c>
      <c r="S36" s="348"/>
      <c r="T36" s="348" t="str">
        <f>IF(AND('Mapa final'!$L$65="Baja",'Mapa final'!$P$65="Menor"),CONCATENATE("R",'Mapa final'!$A$65),"")</f>
        <v/>
      </c>
      <c r="U36" s="349"/>
      <c r="V36" s="347" t="str">
        <f>IF(AND('Mapa final'!$L$53="Baja",'Mapa final'!$P$53="Moderado"),CONCATENATE("R",'Mapa final'!$A$53),"")</f>
        <v/>
      </c>
      <c r="W36" s="348"/>
      <c r="X36" s="348" t="str">
        <f>IF(AND('Mapa final'!$L$59="Baja",'Mapa final'!$P$59="Moderado"),CONCATENATE("R",'Mapa final'!$A$59),"")</f>
        <v/>
      </c>
      <c r="Y36" s="348"/>
      <c r="Z36" s="348" t="str">
        <f>IF(AND('Mapa final'!$L$65="Baja",'Mapa final'!$P$65="Moderado"),CONCATENATE("R",'Mapa final'!$A$65),"")</f>
        <v/>
      </c>
      <c r="AA36" s="349"/>
      <c r="AB36" s="365" t="str">
        <f>IF(AND('Mapa final'!$L$53="Baja",'Mapa final'!$P$53="Mayor"),CONCATENATE("R",'Mapa final'!$A$53),"")</f>
        <v/>
      </c>
      <c r="AC36" s="366"/>
      <c r="AD36" s="366" t="str">
        <f>IF(AND('Mapa final'!$L$59="Baja",'Mapa final'!$P$59="Mayor"),CONCATENATE("R",'Mapa final'!$A$59),"")</f>
        <v/>
      </c>
      <c r="AE36" s="366"/>
      <c r="AF36" s="366" t="str">
        <f>IF(AND('Mapa final'!$L$65="Baja",'Mapa final'!$P$65="Mayor"),CONCATENATE("R",'Mapa final'!$A$65),"")</f>
        <v/>
      </c>
      <c r="AG36" s="367"/>
      <c r="AH36" s="356" t="str">
        <f>IF(AND('Mapa final'!$L$53="Baja",'Mapa final'!$P$53="Catastrófico"),CONCATENATE("R",'Mapa final'!$A$53),"")</f>
        <v/>
      </c>
      <c r="AI36" s="357"/>
      <c r="AJ36" s="357" t="str">
        <f>IF(AND('Mapa final'!$L$59="Baja",'Mapa final'!$P$59="Catastrófico"),CONCATENATE("R",'Mapa final'!$A$59),"")</f>
        <v/>
      </c>
      <c r="AK36" s="357"/>
      <c r="AL36" s="357" t="str">
        <f>IF(AND('Mapa final'!$L$65="Baja",'Mapa final'!$P$65="Catastrófico"),CONCATENATE("R",'Mapa final'!$A$65),"")</f>
        <v/>
      </c>
      <c r="AM36" s="358"/>
      <c r="AN36" s="80"/>
      <c r="AO36" s="417"/>
      <c r="AP36" s="418"/>
      <c r="AQ36" s="418"/>
      <c r="AR36" s="418"/>
      <c r="AS36" s="418"/>
      <c r="AT36" s="419"/>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385"/>
      <c r="C37" s="385"/>
      <c r="D37" s="386"/>
      <c r="E37" s="381"/>
      <c r="F37" s="382"/>
      <c r="G37" s="382"/>
      <c r="H37" s="382"/>
      <c r="I37" s="382"/>
      <c r="J37" s="341"/>
      <c r="K37" s="342"/>
      <c r="L37" s="342"/>
      <c r="M37" s="342"/>
      <c r="N37" s="342"/>
      <c r="O37" s="343"/>
      <c r="P37" s="351"/>
      <c r="Q37" s="351"/>
      <c r="R37" s="351"/>
      <c r="S37" s="351"/>
      <c r="T37" s="351"/>
      <c r="U37" s="352"/>
      <c r="V37" s="350"/>
      <c r="W37" s="351"/>
      <c r="X37" s="351"/>
      <c r="Y37" s="351"/>
      <c r="Z37" s="351"/>
      <c r="AA37" s="352"/>
      <c r="AB37" s="368"/>
      <c r="AC37" s="369"/>
      <c r="AD37" s="369"/>
      <c r="AE37" s="369"/>
      <c r="AF37" s="369"/>
      <c r="AG37" s="370"/>
      <c r="AH37" s="359"/>
      <c r="AI37" s="360"/>
      <c r="AJ37" s="360"/>
      <c r="AK37" s="360"/>
      <c r="AL37" s="360"/>
      <c r="AM37" s="361"/>
      <c r="AN37" s="80"/>
      <c r="AO37" s="420"/>
      <c r="AP37" s="421"/>
      <c r="AQ37" s="421"/>
      <c r="AR37" s="421"/>
      <c r="AS37" s="421"/>
      <c r="AT37" s="422"/>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385"/>
      <c r="C38" s="385"/>
      <c r="D38" s="386"/>
      <c r="E38" s="375" t="s">
        <v>180</v>
      </c>
      <c r="F38" s="376"/>
      <c r="G38" s="376"/>
      <c r="H38" s="376"/>
      <c r="I38" s="377"/>
      <c r="J38" s="344" t="str">
        <f>IF(AND('Mapa final'!$L$11="Muy Baja",'Mapa final'!$P$11="Leve"),CONCATENATE("R",'Mapa final'!$A$11),"")</f>
        <v/>
      </c>
      <c r="K38" s="345"/>
      <c r="L38" s="345" t="str">
        <f>IF(AND('Mapa final'!$L$14="Muy Baja",'Mapa final'!$P$14="Leve"),CONCATENATE("R",'Mapa final'!$A$14),"")</f>
        <v/>
      </c>
      <c r="M38" s="345"/>
      <c r="N38" s="345" t="str">
        <f>IF(AND('Mapa final'!$L$16="Muy Baja",'Mapa final'!$P$16="Leve"),CONCATENATE("R",'Mapa final'!$A$16),"")</f>
        <v/>
      </c>
      <c r="O38" s="346"/>
      <c r="P38" s="344" t="str">
        <f>IF(AND('Mapa final'!$L$11="Muy Baja",'Mapa final'!$P$11="Menor"),CONCATENATE("R",'Mapa final'!$A$11),"")</f>
        <v/>
      </c>
      <c r="Q38" s="345"/>
      <c r="R38" s="345" t="str">
        <f>IF(AND('Mapa final'!$L$14="Muy Baja",'Mapa final'!$P$14="Menor"),CONCATENATE("R",'Mapa final'!$A$14),"")</f>
        <v/>
      </c>
      <c r="S38" s="345"/>
      <c r="T38" s="345" t="str">
        <f>IF(AND('Mapa final'!$L$16="Muy Baja",'Mapa final'!$P$16="Menor"),CONCATENATE("R",'Mapa final'!$A$16),"")</f>
        <v/>
      </c>
      <c r="U38" s="346"/>
      <c r="V38" s="353" t="str">
        <f>IF(AND('Mapa final'!$L$11="Muy Baja",'Mapa final'!$P$11="Moderado"),CONCATENATE("R",'Mapa final'!$A$11),"")</f>
        <v/>
      </c>
      <c r="W38" s="354"/>
      <c r="X38" s="354" t="str">
        <f>IF(AND('Mapa final'!$L$14="Muy Baja",'Mapa final'!$P$14="Moderado"),CONCATENATE("R",'Mapa final'!$A$14),"")</f>
        <v/>
      </c>
      <c r="Y38" s="354"/>
      <c r="Z38" s="354" t="str">
        <f>IF(AND('Mapa final'!$L$16="Muy Baja",'Mapa final'!$P$16="Moderado"),CONCATENATE("R",'Mapa final'!$A$16),"")</f>
        <v/>
      </c>
      <c r="AA38" s="355"/>
      <c r="AB38" s="371" t="str">
        <f>IF(AND('Mapa final'!$L$11="Muy Baja",'Mapa final'!$P$11="Mayor"),CONCATENATE("R",'Mapa final'!$A$11),"")</f>
        <v/>
      </c>
      <c r="AC38" s="372"/>
      <c r="AD38" s="372" t="str">
        <f>IF(AND('Mapa final'!$L$14="Muy Baja",'Mapa final'!$P$14="Mayor"),CONCATENATE("R",'Mapa final'!$A$14),"")</f>
        <v/>
      </c>
      <c r="AE38" s="372"/>
      <c r="AF38" s="372" t="str">
        <f>IF(AND('Mapa final'!$L$16="Muy Baja",'Mapa final'!$P$16="Mayor"),CONCATENATE("R",'Mapa final'!$A$16),"")</f>
        <v/>
      </c>
      <c r="AG38" s="373"/>
      <c r="AH38" s="362" t="str">
        <f>IF(AND('Mapa final'!$L$11="Muy Baja",'Mapa final'!$P$11="Catastrófico"),CONCATENATE("R",'Mapa final'!$A$11),"")</f>
        <v/>
      </c>
      <c r="AI38" s="363"/>
      <c r="AJ38" s="363" t="str">
        <f>IF(AND('Mapa final'!$L$14="Muy Baja",'Mapa final'!$P$14="Catastrófico"),CONCATENATE("R",'Mapa final'!$A$14),"")</f>
        <v/>
      </c>
      <c r="AK38" s="363"/>
      <c r="AL38" s="363" t="str">
        <f>IF(AND('Mapa final'!$L$16="Muy Baja",'Mapa final'!$P$16="Catastrófico"),CONCATENATE("R",'Mapa final'!$A$16),"")</f>
        <v/>
      </c>
      <c r="AM38" s="364"/>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385"/>
      <c r="C39" s="385"/>
      <c r="D39" s="386"/>
      <c r="E39" s="378"/>
      <c r="F39" s="379"/>
      <c r="G39" s="379"/>
      <c r="H39" s="379"/>
      <c r="I39" s="380"/>
      <c r="J39" s="338"/>
      <c r="K39" s="339"/>
      <c r="L39" s="339"/>
      <c r="M39" s="339"/>
      <c r="N39" s="339"/>
      <c r="O39" s="340"/>
      <c r="P39" s="338"/>
      <c r="Q39" s="339"/>
      <c r="R39" s="339"/>
      <c r="S39" s="339"/>
      <c r="T39" s="339"/>
      <c r="U39" s="340"/>
      <c r="V39" s="347"/>
      <c r="W39" s="348"/>
      <c r="X39" s="348"/>
      <c r="Y39" s="348"/>
      <c r="Z39" s="348"/>
      <c r="AA39" s="349"/>
      <c r="AB39" s="365"/>
      <c r="AC39" s="366"/>
      <c r="AD39" s="366"/>
      <c r="AE39" s="366"/>
      <c r="AF39" s="366"/>
      <c r="AG39" s="367"/>
      <c r="AH39" s="356"/>
      <c r="AI39" s="357"/>
      <c r="AJ39" s="357"/>
      <c r="AK39" s="357"/>
      <c r="AL39" s="357"/>
      <c r="AM39" s="358"/>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385"/>
      <c r="C40" s="385"/>
      <c r="D40" s="386"/>
      <c r="E40" s="378"/>
      <c r="F40" s="379"/>
      <c r="G40" s="379"/>
      <c r="H40" s="379"/>
      <c r="I40" s="380"/>
      <c r="J40" s="338" t="str">
        <f>IF(AND('Mapa final'!$L$17="Muy Baja",'Mapa final'!$P$17="Leve"),CONCATENATE("R",'Mapa final'!$A$17),"")</f>
        <v/>
      </c>
      <c r="K40" s="339"/>
      <c r="L40" s="339" t="str">
        <f>IF(AND('Mapa final'!$L$23="Muy Baja",'Mapa final'!$P$23="Leve"),CONCATENATE("R",'Mapa final'!$A$23),"")</f>
        <v/>
      </c>
      <c r="M40" s="339"/>
      <c r="N40" s="339" t="str">
        <f>IF(AND('Mapa final'!$L$29="Muy Baja",'Mapa final'!$P$29="Leve"),CONCATENATE("R",'Mapa final'!$A$29),"")</f>
        <v/>
      </c>
      <c r="O40" s="340"/>
      <c r="P40" s="338" t="str">
        <f>IF(AND('Mapa final'!$L$17="Muy Baja",'Mapa final'!$P$17="Menor"),CONCATENATE("R",'Mapa final'!$A$17),"")</f>
        <v/>
      </c>
      <c r="Q40" s="339"/>
      <c r="R40" s="339" t="str">
        <f>IF(AND('Mapa final'!$L$23="Muy Baja",'Mapa final'!$P$23="Menor"),CONCATENATE("R",'Mapa final'!$A$23),"")</f>
        <v/>
      </c>
      <c r="S40" s="339"/>
      <c r="T40" s="339" t="str">
        <f>IF(AND('Mapa final'!$L$29="Muy Baja",'Mapa final'!$P$29="Menor"),CONCATENATE("R",'Mapa final'!$A$29),"")</f>
        <v/>
      </c>
      <c r="U40" s="340"/>
      <c r="V40" s="347" t="str">
        <f>IF(AND('Mapa final'!$L$17="Muy Baja",'Mapa final'!$P$17="Moderado"),CONCATENATE("R",'Mapa final'!$A$17),"")</f>
        <v/>
      </c>
      <c r="W40" s="348"/>
      <c r="X40" s="348" t="str">
        <f>IF(AND('Mapa final'!$L$23="Muy Baja",'Mapa final'!$P$23="Moderado"),CONCATENATE("R",'Mapa final'!$A$23),"")</f>
        <v/>
      </c>
      <c r="Y40" s="348"/>
      <c r="Z40" s="348" t="str">
        <f>IF(AND('Mapa final'!$L$29="Muy Baja",'Mapa final'!$P$29="Moderado"),CONCATENATE("R",'Mapa final'!$A$29),"")</f>
        <v/>
      </c>
      <c r="AA40" s="349"/>
      <c r="AB40" s="365" t="str">
        <f>IF(AND('Mapa final'!$L$17="Muy Baja",'Mapa final'!$P$17="Mayor"),CONCATENATE("R",'Mapa final'!$A$17),"")</f>
        <v/>
      </c>
      <c r="AC40" s="366"/>
      <c r="AD40" s="366" t="str">
        <f>IF(AND('Mapa final'!$L$23="Muy Baja",'Mapa final'!$P$23="Mayor"),CONCATENATE("R",'Mapa final'!$A$23),"")</f>
        <v/>
      </c>
      <c r="AE40" s="366"/>
      <c r="AF40" s="366" t="str">
        <f>IF(AND('Mapa final'!$L$29="Muy Baja",'Mapa final'!$P$29="Mayor"),CONCATENATE("R",'Mapa final'!$A$29),"")</f>
        <v/>
      </c>
      <c r="AG40" s="367"/>
      <c r="AH40" s="356" t="str">
        <f>IF(AND('Mapa final'!$L$17="Muy Baja",'Mapa final'!$P$17="Catastrófico"),CONCATENATE("R",'Mapa final'!$A$17),"")</f>
        <v/>
      </c>
      <c r="AI40" s="357"/>
      <c r="AJ40" s="357" t="str">
        <f>IF(AND('Mapa final'!$L$23="Muy Baja",'Mapa final'!$P$23="Catastrófico"),CONCATENATE("R",'Mapa final'!$A$23),"")</f>
        <v/>
      </c>
      <c r="AK40" s="357"/>
      <c r="AL40" s="357" t="str">
        <f>IF(AND('Mapa final'!$L$29="Muy Baja",'Mapa final'!$P$29="Catastrófico"),CONCATENATE("R",'Mapa final'!$A$29),"")</f>
        <v/>
      </c>
      <c r="AM40" s="358"/>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385"/>
      <c r="C41" s="385"/>
      <c r="D41" s="386"/>
      <c r="E41" s="378"/>
      <c r="F41" s="379"/>
      <c r="G41" s="379"/>
      <c r="H41" s="379"/>
      <c r="I41" s="380"/>
      <c r="J41" s="338"/>
      <c r="K41" s="339"/>
      <c r="L41" s="339"/>
      <c r="M41" s="339"/>
      <c r="N41" s="339"/>
      <c r="O41" s="340"/>
      <c r="P41" s="338"/>
      <c r="Q41" s="339"/>
      <c r="R41" s="339"/>
      <c r="S41" s="339"/>
      <c r="T41" s="339"/>
      <c r="U41" s="340"/>
      <c r="V41" s="347"/>
      <c r="W41" s="348"/>
      <c r="X41" s="348"/>
      <c r="Y41" s="348"/>
      <c r="Z41" s="348"/>
      <c r="AA41" s="349"/>
      <c r="AB41" s="365"/>
      <c r="AC41" s="366"/>
      <c r="AD41" s="366"/>
      <c r="AE41" s="366"/>
      <c r="AF41" s="366"/>
      <c r="AG41" s="367"/>
      <c r="AH41" s="356"/>
      <c r="AI41" s="357"/>
      <c r="AJ41" s="357"/>
      <c r="AK41" s="357"/>
      <c r="AL41" s="357"/>
      <c r="AM41" s="358"/>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385"/>
      <c r="C42" s="385"/>
      <c r="D42" s="386"/>
      <c r="E42" s="378"/>
      <c r="F42" s="379"/>
      <c r="G42" s="379"/>
      <c r="H42" s="379"/>
      <c r="I42" s="380"/>
      <c r="J42" s="338" t="str">
        <f>IF(AND('Mapa final'!$L$35="Muy Baja",'Mapa final'!$P$35="Leve"),CONCATENATE("R",'Mapa final'!$A$35),"")</f>
        <v/>
      </c>
      <c r="K42" s="339"/>
      <c r="L42" s="339" t="str">
        <f>IF(AND('Mapa final'!$L$41="Muy Baja",'Mapa final'!$P$41="Leve"),CONCATENATE("R",'Mapa final'!$A$41),"")</f>
        <v/>
      </c>
      <c r="M42" s="339"/>
      <c r="N42" s="339" t="str">
        <f>IF(AND('Mapa final'!$L$47="Muy Baja",'Mapa final'!$P$47="Leve"),CONCATENATE("R",'Mapa final'!$A$47),"")</f>
        <v/>
      </c>
      <c r="O42" s="340"/>
      <c r="P42" s="338" t="str">
        <f>IF(AND('Mapa final'!$L$35="Muy Baja",'Mapa final'!$P$35="Menor"),CONCATENATE("R",'Mapa final'!$A$35),"")</f>
        <v/>
      </c>
      <c r="Q42" s="339"/>
      <c r="R42" s="339" t="str">
        <f>IF(AND('Mapa final'!$L$41="Muy Baja",'Mapa final'!$P$41="Menor"),CONCATENATE("R",'Mapa final'!$A$41),"")</f>
        <v/>
      </c>
      <c r="S42" s="339"/>
      <c r="T42" s="339" t="str">
        <f>IF(AND('Mapa final'!$L$47="Muy Baja",'Mapa final'!$P$47="Menor"),CONCATENATE("R",'Mapa final'!$A$47),"")</f>
        <v/>
      </c>
      <c r="U42" s="340"/>
      <c r="V42" s="347" t="str">
        <f>IF(AND('Mapa final'!$L$35="Muy Baja",'Mapa final'!$P$35="Moderado"),CONCATENATE("R",'Mapa final'!$A$35),"")</f>
        <v/>
      </c>
      <c r="W42" s="348"/>
      <c r="X42" s="348" t="str">
        <f>IF(AND('Mapa final'!$L$41="Muy Baja",'Mapa final'!$P$41="Moderado"),CONCATENATE("R",'Mapa final'!$A$41),"")</f>
        <v/>
      </c>
      <c r="Y42" s="348"/>
      <c r="Z42" s="348" t="str">
        <f>IF(AND('Mapa final'!$L$47="Muy Baja",'Mapa final'!$P$47="Moderado"),CONCATENATE("R",'Mapa final'!$A$47),"")</f>
        <v/>
      </c>
      <c r="AA42" s="349"/>
      <c r="AB42" s="365" t="str">
        <f>IF(AND('Mapa final'!$L$35="Muy Baja",'Mapa final'!$P$35="Mayor"),CONCATENATE("R",'Mapa final'!$A$35),"")</f>
        <v/>
      </c>
      <c r="AC42" s="366"/>
      <c r="AD42" s="366" t="str">
        <f>IF(AND('Mapa final'!$L$41="Muy Baja",'Mapa final'!$P$41="Mayor"),CONCATENATE("R",'Mapa final'!$A$41),"")</f>
        <v/>
      </c>
      <c r="AE42" s="366"/>
      <c r="AF42" s="366" t="str">
        <f>IF(AND('Mapa final'!$L$47="Muy Baja",'Mapa final'!$P$47="Mayor"),CONCATENATE("R",'Mapa final'!$A$47),"")</f>
        <v/>
      </c>
      <c r="AG42" s="367"/>
      <c r="AH42" s="356" t="str">
        <f>IF(AND('Mapa final'!$L$35="Muy Baja",'Mapa final'!$P$35="Catastrófico"),CONCATENATE("R",'Mapa final'!$A$35),"")</f>
        <v/>
      </c>
      <c r="AI42" s="357"/>
      <c r="AJ42" s="357" t="str">
        <f>IF(AND('Mapa final'!$L$41="Muy Baja",'Mapa final'!$P$41="Catastrófico"),CONCATENATE("R",'Mapa final'!$A$41),"")</f>
        <v/>
      </c>
      <c r="AK42" s="357"/>
      <c r="AL42" s="357" t="str">
        <f>IF(AND('Mapa final'!$L$47="Muy Baja",'Mapa final'!$P$47="Catastrófico"),CONCATENATE("R",'Mapa final'!$A$47),"")</f>
        <v/>
      </c>
      <c r="AM42" s="358"/>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385"/>
      <c r="C43" s="385"/>
      <c r="D43" s="386"/>
      <c r="E43" s="378"/>
      <c r="F43" s="379"/>
      <c r="G43" s="379"/>
      <c r="H43" s="379"/>
      <c r="I43" s="380"/>
      <c r="J43" s="338"/>
      <c r="K43" s="339"/>
      <c r="L43" s="339"/>
      <c r="M43" s="339"/>
      <c r="N43" s="339"/>
      <c r="O43" s="340"/>
      <c r="P43" s="338"/>
      <c r="Q43" s="339"/>
      <c r="R43" s="339"/>
      <c r="S43" s="339"/>
      <c r="T43" s="339"/>
      <c r="U43" s="340"/>
      <c r="V43" s="347"/>
      <c r="W43" s="348"/>
      <c r="X43" s="348"/>
      <c r="Y43" s="348"/>
      <c r="Z43" s="348"/>
      <c r="AA43" s="349"/>
      <c r="AB43" s="365"/>
      <c r="AC43" s="366"/>
      <c r="AD43" s="366"/>
      <c r="AE43" s="366"/>
      <c r="AF43" s="366"/>
      <c r="AG43" s="367"/>
      <c r="AH43" s="356"/>
      <c r="AI43" s="357"/>
      <c r="AJ43" s="357"/>
      <c r="AK43" s="357"/>
      <c r="AL43" s="357"/>
      <c r="AM43" s="358"/>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385"/>
      <c r="C44" s="385"/>
      <c r="D44" s="386"/>
      <c r="E44" s="378"/>
      <c r="F44" s="379"/>
      <c r="G44" s="379"/>
      <c r="H44" s="379"/>
      <c r="I44" s="380"/>
      <c r="J44" s="338" t="str">
        <f>IF(AND('Mapa final'!$L$53="Muy Baja",'Mapa final'!$P$53="Leve"),CONCATENATE("R",'Mapa final'!$A$53),"")</f>
        <v/>
      </c>
      <c r="K44" s="339"/>
      <c r="L44" s="339" t="str">
        <f>IF(AND('Mapa final'!$L$59="Muy Baja",'Mapa final'!$P$59="Leve"),CONCATENATE("R",'Mapa final'!$A$59),"")</f>
        <v/>
      </c>
      <c r="M44" s="339"/>
      <c r="N44" s="339" t="str">
        <f>IF(AND('Mapa final'!$L$65="Muy Baja",'Mapa final'!$P$65="Leve"),CONCATENATE("R",'Mapa final'!$A$65),"")</f>
        <v/>
      </c>
      <c r="O44" s="340"/>
      <c r="P44" s="338" t="str">
        <f>IF(AND('Mapa final'!$L$53="Muy Baja",'Mapa final'!$P$53="Menor"),CONCATENATE("R",'Mapa final'!$A$53),"")</f>
        <v/>
      </c>
      <c r="Q44" s="339"/>
      <c r="R44" s="339" t="str">
        <f>IF(AND('Mapa final'!$L$59="Muy Baja",'Mapa final'!$P$59="Menor"),CONCATENATE("R",'Mapa final'!$A$59),"")</f>
        <v/>
      </c>
      <c r="S44" s="339"/>
      <c r="T44" s="339" t="str">
        <f>IF(AND('Mapa final'!$L$65="Muy Baja",'Mapa final'!$P$65="Menor"),CONCATENATE("R",'Mapa final'!$A$65),"")</f>
        <v/>
      </c>
      <c r="U44" s="340"/>
      <c r="V44" s="347" t="str">
        <f>IF(AND('Mapa final'!$L$53="Muy Baja",'Mapa final'!$P$53="Moderado"),CONCATENATE("R",'Mapa final'!$A$53),"")</f>
        <v/>
      </c>
      <c r="W44" s="348"/>
      <c r="X44" s="348" t="str">
        <f>IF(AND('Mapa final'!$L$59="Muy Baja",'Mapa final'!$P$59="Moderado"),CONCATENATE("R",'Mapa final'!$A$59),"")</f>
        <v/>
      </c>
      <c r="Y44" s="348"/>
      <c r="Z44" s="348" t="str">
        <f>IF(AND('Mapa final'!$L$65="Muy Baja",'Mapa final'!$P$65="Moderado"),CONCATENATE("R",'Mapa final'!$A$65),"")</f>
        <v/>
      </c>
      <c r="AA44" s="349"/>
      <c r="AB44" s="365" t="str">
        <f>IF(AND('Mapa final'!$L$53="Muy Baja",'Mapa final'!$P$53="Mayor"),CONCATENATE("R",'Mapa final'!$A$53),"")</f>
        <v/>
      </c>
      <c r="AC44" s="366"/>
      <c r="AD44" s="366" t="str">
        <f>IF(AND('Mapa final'!$L$59="Muy Baja",'Mapa final'!$P$59="Mayor"),CONCATENATE("R",'Mapa final'!$A$59),"")</f>
        <v/>
      </c>
      <c r="AE44" s="366"/>
      <c r="AF44" s="366" t="str">
        <f>IF(AND('Mapa final'!$L$65="Muy Baja",'Mapa final'!$P$65="Mayor"),CONCATENATE("R",'Mapa final'!$A$65),"")</f>
        <v/>
      </c>
      <c r="AG44" s="367"/>
      <c r="AH44" s="356" t="str">
        <f>IF(AND('Mapa final'!$L$53="Muy Baja",'Mapa final'!$P$53="Catastrófico"),CONCATENATE("R",'Mapa final'!$A$53),"")</f>
        <v/>
      </c>
      <c r="AI44" s="357"/>
      <c r="AJ44" s="357" t="str">
        <f>IF(AND('Mapa final'!$L$59="Muy Baja",'Mapa final'!$P$59="Catastrófico"),CONCATENATE("R",'Mapa final'!$A$59),"")</f>
        <v/>
      </c>
      <c r="AK44" s="357"/>
      <c r="AL44" s="357" t="str">
        <f>IF(AND('Mapa final'!$L$65="Muy Baja",'Mapa final'!$P$65="Catastrófico"),CONCATENATE("R",'Mapa final'!$A$65),"")</f>
        <v/>
      </c>
      <c r="AM44" s="358"/>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385"/>
      <c r="C45" s="385"/>
      <c r="D45" s="386"/>
      <c r="E45" s="381"/>
      <c r="F45" s="382"/>
      <c r="G45" s="382"/>
      <c r="H45" s="382"/>
      <c r="I45" s="383"/>
      <c r="J45" s="341"/>
      <c r="K45" s="342"/>
      <c r="L45" s="342"/>
      <c r="M45" s="342"/>
      <c r="N45" s="342"/>
      <c r="O45" s="343"/>
      <c r="P45" s="341"/>
      <c r="Q45" s="342"/>
      <c r="R45" s="342"/>
      <c r="S45" s="342"/>
      <c r="T45" s="342"/>
      <c r="U45" s="343"/>
      <c r="V45" s="350"/>
      <c r="W45" s="351"/>
      <c r="X45" s="351"/>
      <c r="Y45" s="351"/>
      <c r="Z45" s="351"/>
      <c r="AA45" s="352"/>
      <c r="AB45" s="368"/>
      <c r="AC45" s="369"/>
      <c r="AD45" s="369"/>
      <c r="AE45" s="369"/>
      <c r="AF45" s="369"/>
      <c r="AG45" s="370"/>
      <c r="AH45" s="359"/>
      <c r="AI45" s="360"/>
      <c r="AJ45" s="360"/>
      <c r="AK45" s="360"/>
      <c r="AL45" s="360"/>
      <c r="AM45" s="361"/>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75" t="s">
        <v>181</v>
      </c>
      <c r="K46" s="376"/>
      <c r="L46" s="376"/>
      <c r="M46" s="376"/>
      <c r="N46" s="376"/>
      <c r="O46" s="377"/>
      <c r="P46" s="375" t="s">
        <v>182</v>
      </c>
      <c r="Q46" s="376"/>
      <c r="R46" s="376"/>
      <c r="S46" s="376"/>
      <c r="T46" s="376"/>
      <c r="U46" s="377"/>
      <c r="V46" s="375" t="s">
        <v>183</v>
      </c>
      <c r="W46" s="376"/>
      <c r="X46" s="376"/>
      <c r="Y46" s="376"/>
      <c r="Z46" s="376"/>
      <c r="AA46" s="377"/>
      <c r="AB46" s="375" t="s">
        <v>184</v>
      </c>
      <c r="AC46" s="384"/>
      <c r="AD46" s="376"/>
      <c r="AE46" s="376"/>
      <c r="AF46" s="376"/>
      <c r="AG46" s="377"/>
      <c r="AH46" s="375" t="s">
        <v>185</v>
      </c>
      <c r="AI46" s="376"/>
      <c r="AJ46" s="376"/>
      <c r="AK46" s="376"/>
      <c r="AL46" s="376"/>
      <c r="AM46" s="377"/>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78"/>
      <c r="K47" s="379"/>
      <c r="L47" s="379"/>
      <c r="M47" s="379"/>
      <c r="N47" s="379"/>
      <c r="O47" s="380"/>
      <c r="P47" s="378"/>
      <c r="Q47" s="379"/>
      <c r="R47" s="379"/>
      <c r="S47" s="379"/>
      <c r="T47" s="379"/>
      <c r="U47" s="380"/>
      <c r="V47" s="378"/>
      <c r="W47" s="379"/>
      <c r="X47" s="379"/>
      <c r="Y47" s="379"/>
      <c r="Z47" s="379"/>
      <c r="AA47" s="380"/>
      <c r="AB47" s="378"/>
      <c r="AC47" s="379"/>
      <c r="AD47" s="379"/>
      <c r="AE47" s="379"/>
      <c r="AF47" s="379"/>
      <c r="AG47" s="380"/>
      <c r="AH47" s="378"/>
      <c r="AI47" s="379"/>
      <c r="AJ47" s="379"/>
      <c r="AK47" s="379"/>
      <c r="AL47" s="379"/>
      <c r="AM47" s="3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78"/>
      <c r="K48" s="379"/>
      <c r="L48" s="379"/>
      <c r="M48" s="379"/>
      <c r="N48" s="379"/>
      <c r="O48" s="380"/>
      <c r="P48" s="378"/>
      <c r="Q48" s="379"/>
      <c r="R48" s="379"/>
      <c r="S48" s="379"/>
      <c r="T48" s="379"/>
      <c r="U48" s="380"/>
      <c r="V48" s="378"/>
      <c r="W48" s="379"/>
      <c r="X48" s="379"/>
      <c r="Y48" s="379"/>
      <c r="Z48" s="379"/>
      <c r="AA48" s="380"/>
      <c r="AB48" s="378"/>
      <c r="AC48" s="379"/>
      <c r="AD48" s="379"/>
      <c r="AE48" s="379"/>
      <c r="AF48" s="379"/>
      <c r="AG48" s="380"/>
      <c r="AH48" s="378"/>
      <c r="AI48" s="379"/>
      <c r="AJ48" s="379"/>
      <c r="AK48" s="379"/>
      <c r="AL48" s="379"/>
      <c r="AM48" s="3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78"/>
      <c r="K49" s="379"/>
      <c r="L49" s="379"/>
      <c r="M49" s="379"/>
      <c r="N49" s="379"/>
      <c r="O49" s="380"/>
      <c r="P49" s="378"/>
      <c r="Q49" s="379"/>
      <c r="R49" s="379"/>
      <c r="S49" s="379"/>
      <c r="T49" s="379"/>
      <c r="U49" s="380"/>
      <c r="V49" s="378"/>
      <c r="W49" s="379"/>
      <c r="X49" s="379"/>
      <c r="Y49" s="379"/>
      <c r="Z49" s="379"/>
      <c r="AA49" s="380"/>
      <c r="AB49" s="378"/>
      <c r="AC49" s="379"/>
      <c r="AD49" s="379"/>
      <c r="AE49" s="379"/>
      <c r="AF49" s="379"/>
      <c r="AG49" s="380"/>
      <c r="AH49" s="378"/>
      <c r="AI49" s="379"/>
      <c r="AJ49" s="379"/>
      <c r="AK49" s="379"/>
      <c r="AL49" s="379"/>
      <c r="AM49" s="3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78"/>
      <c r="K50" s="379"/>
      <c r="L50" s="379"/>
      <c r="M50" s="379"/>
      <c r="N50" s="379"/>
      <c r="O50" s="380"/>
      <c r="P50" s="378"/>
      <c r="Q50" s="379"/>
      <c r="R50" s="379"/>
      <c r="S50" s="379"/>
      <c r="T50" s="379"/>
      <c r="U50" s="380"/>
      <c r="V50" s="378"/>
      <c r="W50" s="379"/>
      <c r="X50" s="379"/>
      <c r="Y50" s="379"/>
      <c r="Z50" s="379"/>
      <c r="AA50" s="380"/>
      <c r="AB50" s="378"/>
      <c r="AC50" s="379"/>
      <c r="AD50" s="379"/>
      <c r="AE50" s="379"/>
      <c r="AF50" s="379"/>
      <c r="AG50" s="380"/>
      <c r="AH50" s="378"/>
      <c r="AI50" s="379"/>
      <c r="AJ50" s="379"/>
      <c r="AK50" s="379"/>
      <c r="AL50" s="379"/>
      <c r="AM50" s="3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81"/>
      <c r="K51" s="382"/>
      <c r="L51" s="382"/>
      <c r="M51" s="382"/>
      <c r="N51" s="382"/>
      <c r="O51" s="383"/>
      <c r="P51" s="381"/>
      <c r="Q51" s="382"/>
      <c r="R51" s="382"/>
      <c r="S51" s="382"/>
      <c r="T51" s="382"/>
      <c r="U51" s="383"/>
      <c r="V51" s="381"/>
      <c r="W51" s="382"/>
      <c r="X51" s="382"/>
      <c r="Y51" s="382"/>
      <c r="Z51" s="382"/>
      <c r="AA51" s="383"/>
      <c r="AB51" s="381"/>
      <c r="AC51" s="382"/>
      <c r="AD51" s="382"/>
      <c r="AE51" s="382"/>
      <c r="AF51" s="382"/>
      <c r="AG51" s="383"/>
      <c r="AH51" s="381"/>
      <c r="AI51" s="382"/>
      <c r="AJ51" s="382"/>
      <c r="AK51" s="382"/>
      <c r="AL51" s="382"/>
      <c r="AM51" s="383"/>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52" t="s">
        <v>186</v>
      </c>
      <c r="C2" s="453"/>
      <c r="D2" s="453"/>
      <c r="E2" s="453"/>
      <c r="F2" s="453"/>
      <c r="G2" s="453"/>
      <c r="H2" s="453"/>
      <c r="I2" s="453"/>
      <c r="J2" s="374" t="s">
        <v>15</v>
      </c>
      <c r="K2" s="374"/>
      <c r="L2" s="374"/>
      <c r="M2" s="374"/>
      <c r="N2" s="374"/>
      <c r="O2" s="374"/>
      <c r="P2" s="374"/>
      <c r="Q2" s="374"/>
      <c r="R2" s="374"/>
      <c r="S2" s="374"/>
      <c r="T2" s="374"/>
      <c r="U2" s="374"/>
      <c r="V2" s="374"/>
      <c r="W2" s="374"/>
      <c r="X2" s="374"/>
      <c r="Y2" s="374"/>
      <c r="Z2" s="374"/>
      <c r="AA2" s="374"/>
      <c r="AB2" s="374"/>
      <c r="AC2" s="374"/>
      <c r="AD2" s="374"/>
      <c r="AE2" s="374"/>
      <c r="AF2" s="374"/>
      <c r="AG2" s="374"/>
      <c r="AH2" s="374"/>
      <c r="AI2" s="374"/>
      <c r="AJ2" s="374"/>
      <c r="AK2" s="374"/>
      <c r="AL2" s="374"/>
      <c r="AM2" s="374"/>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53"/>
      <c r="C3" s="453"/>
      <c r="D3" s="453"/>
      <c r="E3" s="453"/>
      <c r="F3" s="453"/>
      <c r="G3" s="453"/>
      <c r="H3" s="453"/>
      <c r="I3" s="453"/>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53"/>
      <c r="C4" s="453"/>
      <c r="D4" s="453"/>
      <c r="E4" s="453"/>
      <c r="F4" s="453"/>
      <c r="G4" s="453"/>
      <c r="H4" s="453"/>
      <c r="I4" s="453"/>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385" t="s">
        <v>102</v>
      </c>
      <c r="C6" s="385"/>
      <c r="D6" s="386"/>
      <c r="E6" s="423" t="s">
        <v>172</v>
      </c>
      <c r="F6" s="424"/>
      <c r="G6" s="424"/>
      <c r="H6" s="424"/>
      <c r="I6" s="425"/>
      <c r="J6" s="43" t="str">
        <f>IF(AND('Mapa final'!$AI$11="Muy Alta",'Mapa final'!$AK$11="Leve"),CONCATENATE("R1C",'Mapa final'!$Y$11),"")</f>
        <v/>
      </c>
      <c r="K6" s="44" t="str">
        <f>IF(AND('Mapa final'!$AI$12="Muy Alta",'Mapa final'!$AK$12="Leve"),CONCATENATE("R1C",'Mapa final'!$Y$12),"")</f>
        <v/>
      </c>
      <c r="L6" s="44" t="str">
        <f>IF(AND('Mapa final'!$AI$13="Muy Alta",'Mapa final'!$AK$13="Leve"),CONCATENATE("R1C",'Mapa final'!$Y$13),"")</f>
        <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str">
        <f>IF(AND('Mapa final'!$AI$12="Muy Alta",'Mapa final'!$AK$12="Menor"),CONCATENATE("R1C",'Mapa final'!$Y$12),"")</f>
        <v/>
      </c>
      <c r="R6" s="44" t="str">
        <f>IF(AND('Mapa final'!$AI$13="Muy Alta",'Mapa final'!$AK$13="Menor"),CONCATENATE("R1C",'Mapa final'!$Y$13),"")</f>
        <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str">
        <f>IF(AND('Mapa final'!$AI$12="Muy Alta",'Mapa final'!$AK$12="Moderado"),CONCATENATE("R1C",'Mapa final'!$Y$12),"")</f>
        <v/>
      </c>
      <c r="X6" s="44" t="str">
        <f>IF(AND('Mapa final'!$AI$13="Muy Alta",'Mapa final'!$AK$13="Moderado"),CONCATENATE("R1C",'Mapa final'!$Y$13),"")</f>
        <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str">
        <f>IF(AND('Mapa final'!$AI$12="Muy Alta",'Mapa final'!$AK$12="Mayor"),CONCATENATE("R1C",'Mapa final'!$Y$12),"")</f>
        <v/>
      </c>
      <c r="AD6" s="44" t="str">
        <f>IF(AND('Mapa final'!$AI$13="Muy Alta",'Mapa final'!$AK$13="Mayor"),CONCATENATE("R1C",'Mapa final'!$Y$13),"")</f>
        <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str">
        <f>IF(AND('Mapa final'!$AI$12="Muy Alta",'Mapa final'!$AK$12="Catastrófico"),CONCATENATE("R1C",'Mapa final'!$Y$12),"")</f>
        <v/>
      </c>
      <c r="AJ6" s="47" t="str">
        <f>IF(AND('Mapa final'!$AI$13="Muy Alta",'Mapa final'!$AK$13="Catastrófico"),CONCATENATE("R1C",'Mapa final'!$Y$13),"")</f>
        <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43" t="s">
        <v>173</v>
      </c>
      <c r="AP6" s="444"/>
      <c r="AQ6" s="444"/>
      <c r="AR6" s="444"/>
      <c r="AS6" s="444"/>
      <c r="AT6" s="445"/>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385"/>
      <c r="C7" s="385"/>
      <c r="D7" s="386"/>
      <c r="E7" s="426"/>
      <c r="F7" s="427"/>
      <c r="G7" s="427"/>
      <c r="H7" s="427"/>
      <c r="I7" s="428"/>
      <c r="J7" s="49" t="str">
        <f>IF(AND('Mapa final'!$AI$14="Muy Alta",'Mapa final'!$AK$14="Leve"),CONCATENATE("R2C",'Mapa final'!$Y$14),"")</f>
        <v/>
      </c>
      <c r="K7" s="50" t="str">
        <f>IF(AND('Mapa final'!$AI$15="Muy Alta",'Mapa final'!$AK$15="Leve"),CONCATENATE("R2C",'Mapa final'!$Y$15),"")</f>
        <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final'!$AI$14="Muy Alta",'Mapa final'!$AK$14="Menor"),CONCATENATE("R2C",'Mapa final'!$Y$14),"")</f>
        <v/>
      </c>
      <c r="Q7" s="50" t="str">
        <f>IF(AND('Mapa final'!$AI$15="Muy Alta",'Mapa final'!$AK$15="Menor"),CONCATENATE("R2C",'Mapa final'!$Y$15),"")</f>
        <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final'!$AI$14="Muy Alta",'Mapa final'!$AK$14="Moderado"),CONCATENATE("R2C",'Mapa final'!$Y$14),"")</f>
        <v/>
      </c>
      <c r="W7" s="50" t="str">
        <f>IF(AND('Mapa final'!$AI$15="Muy Alta",'Mapa final'!$AK$15="Moderado"),CONCATENATE("R2C",'Mapa final'!$Y$15),"")</f>
        <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final'!$AI$14="Muy Alta",'Mapa final'!$AK$14="Mayor"),CONCATENATE("R2C",'Mapa final'!$Y$14),"")</f>
        <v/>
      </c>
      <c r="AC7" s="50" t="str">
        <f>IF(AND('Mapa final'!$AI$15="Muy Alta",'Mapa final'!$AK$15="Mayor"),CONCATENATE("R2C",'Mapa final'!$Y$15),"")</f>
        <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final'!$AI$14="Muy Alta",'Mapa final'!$AK$14="Catastrófico"),CONCATENATE("R2C",'Mapa final'!$Y$14),"")</f>
        <v/>
      </c>
      <c r="AI7" s="53" t="str">
        <f>IF(AND('Mapa final'!$AI$15="Muy Alta",'Mapa final'!$AK$15="Catastrófico"),CONCATENATE("R2C",'Mapa final'!$Y$15),"")</f>
        <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46"/>
      <c r="AP7" s="447"/>
      <c r="AQ7" s="447"/>
      <c r="AR7" s="447"/>
      <c r="AS7" s="447"/>
      <c r="AT7" s="448"/>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385"/>
      <c r="C8" s="385"/>
      <c r="D8" s="386"/>
      <c r="E8" s="426"/>
      <c r="F8" s="427"/>
      <c r="G8" s="427"/>
      <c r="H8" s="427"/>
      <c r="I8" s="428"/>
      <c r="J8" s="49" t="str">
        <f>IF(AND('Mapa final'!$AI$16="Muy Alta",'Mapa final'!$AK$16="Leve"),CONCATENATE("R3C",'Mapa final'!$Y$16),"")</f>
        <v/>
      </c>
      <c r="K8" s="50" t="e">
        <f>IF(AND('Mapa final'!#REF!="Muy Alta",'Mapa final'!#REF!="Leve"),CONCATENATE("R3C",'Mapa final'!#REF!),"")</f>
        <v>#REF!</v>
      </c>
      <c r="L8" s="50" t="e">
        <f>IF(AND('Mapa final'!#REF!="Muy Alta",'Mapa final'!#REF!="Leve"),CONCATENATE("R3C",'Mapa final'!#REF!),"")</f>
        <v>#REF!</v>
      </c>
      <c r="M8" s="50" t="e">
        <f>IF(AND('Mapa final'!#REF!="Muy Alta",'Mapa final'!#REF!="Leve"),CONCATENATE("R3C",'Mapa final'!#REF!),"")</f>
        <v>#REF!</v>
      </c>
      <c r="N8" s="50" t="e">
        <f>IF(AND('Mapa final'!#REF!="Muy Alta",'Mapa final'!#REF!="Leve"),CONCATENATE("R3C",'Mapa final'!#REF!),"")</f>
        <v>#REF!</v>
      </c>
      <c r="O8" s="51" t="e">
        <f>IF(AND('Mapa final'!#REF!="Muy Alta",'Mapa final'!#REF!="Leve"),CONCATENATE("R3C",'Mapa final'!#REF!),"")</f>
        <v>#REF!</v>
      </c>
      <c r="P8" s="49" t="str">
        <f>IF(AND('Mapa final'!$AI$16="Muy Alta",'Mapa final'!$AK$16="Menor"),CONCATENATE("R3C",'Mapa final'!$Y$16),"")</f>
        <v/>
      </c>
      <c r="Q8" s="50" t="e">
        <f>IF(AND('Mapa final'!#REF!="Muy Alta",'Mapa final'!#REF!="Menor"),CONCATENATE("R3C",'Mapa final'!#REF!),"")</f>
        <v>#REF!</v>
      </c>
      <c r="R8" s="50" t="e">
        <f>IF(AND('Mapa final'!#REF!="Muy Alta",'Mapa final'!#REF!="Menor"),CONCATENATE("R3C",'Mapa final'!#REF!),"")</f>
        <v>#REF!</v>
      </c>
      <c r="S8" s="50" t="e">
        <f>IF(AND('Mapa final'!#REF!="Muy Alta",'Mapa final'!#REF!="Menor"),CONCATENATE("R3C",'Mapa final'!#REF!),"")</f>
        <v>#REF!</v>
      </c>
      <c r="T8" s="50" t="e">
        <f>IF(AND('Mapa final'!#REF!="Muy Alta",'Mapa final'!#REF!="Menor"),CONCATENATE("R3C",'Mapa final'!#REF!),"")</f>
        <v>#REF!</v>
      </c>
      <c r="U8" s="51" t="e">
        <f>IF(AND('Mapa final'!#REF!="Muy Alta",'Mapa final'!#REF!="Menor"),CONCATENATE("R3C",'Mapa final'!#REF!),"")</f>
        <v>#REF!</v>
      </c>
      <c r="V8" s="49" t="str">
        <f>IF(AND('Mapa final'!$AI$16="Muy Alta",'Mapa final'!$AK$16="Moderado"),CONCATENATE("R3C",'Mapa final'!$Y$16),"")</f>
        <v/>
      </c>
      <c r="W8" s="50" t="e">
        <f>IF(AND('Mapa final'!#REF!="Muy Alta",'Mapa final'!#REF!="Moderado"),CONCATENATE("R3C",'Mapa final'!#REF!),"")</f>
        <v>#REF!</v>
      </c>
      <c r="X8" s="50" t="e">
        <f>IF(AND('Mapa final'!#REF!="Muy Alta",'Mapa final'!#REF!="Moderado"),CONCATENATE("R3C",'Mapa final'!#REF!),"")</f>
        <v>#REF!</v>
      </c>
      <c r="Y8" s="50" t="e">
        <f>IF(AND('Mapa final'!#REF!="Muy Alta",'Mapa final'!#REF!="Moderado"),CONCATENATE("R3C",'Mapa final'!#REF!),"")</f>
        <v>#REF!</v>
      </c>
      <c r="Z8" s="50" t="e">
        <f>IF(AND('Mapa final'!#REF!="Muy Alta",'Mapa final'!#REF!="Moderado"),CONCATENATE("R3C",'Mapa final'!#REF!),"")</f>
        <v>#REF!</v>
      </c>
      <c r="AA8" s="51" t="e">
        <f>IF(AND('Mapa final'!#REF!="Muy Alta",'Mapa final'!#REF!="Moderado"),CONCATENATE("R3C",'Mapa final'!#REF!),"")</f>
        <v>#REF!</v>
      </c>
      <c r="AB8" s="49" t="str">
        <f>IF(AND('Mapa final'!$AI$16="Muy Alta",'Mapa final'!$AK$16="Mayor"),CONCATENATE("R3C",'Mapa final'!$Y$16),"")</f>
        <v/>
      </c>
      <c r="AC8" s="50" t="e">
        <f>IF(AND('Mapa final'!#REF!="Muy Alta",'Mapa final'!#REF!="Mayor"),CONCATENATE("R3C",'Mapa final'!#REF!),"")</f>
        <v>#REF!</v>
      </c>
      <c r="AD8" s="50" t="e">
        <f>IF(AND('Mapa final'!#REF!="Muy Alta",'Mapa final'!#REF!="Mayor"),CONCATENATE("R3C",'Mapa final'!#REF!),"")</f>
        <v>#REF!</v>
      </c>
      <c r="AE8" s="50" t="e">
        <f>IF(AND('Mapa final'!#REF!="Muy Alta",'Mapa final'!#REF!="Mayor"),CONCATENATE("R3C",'Mapa final'!#REF!),"")</f>
        <v>#REF!</v>
      </c>
      <c r="AF8" s="50" t="e">
        <f>IF(AND('Mapa final'!#REF!="Muy Alta",'Mapa final'!#REF!="Mayor"),CONCATENATE("R3C",'Mapa final'!#REF!),"")</f>
        <v>#REF!</v>
      </c>
      <c r="AG8" s="51" t="e">
        <f>IF(AND('Mapa final'!#REF!="Muy Alta",'Mapa final'!#REF!="Mayor"),CONCATENATE("R3C",'Mapa final'!#REF!),"")</f>
        <v>#REF!</v>
      </c>
      <c r="AH8" s="52" t="str">
        <f>IF(AND('Mapa final'!$AI$16="Muy Alta",'Mapa final'!$AK$16="Catastrófico"),CONCATENATE("R3C",'Mapa final'!$Y$16),"")</f>
        <v/>
      </c>
      <c r="AI8" s="53" t="e">
        <f>IF(AND('Mapa final'!#REF!="Muy Alta",'Mapa final'!#REF!="Catastrófico"),CONCATENATE("R3C",'Mapa final'!#REF!),"")</f>
        <v>#REF!</v>
      </c>
      <c r="AJ8" s="53" t="e">
        <f>IF(AND('Mapa final'!#REF!="Muy Alta",'Mapa final'!#REF!="Catastrófico"),CONCATENATE("R3C",'Mapa final'!#REF!),"")</f>
        <v>#REF!</v>
      </c>
      <c r="AK8" s="53" t="e">
        <f>IF(AND('Mapa final'!#REF!="Muy Alta",'Mapa final'!#REF!="Catastrófico"),CONCATENATE("R3C",'Mapa final'!#REF!),"")</f>
        <v>#REF!</v>
      </c>
      <c r="AL8" s="53" t="e">
        <f>IF(AND('Mapa final'!#REF!="Muy Alta",'Mapa final'!#REF!="Catastrófico"),CONCATENATE("R3C",'Mapa final'!#REF!),"")</f>
        <v>#REF!</v>
      </c>
      <c r="AM8" s="54" t="e">
        <f>IF(AND('Mapa final'!#REF!="Muy Alta",'Mapa final'!#REF!="Catastrófico"),CONCATENATE("R3C",'Mapa final'!#REF!),"")</f>
        <v>#REF!</v>
      </c>
      <c r="AN8" s="80"/>
      <c r="AO8" s="446"/>
      <c r="AP8" s="447"/>
      <c r="AQ8" s="447"/>
      <c r="AR8" s="447"/>
      <c r="AS8" s="447"/>
      <c r="AT8" s="448"/>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385"/>
      <c r="C9" s="385"/>
      <c r="D9" s="386"/>
      <c r="E9" s="426"/>
      <c r="F9" s="427"/>
      <c r="G9" s="427"/>
      <c r="H9" s="427"/>
      <c r="I9" s="428"/>
      <c r="J9" s="49" t="str">
        <f>IF(AND('Mapa final'!$AI$17="Muy Alta",'Mapa final'!$AK$17="Leve"),CONCATENATE("R4C",'Mapa final'!$Y$17),"")</f>
        <v/>
      </c>
      <c r="K9" s="50" t="str">
        <f>IF(AND('Mapa final'!$AI$18="Muy Alta",'Mapa final'!$AK$18="Leve"),CONCATENATE("R4C",'Mapa final'!$Y$18),"")</f>
        <v/>
      </c>
      <c r="L9" s="50" t="str">
        <f>IF(AND('Mapa final'!$AI$19="Muy Alta",'Mapa final'!$AK$19="Leve"),CONCATENATE("R4C",'Mapa final'!$Y$19),"")</f>
        <v/>
      </c>
      <c r="M9" s="50" t="str">
        <f>IF(AND('Mapa final'!$AI$20="Muy Alta",'Mapa final'!$AK$20="Leve"),CONCATENATE("R4C",'Mapa final'!$Y$20),"")</f>
        <v/>
      </c>
      <c r="N9" s="50" t="str">
        <f>IF(AND('Mapa final'!$AI$21="Muy Alta",'Mapa final'!$AK$21="Leve"),CONCATENATE("R4C",'Mapa final'!$Y$21),"")</f>
        <v/>
      </c>
      <c r="O9" s="51" t="str">
        <f>IF(AND('Mapa final'!$AI$22="Muy Alta",'Mapa final'!$AK$22="Leve"),CONCATENATE("R4C",'Mapa final'!$Y$22),"")</f>
        <v/>
      </c>
      <c r="P9" s="49" t="str">
        <f>IF(AND('Mapa final'!$AI$17="Muy Alta",'Mapa final'!$AK$17="Menor"),CONCATENATE("R4C",'Mapa final'!$Y$17),"")</f>
        <v/>
      </c>
      <c r="Q9" s="50" t="str">
        <f>IF(AND('Mapa final'!$AI$18="Muy Alta",'Mapa final'!$AK$18="Menor"),CONCATENATE("R4C",'Mapa final'!$Y$18),"")</f>
        <v/>
      </c>
      <c r="R9" s="50" t="str">
        <f>IF(AND('Mapa final'!$AI$19="Muy Alta",'Mapa final'!$AK$19="Menor"),CONCATENATE("R4C",'Mapa final'!$Y$19),"")</f>
        <v/>
      </c>
      <c r="S9" s="50" t="str">
        <f>IF(AND('Mapa final'!$AI$20="Muy Alta",'Mapa final'!$AK$20="Menor"),CONCATENATE("R4C",'Mapa final'!$Y$20),"")</f>
        <v/>
      </c>
      <c r="T9" s="50" t="str">
        <f>IF(AND('Mapa final'!$AI$21="Muy Alta",'Mapa final'!$AK$21="Menor"),CONCATENATE("R4C",'Mapa final'!$Y$21),"")</f>
        <v/>
      </c>
      <c r="U9" s="51" t="str">
        <f>IF(AND('Mapa final'!$AI$22="Muy Alta",'Mapa final'!$AK$22="Menor"),CONCATENATE("R4C",'Mapa final'!$Y$22),"")</f>
        <v/>
      </c>
      <c r="V9" s="49" t="str">
        <f>IF(AND('Mapa final'!$AI$17="Muy Alta",'Mapa final'!$AK$17="Moderado"),CONCATENATE("R4C",'Mapa final'!$Y$17),"")</f>
        <v/>
      </c>
      <c r="W9" s="50" t="str">
        <f>IF(AND('Mapa final'!$AI$18="Muy Alta",'Mapa final'!$AK$18="Moderado"),CONCATENATE("R4C",'Mapa final'!$Y$18),"")</f>
        <v/>
      </c>
      <c r="X9" s="50" t="str">
        <f>IF(AND('Mapa final'!$AI$19="Muy Alta",'Mapa final'!$AK$19="Moderado"),CONCATENATE("R4C",'Mapa final'!$Y$19),"")</f>
        <v/>
      </c>
      <c r="Y9" s="50" t="str">
        <f>IF(AND('Mapa final'!$AI$20="Muy Alta",'Mapa final'!$AK$20="Moderado"),CONCATENATE("R4C",'Mapa final'!$Y$20),"")</f>
        <v/>
      </c>
      <c r="Z9" s="50" t="str">
        <f>IF(AND('Mapa final'!$AI$21="Muy Alta",'Mapa final'!$AK$21="Moderado"),CONCATENATE("R4C",'Mapa final'!$Y$21),"")</f>
        <v/>
      </c>
      <c r="AA9" s="51" t="str">
        <f>IF(AND('Mapa final'!$AI$22="Muy Alta",'Mapa final'!$AK$22="Moderado"),CONCATENATE("R4C",'Mapa final'!$Y$22),"")</f>
        <v/>
      </c>
      <c r="AB9" s="49" t="str">
        <f>IF(AND('Mapa final'!$AI$17="Muy Alta",'Mapa final'!$AK$17="Mayor"),CONCATENATE("R4C",'Mapa final'!$Y$17),"")</f>
        <v/>
      </c>
      <c r="AC9" s="50" t="str">
        <f>IF(AND('Mapa final'!$AI$18="Muy Alta",'Mapa final'!$AK$18="Mayor"),CONCATENATE("R4C",'Mapa final'!$Y$18),"")</f>
        <v/>
      </c>
      <c r="AD9" s="50" t="str">
        <f>IF(AND('Mapa final'!$AI$19="Muy Alta",'Mapa final'!$AK$19="Mayor"),CONCATENATE("R4C",'Mapa final'!$Y$19),"")</f>
        <v/>
      </c>
      <c r="AE9" s="50" t="str">
        <f>IF(AND('Mapa final'!$AI$20="Muy Alta",'Mapa final'!$AK$20="Mayor"),CONCATENATE("R4C",'Mapa final'!$Y$20),"")</f>
        <v/>
      </c>
      <c r="AF9" s="50" t="str">
        <f>IF(AND('Mapa final'!$AI$21="Muy Alta",'Mapa final'!$AK$21="Mayor"),CONCATENATE("R4C",'Mapa final'!$Y$21),"")</f>
        <v/>
      </c>
      <c r="AG9" s="51" t="str">
        <f>IF(AND('Mapa final'!$AI$22="Muy Alta",'Mapa final'!$AK$22="Mayor"),CONCATENATE("R4C",'Mapa final'!$Y$22),"")</f>
        <v/>
      </c>
      <c r="AH9" s="52" t="str">
        <f>IF(AND('Mapa final'!$AI$17="Muy Alta",'Mapa final'!$AK$17="Catastrófico"),CONCATENATE("R4C",'Mapa final'!$Y$17),"")</f>
        <v/>
      </c>
      <c r="AI9" s="53" t="str">
        <f>IF(AND('Mapa final'!$AI$18="Muy Alta",'Mapa final'!$AK$18="Catastrófico"),CONCATENATE("R4C",'Mapa final'!$Y$18),"")</f>
        <v/>
      </c>
      <c r="AJ9" s="53" t="str">
        <f>IF(AND('Mapa final'!$AI$19="Muy Alta",'Mapa final'!$AK$19="Catastrófico"),CONCATENATE("R4C",'Mapa final'!$Y$19),"")</f>
        <v/>
      </c>
      <c r="AK9" s="53" t="str">
        <f>IF(AND('Mapa final'!$AI$20="Muy Alta",'Mapa final'!$AK$20="Catastrófico"),CONCATENATE("R4C",'Mapa final'!$Y$20),"")</f>
        <v/>
      </c>
      <c r="AL9" s="53" t="str">
        <f>IF(AND('Mapa final'!$AI$21="Muy Alta",'Mapa final'!$AK$21="Catastrófico"),CONCATENATE("R4C",'Mapa final'!$Y$21),"")</f>
        <v/>
      </c>
      <c r="AM9" s="54" t="str">
        <f>IF(AND('Mapa final'!$AI$22="Muy Alta",'Mapa final'!$AK$22="Catastrófico"),CONCATENATE("R4C",'Mapa final'!$Y$22),"")</f>
        <v/>
      </c>
      <c r="AN9" s="80"/>
      <c r="AO9" s="446"/>
      <c r="AP9" s="447"/>
      <c r="AQ9" s="447"/>
      <c r="AR9" s="447"/>
      <c r="AS9" s="447"/>
      <c r="AT9" s="448"/>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385"/>
      <c r="C10" s="385"/>
      <c r="D10" s="386"/>
      <c r="E10" s="426"/>
      <c r="F10" s="427"/>
      <c r="G10" s="427"/>
      <c r="H10" s="427"/>
      <c r="I10" s="428"/>
      <c r="J10" s="49" t="str">
        <f>IF(AND('Mapa final'!$AI$23="Muy Alta",'Mapa final'!$AK$23="Leve"),CONCATENATE("R5C",'Mapa final'!$Y$23),"")</f>
        <v/>
      </c>
      <c r="K10" s="50" t="str">
        <f>IF(AND('Mapa final'!$AI$24="Muy Alta",'Mapa final'!$AK$24="Leve"),CONCATENATE("R5C",'Mapa final'!$Y$24),"")</f>
        <v/>
      </c>
      <c r="L10" s="50" t="str">
        <f>IF(AND('Mapa final'!$AI$25="Muy Alta",'Mapa final'!$AK$25="Leve"),CONCATENATE("R5C",'Mapa final'!$Y$25),"")</f>
        <v/>
      </c>
      <c r="M10" s="50" t="str">
        <f>IF(AND('Mapa final'!$AI$26="Muy Alta",'Mapa final'!$AK$26="Leve"),CONCATENATE("R5C",'Mapa final'!$Y$26),"")</f>
        <v/>
      </c>
      <c r="N10" s="50" t="str">
        <f>IF(AND('Mapa final'!$AI$27="Muy Alta",'Mapa final'!$AK$27="Leve"),CONCATENATE("R5C",'Mapa final'!$Y$27),"")</f>
        <v/>
      </c>
      <c r="O10" s="51" t="str">
        <f>IF(AND('Mapa final'!$AI$28="Muy Alta",'Mapa final'!$AK$28="Leve"),CONCATENATE("R5C",'Mapa final'!$Y$28),"")</f>
        <v/>
      </c>
      <c r="P10" s="49" t="str">
        <f>IF(AND('Mapa final'!$AI$23="Muy Alta",'Mapa final'!$AK$23="Menor"),CONCATENATE("R5C",'Mapa final'!$Y$23),"")</f>
        <v/>
      </c>
      <c r="Q10" s="50" t="str">
        <f>IF(AND('Mapa final'!$AI$24="Muy Alta",'Mapa final'!$AK$24="Menor"),CONCATENATE("R5C",'Mapa final'!$Y$24),"")</f>
        <v/>
      </c>
      <c r="R10" s="50" t="str">
        <f>IF(AND('Mapa final'!$AI$25="Muy Alta",'Mapa final'!$AK$25="Menor"),CONCATENATE("R5C",'Mapa final'!$Y$25),"")</f>
        <v/>
      </c>
      <c r="S10" s="50" t="str">
        <f>IF(AND('Mapa final'!$AI$26="Muy Alta",'Mapa final'!$AK$26="Menor"),CONCATENATE("R5C",'Mapa final'!$Y$26),"")</f>
        <v/>
      </c>
      <c r="T10" s="50" t="str">
        <f>IF(AND('Mapa final'!$AI$27="Muy Alta",'Mapa final'!$AK$27="Menor"),CONCATENATE("R5C",'Mapa final'!$Y$27),"")</f>
        <v/>
      </c>
      <c r="U10" s="51" t="str">
        <f>IF(AND('Mapa final'!$AI$28="Muy Alta",'Mapa final'!$AK$28="Menor"),CONCATENATE("R5C",'Mapa final'!$Y$28),"")</f>
        <v/>
      </c>
      <c r="V10" s="49" t="str">
        <f>IF(AND('Mapa final'!$AI$23="Muy Alta",'Mapa final'!$AK$23="Moderado"),CONCATENATE("R5C",'Mapa final'!$Y$23),"")</f>
        <v/>
      </c>
      <c r="W10" s="50" t="str">
        <f>IF(AND('Mapa final'!$AI$24="Muy Alta",'Mapa final'!$AK$24="Moderado"),CONCATENATE("R5C",'Mapa final'!$Y$24),"")</f>
        <v/>
      </c>
      <c r="X10" s="50" t="str">
        <f>IF(AND('Mapa final'!$AI$25="Muy Alta",'Mapa final'!$AK$25="Moderado"),CONCATENATE("R5C",'Mapa final'!$Y$25),"")</f>
        <v/>
      </c>
      <c r="Y10" s="50" t="str">
        <f>IF(AND('Mapa final'!$AI$26="Muy Alta",'Mapa final'!$AK$26="Moderado"),CONCATENATE("R5C",'Mapa final'!$Y$26),"")</f>
        <v/>
      </c>
      <c r="Z10" s="50" t="str">
        <f>IF(AND('Mapa final'!$AI$27="Muy Alta",'Mapa final'!$AK$27="Moderado"),CONCATENATE("R5C",'Mapa final'!$Y$27),"")</f>
        <v/>
      </c>
      <c r="AA10" s="51" t="str">
        <f>IF(AND('Mapa final'!$AI$28="Muy Alta",'Mapa final'!$AK$28="Moderado"),CONCATENATE("R5C",'Mapa final'!$Y$28),"")</f>
        <v/>
      </c>
      <c r="AB10" s="49" t="str">
        <f>IF(AND('Mapa final'!$AI$23="Muy Alta",'Mapa final'!$AK$23="Mayor"),CONCATENATE("R5C",'Mapa final'!$Y$23),"")</f>
        <v/>
      </c>
      <c r="AC10" s="50" t="str">
        <f>IF(AND('Mapa final'!$AI$24="Muy Alta",'Mapa final'!$AK$24="Mayor"),CONCATENATE("R5C",'Mapa final'!$Y$24),"")</f>
        <v/>
      </c>
      <c r="AD10" s="50" t="str">
        <f>IF(AND('Mapa final'!$AI$25="Muy Alta",'Mapa final'!$AK$25="Mayor"),CONCATENATE("R5C",'Mapa final'!$Y$25),"")</f>
        <v/>
      </c>
      <c r="AE10" s="50" t="str">
        <f>IF(AND('Mapa final'!$AI$26="Muy Alta",'Mapa final'!$AK$26="Mayor"),CONCATENATE("R5C",'Mapa final'!$Y$26),"")</f>
        <v/>
      </c>
      <c r="AF10" s="50" t="str">
        <f>IF(AND('Mapa final'!$AI$27="Muy Alta",'Mapa final'!$AK$27="Mayor"),CONCATENATE("R5C",'Mapa final'!$Y$27),"")</f>
        <v/>
      </c>
      <c r="AG10" s="51" t="str">
        <f>IF(AND('Mapa final'!$AI$28="Muy Alta",'Mapa final'!$AK$28="Mayor"),CONCATENATE("R5C",'Mapa final'!$Y$28),"")</f>
        <v/>
      </c>
      <c r="AH10" s="52" t="str">
        <f>IF(AND('Mapa final'!$AI$23="Muy Alta",'Mapa final'!$AK$23="Catastrófico"),CONCATENATE("R5C",'Mapa final'!$Y$23),"")</f>
        <v/>
      </c>
      <c r="AI10" s="53" t="str">
        <f>IF(AND('Mapa final'!$AI$24="Muy Alta",'Mapa final'!$AK$24="Catastrófico"),CONCATENATE("R5C",'Mapa final'!$Y$24),"")</f>
        <v/>
      </c>
      <c r="AJ10" s="53" t="str">
        <f>IF(AND('Mapa final'!$AI$25="Muy Alta",'Mapa final'!$AK$25="Catastrófico"),CONCATENATE("R5C",'Mapa final'!$Y$25),"")</f>
        <v/>
      </c>
      <c r="AK10" s="53" t="str">
        <f>IF(AND('Mapa final'!$AI$26="Muy Alta",'Mapa final'!$AK$26="Catastrófico"),CONCATENATE("R5C",'Mapa final'!$Y$26),"")</f>
        <v/>
      </c>
      <c r="AL10" s="53" t="str">
        <f>IF(AND('Mapa final'!$AI$27="Muy Alta",'Mapa final'!$AK$27="Catastrófico"),CONCATENATE("R5C",'Mapa final'!$Y$27),"")</f>
        <v/>
      </c>
      <c r="AM10" s="54" t="str">
        <f>IF(AND('Mapa final'!$AI$28="Muy Alta",'Mapa final'!$AK$28="Catastrófico"),CONCATENATE("R5C",'Mapa final'!$Y$28),"")</f>
        <v/>
      </c>
      <c r="AN10" s="80"/>
      <c r="AO10" s="446"/>
      <c r="AP10" s="447"/>
      <c r="AQ10" s="447"/>
      <c r="AR10" s="447"/>
      <c r="AS10" s="447"/>
      <c r="AT10" s="448"/>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385"/>
      <c r="C11" s="385"/>
      <c r="D11" s="386"/>
      <c r="E11" s="426"/>
      <c r="F11" s="427"/>
      <c r="G11" s="427"/>
      <c r="H11" s="427"/>
      <c r="I11" s="428"/>
      <c r="J11" s="49" t="str">
        <f>IF(AND('Mapa final'!$AI$29="Muy Alta",'Mapa final'!$AK$29="Leve"),CONCATENATE("R6C",'Mapa final'!$Y$29),"")</f>
        <v/>
      </c>
      <c r="K11" s="50" t="str">
        <f>IF(AND('Mapa final'!$AI$30="Muy Alta",'Mapa final'!$AK$30="Leve"),CONCATENATE("R6C",'Mapa final'!$Y$30),"")</f>
        <v/>
      </c>
      <c r="L11" s="50" t="str">
        <f>IF(AND('Mapa final'!$AI$31="Muy Alta",'Mapa final'!$AK$31="Leve"),CONCATENATE("R6C",'Mapa final'!$Y$31),"")</f>
        <v/>
      </c>
      <c r="M11" s="50" t="str">
        <f>IF(AND('Mapa final'!$AI$32="Muy Alta",'Mapa final'!$AK$32="Leve"),CONCATENATE("R6C",'Mapa final'!$Y$32),"")</f>
        <v/>
      </c>
      <c r="N11" s="50" t="str">
        <f>IF(AND('Mapa final'!$AI$33="Muy Alta",'Mapa final'!$AK$33="Leve"),CONCATENATE("R6C",'Mapa final'!$Y$33),"")</f>
        <v/>
      </c>
      <c r="O11" s="51" t="str">
        <f>IF(AND('Mapa final'!$AI$34="Muy Alta",'Mapa final'!$AK$34="Leve"),CONCATENATE("R6C",'Mapa final'!$Y$34),"")</f>
        <v/>
      </c>
      <c r="P11" s="49" t="str">
        <f>IF(AND('Mapa final'!$AI$29="Muy Alta",'Mapa final'!$AK$29="Menor"),CONCATENATE("R6C",'Mapa final'!$Y$29),"")</f>
        <v/>
      </c>
      <c r="Q11" s="50" t="str">
        <f>IF(AND('Mapa final'!$AI$30="Muy Alta",'Mapa final'!$AK$30="Menor"),CONCATENATE("R6C",'Mapa final'!$Y$30),"")</f>
        <v/>
      </c>
      <c r="R11" s="50" t="str">
        <f>IF(AND('Mapa final'!$AI$31="Muy Alta",'Mapa final'!$AK$31="Menor"),CONCATENATE("R6C",'Mapa final'!$Y$31),"")</f>
        <v/>
      </c>
      <c r="S11" s="50" t="str">
        <f>IF(AND('Mapa final'!$AI$32="Muy Alta",'Mapa final'!$AK$32="Menor"),CONCATENATE("R6C",'Mapa final'!$Y$32),"")</f>
        <v/>
      </c>
      <c r="T11" s="50" t="str">
        <f>IF(AND('Mapa final'!$AI$33="Muy Alta",'Mapa final'!$AK$33="Menor"),CONCATENATE("R6C",'Mapa final'!$Y$33),"")</f>
        <v/>
      </c>
      <c r="U11" s="51" t="str">
        <f>IF(AND('Mapa final'!$AI$34="Muy Alta",'Mapa final'!$AK$34="Menor"),CONCATENATE("R6C",'Mapa final'!$Y$34),"")</f>
        <v/>
      </c>
      <c r="V11" s="49" t="str">
        <f>IF(AND('Mapa final'!$AI$29="Muy Alta",'Mapa final'!$AK$29="Moderado"),CONCATENATE("R6C",'Mapa final'!$Y$29),"")</f>
        <v/>
      </c>
      <c r="W11" s="50" t="str">
        <f>IF(AND('Mapa final'!$AI$30="Muy Alta",'Mapa final'!$AK$30="Moderado"),CONCATENATE("R6C",'Mapa final'!$Y$30),"")</f>
        <v/>
      </c>
      <c r="X11" s="50" t="str">
        <f>IF(AND('Mapa final'!$AI$31="Muy Alta",'Mapa final'!$AK$31="Moderado"),CONCATENATE("R6C",'Mapa final'!$Y$31),"")</f>
        <v/>
      </c>
      <c r="Y11" s="50" t="str">
        <f>IF(AND('Mapa final'!$AI$32="Muy Alta",'Mapa final'!$AK$32="Moderado"),CONCATENATE("R6C",'Mapa final'!$Y$32),"")</f>
        <v/>
      </c>
      <c r="Z11" s="50" t="str">
        <f>IF(AND('Mapa final'!$AI$33="Muy Alta",'Mapa final'!$AK$33="Moderado"),CONCATENATE("R6C",'Mapa final'!$Y$33),"")</f>
        <v/>
      </c>
      <c r="AA11" s="51" t="str">
        <f>IF(AND('Mapa final'!$AI$34="Muy Alta",'Mapa final'!$AK$34="Moderado"),CONCATENATE("R6C",'Mapa final'!$Y$34),"")</f>
        <v/>
      </c>
      <c r="AB11" s="49" t="str">
        <f>IF(AND('Mapa final'!$AI$29="Muy Alta",'Mapa final'!$AK$29="Mayor"),CONCATENATE("R6C",'Mapa final'!$Y$29),"")</f>
        <v/>
      </c>
      <c r="AC11" s="50" t="str">
        <f>IF(AND('Mapa final'!$AI$30="Muy Alta",'Mapa final'!$AK$30="Mayor"),CONCATENATE("R6C",'Mapa final'!$Y$30),"")</f>
        <v/>
      </c>
      <c r="AD11" s="50" t="str">
        <f>IF(AND('Mapa final'!$AI$31="Muy Alta",'Mapa final'!$AK$31="Mayor"),CONCATENATE("R6C",'Mapa final'!$Y$31),"")</f>
        <v/>
      </c>
      <c r="AE11" s="50" t="str">
        <f>IF(AND('Mapa final'!$AI$32="Muy Alta",'Mapa final'!$AK$32="Mayor"),CONCATENATE("R6C",'Mapa final'!$Y$32),"")</f>
        <v/>
      </c>
      <c r="AF11" s="50" t="str">
        <f>IF(AND('Mapa final'!$AI$33="Muy Alta",'Mapa final'!$AK$33="Mayor"),CONCATENATE("R6C",'Mapa final'!$Y$33),"")</f>
        <v/>
      </c>
      <c r="AG11" s="51" t="str">
        <f>IF(AND('Mapa final'!$AI$34="Muy Alta",'Mapa final'!$AK$34="Mayor"),CONCATENATE("R6C",'Mapa final'!$Y$34),"")</f>
        <v/>
      </c>
      <c r="AH11" s="52" t="str">
        <f>IF(AND('Mapa final'!$AI$29="Muy Alta",'Mapa final'!$AK$29="Catastrófico"),CONCATENATE("R6C",'Mapa final'!$Y$29),"")</f>
        <v/>
      </c>
      <c r="AI11" s="53" t="str">
        <f>IF(AND('Mapa final'!$AI$30="Muy Alta",'Mapa final'!$AK$30="Catastrófico"),CONCATENATE("R6C",'Mapa final'!$Y$30),"")</f>
        <v/>
      </c>
      <c r="AJ11" s="53" t="str">
        <f>IF(AND('Mapa final'!$AI$31="Muy Alta",'Mapa final'!$AK$31="Catastrófico"),CONCATENATE("R6C",'Mapa final'!$Y$31),"")</f>
        <v/>
      </c>
      <c r="AK11" s="53" t="str">
        <f>IF(AND('Mapa final'!$AI$32="Muy Alta",'Mapa final'!$AK$32="Catastrófico"),CONCATENATE("R6C",'Mapa final'!$Y$32),"")</f>
        <v/>
      </c>
      <c r="AL11" s="53" t="str">
        <f>IF(AND('Mapa final'!$AI$33="Muy Alta",'Mapa final'!$AK$33="Catastrófico"),CONCATENATE("R6C",'Mapa final'!$Y$33),"")</f>
        <v/>
      </c>
      <c r="AM11" s="54" t="str">
        <f>IF(AND('Mapa final'!$AI$34="Muy Alta",'Mapa final'!$AK$34="Catastrófico"),CONCATENATE("R6C",'Mapa final'!$Y$34),"")</f>
        <v/>
      </c>
      <c r="AN11" s="80"/>
      <c r="AO11" s="446"/>
      <c r="AP11" s="447"/>
      <c r="AQ11" s="447"/>
      <c r="AR11" s="447"/>
      <c r="AS11" s="447"/>
      <c r="AT11" s="448"/>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385"/>
      <c r="C12" s="385"/>
      <c r="D12" s="386"/>
      <c r="E12" s="426"/>
      <c r="F12" s="427"/>
      <c r="G12" s="427"/>
      <c r="H12" s="427"/>
      <c r="I12" s="428"/>
      <c r="J12" s="49" t="str">
        <f>IF(AND('Mapa final'!$AI$35="Muy Alta",'Mapa final'!$AK$35="Leve"),CONCATENATE("R7C",'Mapa final'!$Y$35),"")</f>
        <v/>
      </c>
      <c r="K12" s="50" t="str">
        <f>IF(AND('Mapa final'!$AI$36="Muy Alta",'Mapa final'!$AK$36="Leve"),CONCATENATE("R7C",'Mapa final'!$Y$36),"")</f>
        <v/>
      </c>
      <c r="L12" s="50" t="str">
        <f>IF(AND('Mapa final'!$AI$37="Muy Alta",'Mapa final'!$AK$37="Leve"),CONCATENATE("R7C",'Mapa final'!$Y$37),"")</f>
        <v/>
      </c>
      <c r="M12" s="50" t="str">
        <f>IF(AND('Mapa final'!$AI$38="Muy Alta",'Mapa final'!$AK$38="Leve"),CONCATENATE("R7C",'Mapa final'!$Y$38),"")</f>
        <v/>
      </c>
      <c r="N12" s="50" t="str">
        <f>IF(AND('Mapa final'!$AI$39="Muy Alta",'Mapa final'!$AK$39="Leve"),CONCATENATE("R7C",'Mapa final'!$Y$39),"")</f>
        <v/>
      </c>
      <c r="O12" s="51" t="str">
        <f>IF(AND('Mapa final'!$AI$40="Muy Alta",'Mapa final'!$AK$40="Leve"),CONCATENATE("R7C",'Mapa final'!$Y$40),"")</f>
        <v/>
      </c>
      <c r="P12" s="49" t="str">
        <f>IF(AND('Mapa final'!$AI$35="Muy Alta",'Mapa final'!$AK$35="Menor"),CONCATENATE("R7C",'Mapa final'!$Y$35),"")</f>
        <v/>
      </c>
      <c r="Q12" s="50" t="str">
        <f>IF(AND('Mapa final'!$AI$36="Muy Alta",'Mapa final'!$AK$36="Menor"),CONCATENATE("R7C",'Mapa final'!$Y$36),"")</f>
        <v/>
      </c>
      <c r="R12" s="50" t="str">
        <f>IF(AND('Mapa final'!$AI$37="Muy Alta",'Mapa final'!$AK$37="Menor"),CONCATENATE("R7C",'Mapa final'!$Y$37),"")</f>
        <v/>
      </c>
      <c r="S12" s="50" t="str">
        <f>IF(AND('Mapa final'!$AI$38="Muy Alta",'Mapa final'!$AK$38="Menor"),CONCATENATE("R7C",'Mapa final'!$Y$38),"")</f>
        <v/>
      </c>
      <c r="T12" s="50" t="str">
        <f>IF(AND('Mapa final'!$AI$39="Muy Alta",'Mapa final'!$AK$39="Menor"),CONCATENATE("R7C",'Mapa final'!$Y$39),"")</f>
        <v/>
      </c>
      <c r="U12" s="51" t="str">
        <f>IF(AND('Mapa final'!$AI$40="Muy Alta",'Mapa final'!$AK$40="Menor"),CONCATENATE("R7C",'Mapa final'!$Y$40),"")</f>
        <v/>
      </c>
      <c r="V12" s="49" t="str">
        <f>IF(AND('Mapa final'!$AI$35="Muy Alta",'Mapa final'!$AK$35="Moderado"),CONCATENATE("R7C",'Mapa final'!$Y$35),"")</f>
        <v/>
      </c>
      <c r="W12" s="50" t="str">
        <f>IF(AND('Mapa final'!$AI$36="Muy Alta",'Mapa final'!$AK$36="Moderado"),CONCATENATE("R7C",'Mapa final'!$Y$36),"")</f>
        <v/>
      </c>
      <c r="X12" s="50" t="str">
        <f>IF(AND('Mapa final'!$AI$37="Muy Alta",'Mapa final'!$AK$37="Moderado"),CONCATENATE("R7C",'Mapa final'!$Y$37),"")</f>
        <v/>
      </c>
      <c r="Y12" s="50" t="str">
        <f>IF(AND('Mapa final'!$AI$38="Muy Alta",'Mapa final'!$AK$38="Moderado"),CONCATENATE("R7C",'Mapa final'!$Y$38),"")</f>
        <v/>
      </c>
      <c r="Z12" s="50" t="str">
        <f>IF(AND('Mapa final'!$AI$39="Muy Alta",'Mapa final'!$AK$39="Moderado"),CONCATENATE("R7C",'Mapa final'!$Y$39),"")</f>
        <v/>
      </c>
      <c r="AA12" s="51" t="str">
        <f>IF(AND('Mapa final'!$AI$40="Muy Alta",'Mapa final'!$AK$40="Moderado"),CONCATENATE("R7C",'Mapa final'!$Y$40),"")</f>
        <v/>
      </c>
      <c r="AB12" s="49" t="str">
        <f>IF(AND('Mapa final'!$AI$35="Muy Alta",'Mapa final'!$AK$35="Mayor"),CONCATENATE("R7C",'Mapa final'!$Y$35),"")</f>
        <v/>
      </c>
      <c r="AC12" s="50" t="str">
        <f>IF(AND('Mapa final'!$AI$36="Muy Alta",'Mapa final'!$AK$36="Mayor"),CONCATENATE("R7C",'Mapa final'!$Y$36),"")</f>
        <v/>
      </c>
      <c r="AD12" s="50" t="str">
        <f>IF(AND('Mapa final'!$AI$37="Muy Alta",'Mapa final'!$AK$37="Mayor"),CONCATENATE("R7C",'Mapa final'!$Y$37),"")</f>
        <v/>
      </c>
      <c r="AE12" s="50" t="str">
        <f>IF(AND('Mapa final'!$AI$38="Muy Alta",'Mapa final'!$AK$38="Mayor"),CONCATENATE("R7C",'Mapa final'!$Y$38),"")</f>
        <v/>
      </c>
      <c r="AF12" s="50" t="str">
        <f>IF(AND('Mapa final'!$AI$39="Muy Alta",'Mapa final'!$AK$39="Mayor"),CONCATENATE("R7C",'Mapa final'!$Y$39),"")</f>
        <v/>
      </c>
      <c r="AG12" s="51" t="str">
        <f>IF(AND('Mapa final'!$AI$40="Muy Alta",'Mapa final'!$AK$40="Mayor"),CONCATENATE("R7C",'Mapa final'!$Y$40),"")</f>
        <v/>
      </c>
      <c r="AH12" s="52" t="str">
        <f>IF(AND('Mapa final'!$AI$35="Muy Alta",'Mapa final'!$AK$35="Catastrófico"),CONCATENATE("R7C",'Mapa final'!$Y$35),"")</f>
        <v/>
      </c>
      <c r="AI12" s="53" t="str">
        <f>IF(AND('Mapa final'!$AI$36="Muy Alta",'Mapa final'!$AK$36="Catastrófico"),CONCATENATE("R7C",'Mapa final'!$Y$36),"")</f>
        <v/>
      </c>
      <c r="AJ12" s="53" t="str">
        <f>IF(AND('Mapa final'!$AI$37="Muy Alta",'Mapa final'!$AK$37="Catastrófico"),CONCATENATE("R7C",'Mapa final'!$Y$37),"")</f>
        <v/>
      </c>
      <c r="AK12" s="53" t="str">
        <f>IF(AND('Mapa final'!$AI$38="Muy Alta",'Mapa final'!$AK$38="Catastrófico"),CONCATENATE("R7C",'Mapa final'!$Y$38),"")</f>
        <v/>
      </c>
      <c r="AL12" s="53" t="str">
        <f>IF(AND('Mapa final'!$AI$39="Muy Alta",'Mapa final'!$AK$39="Catastrófico"),CONCATENATE("R7C",'Mapa final'!$Y$39),"")</f>
        <v/>
      </c>
      <c r="AM12" s="54" t="str">
        <f>IF(AND('Mapa final'!$AI$40="Muy Alta",'Mapa final'!$AK$40="Catastrófico"),CONCATENATE("R7C",'Mapa final'!$Y$40),"")</f>
        <v/>
      </c>
      <c r="AN12" s="80"/>
      <c r="AO12" s="446"/>
      <c r="AP12" s="447"/>
      <c r="AQ12" s="447"/>
      <c r="AR12" s="447"/>
      <c r="AS12" s="447"/>
      <c r="AT12" s="448"/>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385"/>
      <c r="C13" s="385"/>
      <c r="D13" s="386"/>
      <c r="E13" s="426"/>
      <c r="F13" s="427"/>
      <c r="G13" s="427"/>
      <c r="H13" s="427"/>
      <c r="I13" s="428"/>
      <c r="J13" s="49" t="str">
        <f>IF(AND('Mapa final'!$AI$41="Muy Alta",'Mapa final'!$AK$41="Leve"),CONCATENATE("R8C",'Mapa final'!$Y$41),"")</f>
        <v/>
      </c>
      <c r="K13" s="50" t="str">
        <f>IF(AND('Mapa final'!$AI$42="Muy Alta",'Mapa final'!$AK$42="Leve"),CONCATENATE("R8C",'Mapa final'!$Y$42),"")</f>
        <v/>
      </c>
      <c r="L13" s="50" t="str">
        <f>IF(AND('Mapa final'!$AI$43="Muy Alta",'Mapa final'!$AK$43="Leve"),CONCATENATE("R8C",'Mapa final'!$Y$43),"")</f>
        <v/>
      </c>
      <c r="M13" s="50" t="str">
        <f>IF(AND('Mapa final'!$AI$44="Muy Alta",'Mapa final'!$AK$44="Leve"),CONCATENATE("R8C",'Mapa final'!$Y$44),"")</f>
        <v/>
      </c>
      <c r="N13" s="50" t="str">
        <f>IF(AND('Mapa final'!$AI$45="Muy Alta",'Mapa final'!$AK$45="Leve"),CONCATENATE("R8C",'Mapa final'!$Y$45),"")</f>
        <v/>
      </c>
      <c r="O13" s="51" t="str">
        <f>IF(AND('Mapa final'!$AI$46="Muy Alta",'Mapa final'!$AK$46="Leve"),CONCATENATE("R8C",'Mapa final'!$Y$46),"")</f>
        <v/>
      </c>
      <c r="P13" s="49" t="str">
        <f>IF(AND('Mapa final'!$AI$41="Muy Alta",'Mapa final'!$AK$41="Menor"),CONCATENATE("R8C",'Mapa final'!$Y$41),"")</f>
        <v/>
      </c>
      <c r="Q13" s="50" t="str">
        <f>IF(AND('Mapa final'!$AI$42="Muy Alta",'Mapa final'!$AK$42="Menor"),CONCATENATE("R8C",'Mapa final'!$Y$42),"")</f>
        <v/>
      </c>
      <c r="R13" s="50" t="str">
        <f>IF(AND('Mapa final'!$AI$43="Muy Alta",'Mapa final'!$AK$43="Menor"),CONCATENATE("R8C",'Mapa final'!$Y$43),"")</f>
        <v/>
      </c>
      <c r="S13" s="50" t="str">
        <f>IF(AND('Mapa final'!$AI$44="Muy Alta",'Mapa final'!$AK$44="Menor"),CONCATENATE("R8C",'Mapa final'!$Y$44),"")</f>
        <v/>
      </c>
      <c r="T13" s="50" t="str">
        <f>IF(AND('Mapa final'!$AI$45="Muy Alta",'Mapa final'!$AK$45="Menor"),CONCATENATE("R8C",'Mapa final'!$Y$45),"")</f>
        <v/>
      </c>
      <c r="U13" s="51" t="str">
        <f>IF(AND('Mapa final'!$AI$46="Muy Alta",'Mapa final'!$AK$46="Menor"),CONCATENATE("R8C",'Mapa final'!$Y$46),"")</f>
        <v/>
      </c>
      <c r="V13" s="49" t="str">
        <f>IF(AND('Mapa final'!$AI$41="Muy Alta",'Mapa final'!$AK$41="Moderado"),CONCATENATE("R8C",'Mapa final'!$Y$41),"")</f>
        <v/>
      </c>
      <c r="W13" s="50" t="str">
        <f>IF(AND('Mapa final'!$AI$42="Muy Alta",'Mapa final'!$AK$42="Moderado"),CONCATENATE("R8C",'Mapa final'!$Y$42),"")</f>
        <v/>
      </c>
      <c r="X13" s="50" t="str">
        <f>IF(AND('Mapa final'!$AI$43="Muy Alta",'Mapa final'!$AK$43="Moderado"),CONCATENATE("R8C",'Mapa final'!$Y$43),"")</f>
        <v/>
      </c>
      <c r="Y13" s="50" t="str">
        <f>IF(AND('Mapa final'!$AI$44="Muy Alta",'Mapa final'!$AK$44="Moderado"),CONCATENATE("R8C",'Mapa final'!$Y$44),"")</f>
        <v/>
      </c>
      <c r="Z13" s="50" t="str">
        <f>IF(AND('Mapa final'!$AI$45="Muy Alta",'Mapa final'!$AK$45="Moderado"),CONCATENATE("R8C",'Mapa final'!$Y$45),"")</f>
        <v/>
      </c>
      <c r="AA13" s="51" t="str">
        <f>IF(AND('Mapa final'!$AI$46="Muy Alta",'Mapa final'!$AK$46="Moderado"),CONCATENATE("R8C",'Mapa final'!$Y$46),"")</f>
        <v/>
      </c>
      <c r="AB13" s="49" t="str">
        <f>IF(AND('Mapa final'!$AI$41="Muy Alta",'Mapa final'!$AK$41="Mayor"),CONCATENATE("R8C",'Mapa final'!$Y$41),"")</f>
        <v/>
      </c>
      <c r="AC13" s="50" t="str">
        <f>IF(AND('Mapa final'!$AI$42="Muy Alta",'Mapa final'!$AK$42="Mayor"),CONCATENATE("R8C",'Mapa final'!$Y$42),"")</f>
        <v/>
      </c>
      <c r="AD13" s="50" t="str">
        <f>IF(AND('Mapa final'!$AI$43="Muy Alta",'Mapa final'!$AK$43="Mayor"),CONCATENATE("R8C",'Mapa final'!$Y$43),"")</f>
        <v/>
      </c>
      <c r="AE13" s="50" t="str">
        <f>IF(AND('Mapa final'!$AI$44="Muy Alta",'Mapa final'!$AK$44="Mayor"),CONCATENATE("R8C",'Mapa final'!$Y$44),"")</f>
        <v/>
      </c>
      <c r="AF13" s="50" t="str">
        <f>IF(AND('Mapa final'!$AI$45="Muy Alta",'Mapa final'!$AK$45="Mayor"),CONCATENATE("R8C",'Mapa final'!$Y$45),"")</f>
        <v/>
      </c>
      <c r="AG13" s="51" t="str">
        <f>IF(AND('Mapa final'!$AI$46="Muy Alta",'Mapa final'!$AK$46="Mayor"),CONCATENATE("R8C",'Mapa final'!$Y$46),"")</f>
        <v/>
      </c>
      <c r="AH13" s="52" t="str">
        <f>IF(AND('Mapa final'!$AI$41="Muy Alta",'Mapa final'!$AK$41="Catastrófico"),CONCATENATE("R8C",'Mapa final'!$Y$41),"")</f>
        <v/>
      </c>
      <c r="AI13" s="53" t="str">
        <f>IF(AND('Mapa final'!$AI$42="Muy Alta",'Mapa final'!$AK$42="Catastrófico"),CONCATENATE("R8C",'Mapa final'!$Y$42),"")</f>
        <v/>
      </c>
      <c r="AJ13" s="53" t="str">
        <f>IF(AND('Mapa final'!$AI$43="Muy Alta",'Mapa final'!$AK$43="Catastrófico"),CONCATENATE("R8C",'Mapa final'!$Y$43),"")</f>
        <v/>
      </c>
      <c r="AK13" s="53" t="str">
        <f>IF(AND('Mapa final'!$AI$44="Muy Alta",'Mapa final'!$AK$44="Catastrófico"),CONCATENATE("R8C",'Mapa final'!$Y$44),"")</f>
        <v/>
      </c>
      <c r="AL13" s="53" t="str">
        <f>IF(AND('Mapa final'!$AI$45="Muy Alta",'Mapa final'!$AK$45="Catastrófico"),CONCATENATE("R8C",'Mapa final'!$Y$45),"")</f>
        <v/>
      </c>
      <c r="AM13" s="54" t="str">
        <f>IF(AND('Mapa final'!$AI$46="Muy Alta",'Mapa final'!$AK$46="Catastrófico"),CONCATENATE("R8C",'Mapa final'!$Y$46),"")</f>
        <v/>
      </c>
      <c r="AN13" s="80"/>
      <c r="AO13" s="446"/>
      <c r="AP13" s="447"/>
      <c r="AQ13" s="447"/>
      <c r="AR13" s="447"/>
      <c r="AS13" s="447"/>
      <c r="AT13" s="448"/>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385"/>
      <c r="C14" s="385"/>
      <c r="D14" s="386"/>
      <c r="E14" s="426"/>
      <c r="F14" s="427"/>
      <c r="G14" s="427"/>
      <c r="H14" s="427"/>
      <c r="I14" s="428"/>
      <c r="J14" s="49" t="str">
        <f>IF(AND('Mapa final'!$AI$47="Muy Alta",'Mapa final'!$AK$47="Leve"),CONCATENATE("R9C",'Mapa final'!$Y$47),"")</f>
        <v/>
      </c>
      <c r="K14" s="50" t="str">
        <f>IF(AND('Mapa final'!$AI$48="Muy Alta",'Mapa final'!$AK$48="Leve"),CONCATENATE("R9C",'Mapa final'!$Y$48),"")</f>
        <v/>
      </c>
      <c r="L14" s="50" t="str">
        <f>IF(AND('Mapa final'!$AI$49="Muy Alta",'Mapa final'!$AK$49="Leve"),CONCATENATE("R9C",'Mapa final'!$Y$49),"")</f>
        <v/>
      </c>
      <c r="M14" s="50" t="str">
        <f>IF(AND('Mapa final'!$AI$50="Muy Alta",'Mapa final'!$AK$50="Leve"),CONCATENATE("R9C",'Mapa final'!$Y$50),"")</f>
        <v/>
      </c>
      <c r="N14" s="50" t="str">
        <f>IF(AND('Mapa final'!$AI$51="Muy Alta",'Mapa final'!$AK$51="Leve"),CONCATENATE("R9C",'Mapa final'!$Y$51),"")</f>
        <v/>
      </c>
      <c r="O14" s="51" t="str">
        <f>IF(AND('Mapa final'!$AI$52="Muy Alta",'Mapa final'!$AK$52="Leve"),CONCATENATE("R9C",'Mapa final'!$Y$52),"")</f>
        <v/>
      </c>
      <c r="P14" s="49" t="str">
        <f>IF(AND('Mapa final'!$AI$47="Muy Alta",'Mapa final'!$AK$47="Menor"),CONCATENATE("R9C",'Mapa final'!$Y$47),"")</f>
        <v/>
      </c>
      <c r="Q14" s="50" t="str">
        <f>IF(AND('Mapa final'!$AI$48="Muy Alta",'Mapa final'!$AK$48="Menor"),CONCATENATE("R9C",'Mapa final'!$Y$48),"")</f>
        <v/>
      </c>
      <c r="R14" s="50" t="str">
        <f>IF(AND('Mapa final'!$AI$49="Muy Alta",'Mapa final'!$AK$49="Menor"),CONCATENATE("R9C",'Mapa final'!$Y$49),"")</f>
        <v/>
      </c>
      <c r="S14" s="50" t="str">
        <f>IF(AND('Mapa final'!$AI$50="Muy Alta",'Mapa final'!$AK$50="Menor"),CONCATENATE("R9C",'Mapa final'!$Y$50),"")</f>
        <v/>
      </c>
      <c r="T14" s="50" t="str">
        <f>IF(AND('Mapa final'!$AI$51="Muy Alta",'Mapa final'!$AK$51="Menor"),CONCATENATE("R9C",'Mapa final'!$Y$51),"")</f>
        <v/>
      </c>
      <c r="U14" s="51" t="str">
        <f>IF(AND('Mapa final'!$AI$52="Muy Alta",'Mapa final'!$AK$52="Menor"),CONCATENATE("R9C",'Mapa final'!$Y$52),"")</f>
        <v/>
      </c>
      <c r="V14" s="49" t="str">
        <f>IF(AND('Mapa final'!$AI$47="Muy Alta",'Mapa final'!$AK$47="Moderado"),CONCATENATE("R9C",'Mapa final'!$Y$47),"")</f>
        <v/>
      </c>
      <c r="W14" s="50" t="str">
        <f>IF(AND('Mapa final'!$AI$48="Muy Alta",'Mapa final'!$AK$48="Moderado"),CONCATENATE("R9C",'Mapa final'!$Y$48),"")</f>
        <v/>
      </c>
      <c r="X14" s="50" t="str">
        <f>IF(AND('Mapa final'!$AI$49="Muy Alta",'Mapa final'!$AK$49="Moderado"),CONCATENATE("R9C",'Mapa final'!$Y$49),"")</f>
        <v/>
      </c>
      <c r="Y14" s="50" t="str">
        <f>IF(AND('Mapa final'!$AI$50="Muy Alta",'Mapa final'!$AK$50="Moderado"),CONCATENATE("R9C",'Mapa final'!$Y$50),"")</f>
        <v/>
      </c>
      <c r="Z14" s="50" t="str">
        <f>IF(AND('Mapa final'!$AI$51="Muy Alta",'Mapa final'!$AK$51="Moderado"),CONCATENATE("R9C",'Mapa final'!$Y$51),"")</f>
        <v/>
      </c>
      <c r="AA14" s="51" t="str">
        <f>IF(AND('Mapa final'!$AI$52="Muy Alta",'Mapa final'!$AK$52="Moderado"),CONCATENATE("R9C",'Mapa final'!$Y$52),"")</f>
        <v/>
      </c>
      <c r="AB14" s="49" t="str">
        <f>IF(AND('Mapa final'!$AI$47="Muy Alta",'Mapa final'!$AK$47="Mayor"),CONCATENATE("R9C",'Mapa final'!$Y$47),"")</f>
        <v/>
      </c>
      <c r="AC14" s="50" t="str">
        <f>IF(AND('Mapa final'!$AI$48="Muy Alta",'Mapa final'!$AK$48="Mayor"),CONCATENATE("R9C",'Mapa final'!$Y$48),"")</f>
        <v/>
      </c>
      <c r="AD14" s="50" t="str">
        <f>IF(AND('Mapa final'!$AI$49="Muy Alta",'Mapa final'!$AK$49="Mayor"),CONCATENATE("R9C",'Mapa final'!$Y$49),"")</f>
        <v/>
      </c>
      <c r="AE14" s="50" t="str">
        <f>IF(AND('Mapa final'!$AI$50="Muy Alta",'Mapa final'!$AK$50="Mayor"),CONCATENATE("R9C",'Mapa final'!$Y$50),"")</f>
        <v/>
      </c>
      <c r="AF14" s="50" t="str">
        <f>IF(AND('Mapa final'!$AI$51="Muy Alta",'Mapa final'!$AK$51="Mayor"),CONCATENATE("R9C",'Mapa final'!$Y$51),"")</f>
        <v/>
      </c>
      <c r="AG14" s="51" t="str">
        <f>IF(AND('Mapa final'!$AI$52="Muy Alta",'Mapa final'!$AK$52="Mayor"),CONCATENATE("R9C",'Mapa final'!$Y$52),"")</f>
        <v/>
      </c>
      <c r="AH14" s="52" t="str">
        <f>IF(AND('Mapa final'!$AI$47="Muy Alta",'Mapa final'!$AK$47="Catastrófico"),CONCATENATE("R9C",'Mapa final'!$Y$47),"")</f>
        <v/>
      </c>
      <c r="AI14" s="53" t="str">
        <f>IF(AND('Mapa final'!$AI$48="Muy Alta",'Mapa final'!$AK$48="Catastrófico"),CONCATENATE("R9C",'Mapa final'!$Y$48),"")</f>
        <v/>
      </c>
      <c r="AJ14" s="53" t="str">
        <f>IF(AND('Mapa final'!$AI$49="Muy Alta",'Mapa final'!$AK$49="Catastrófico"),CONCATENATE("R9C",'Mapa final'!$Y$49),"")</f>
        <v/>
      </c>
      <c r="AK14" s="53" t="str">
        <f>IF(AND('Mapa final'!$AI$50="Muy Alta",'Mapa final'!$AK$50="Catastrófico"),CONCATENATE("R9C",'Mapa final'!$Y$50),"")</f>
        <v/>
      </c>
      <c r="AL14" s="53" t="str">
        <f>IF(AND('Mapa final'!$AI$51="Muy Alta",'Mapa final'!$AK$51="Catastrófico"),CONCATENATE("R9C",'Mapa final'!$Y$51),"")</f>
        <v/>
      </c>
      <c r="AM14" s="54" t="str">
        <f>IF(AND('Mapa final'!$AI$52="Muy Alta",'Mapa final'!$AK$52="Catastrófico"),CONCATENATE("R9C",'Mapa final'!$Y$52),"")</f>
        <v/>
      </c>
      <c r="AN14" s="80"/>
      <c r="AO14" s="446"/>
      <c r="AP14" s="447"/>
      <c r="AQ14" s="447"/>
      <c r="AR14" s="447"/>
      <c r="AS14" s="447"/>
      <c r="AT14" s="448"/>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385"/>
      <c r="C15" s="385"/>
      <c r="D15" s="386"/>
      <c r="E15" s="429"/>
      <c r="F15" s="430"/>
      <c r="G15" s="430"/>
      <c r="H15" s="430"/>
      <c r="I15" s="431"/>
      <c r="J15" s="55" t="str">
        <f>IF(AND('Mapa final'!$AI$53="Muy Alta",'Mapa final'!$AK$53="Leve"),CONCATENATE("R10C",'Mapa final'!$Y$53),"")</f>
        <v/>
      </c>
      <c r="K15" s="56" t="str">
        <f>IF(AND('Mapa final'!$AI$54="Muy Alta",'Mapa final'!$AK$54="Leve"),CONCATENATE("R10C",'Mapa final'!$Y$54),"")</f>
        <v/>
      </c>
      <c r="L15" s="56" t="str">
        <f>IF(AND('Mapa final'!$AI$55="Muy Alta",'Mapa final'!$AK$55="Leve"),CONCATENATE("R10C",'Mapa final'!$Y$55),"")</f>
        <v/>
      </c>
      <c r="M15" s="56" t="str">
        <f>IF(AND('Mapa final'!$AI$56="Muy Alta",'Mapa final'!$AK$56="Leve"),CONCATENATE("R10C",'Mapa final'!$Y$56),"")</f>
        <v/>
      </c>
      <c r="N15" s="56" t="str">
        <f>IF(AND('Mapa final'!$AI$57="Muy Alta",'Mapa final'!$AK$57="Leve"),CONCATENATE("R10C",'Mapa final'!$Y$57),"")</f>
        <v/>
      </c>
      <c r="O15" s="57" t="str">
        <f>IF(AND('Mapa final'!$AI$58="Muy Alta",'Mapa final'!$AK$58="Leve"),CONCATENATE("R10C",'Mapa final'!$Y$58),"")</f>
        <v/>
      </c>
      <c r="P15" s="49" t="str">
        <f>IF(AND('Mapa final'!$AI$53="Muy Alta",'Mapa final'!$AK$53="Menor"),CONCATENATE("R10C",'Mapa final'!$Y$53),"")</f>
        <v/>
      </c>
      <c r="Q15" s="50" t="str">
        <f>IF(AND('Mapa final'!$AI$54="Muy Alta",'Mapa final'!$AK$54="Menor"),CONCATENATE("R10C",'Mapa final'!$Y$54),"")</f>
        <v/>
      </c>
      <c r="R15" s="50" t="str">
        <f>IF(AND('Mapa final'!$AI$55="Muy Alta",'Mapa final'!$AK$55="Menor"),CONCATENATE("R10C",'Mapa final'!$Y$55),"")</f>
        <v/>
      </c>
      <c r="S15" s="50" t="str">
        <f>IF(AND('Mapa final'!$AI$56="Muy Alta",'Mapa final'!$AK$56="Menor"),CONCATENATE("R10C",'Mapa final'!$Y$56),"")</f>
        <v/>
      </c>
      <c r="T15" s="50" t="str">
        <f>IF(AND('Mapa final'!$AI$57="Muy Alta",'Mapa final'!$AK$57="Menor"),CONCATENATE("R10C",'Mapa final'!$Y$57),"")</f>
        <v/>
      </c>
      <c r="U15" s="51" t="str">
        <f>IF(AND('Mapa final'!$AI$58="Muy Alta",'Mapa final'!$AK$58="Menor"),CONCATENATE("R10C",'Mapa final'!$Y$58),"")</f>
        <v/>
      </c>
      <c r="V15" s="55" t="str">
        <f>IF(AND('Mapa final'!$AI$53="Muy Alta",'Mapa final'!$AK$53="Moderado"),CONCATENATE("R10C",'Mapa final'!$Y$53),"")</f>
        <v/>
      </c>
      <c r="W15" s="56" t="str">
        <f>IF(AND('Mapa final'!$AI$54="Muy Alta",'Mapa final'!$AK$54="Moderado"),CONCATENATE("R10C",'Mapa final'!$Y$54),"")</f>
        <v/>
      </c>
      <c r="X15" s="56" t="str">
        <f>IF(AND('Mapa final'!$AI$55="Muy Alta",'Mapa final'!$AK$55="Moderado"),CONCATENATE("R10C",'Mapa final'!$Y$55),"")</f>
        <v/>
      </c>
      <c r="Y15" s="56" t="str">
        <f>IF(AND('Mapa final'!$AI$56="Muy Alta",'Mapa final'!$AK$56="Moderado"),CONCATENATE("R10C",'Mapa final'!$Y$56),"")</f>
        <v/>
      </c>
      <c r="Z15" s="56" t="str">
        <f>IF(AND('Mapa final'!$AI$57="Muy Alta",'Mapa final'!$AK$57="Moderado"),CONCATENATE("R10C",'Mapa final'!$Y$57),"")</f>
        <v/>
      </c>
      <c r="AA15" s="57" t="str">
        <f>IF(AND('Mapa final'!$AI$58="Muy Alta",'Mapa final'!$AK$58="Moderado"),CONCATENATE("R10C",'Mapa final'!$Y$58),"")</f>
        <v/>
      </c>
      <c r="AB15" s="49" t="str">
        <f>IF(AND('Mapa final'!$AI$53="Muy Alta",'Mapa final'!$AK$53="Mayor"),CONCATENATE("R10C",'Mapa final'!$Y$53),"")</f>
        <v/>
      </c>
      <c r="AC15" s="50" t="str">
        <f>IF(AND('Mapa final'!$AI$54="Muy Alta",'Mapa final'!$AK$54="Mayor"),CONCATENATE("R10C",'Mapa final'!$Y$54),"")</f>
        <v/>
      </c>
      <c r="AD15" s="50" t="str">
        <f>IF(AND('Mapa final'!$AI$55="Muy Alta",'Mapa final'!$AK$55="Mayor"),CONCATENATE("R10C",'Mapa final'!$Y$55),"")</f>
        <v/>
      </c>
      <c r="AE15" s="50" t="str">
        <f>IF(AND('Mapa final'!$AI$56="Muy Alta",'Mapa final'!$AK$56="Mayor"),CONCATENATE("R10C",'Mapa final'!$Y$56),"")</f>
        <v/>
      </c>
      <c r="AF15" s="50" t="str">
        <f>IF(AND('Mapa final'!$AI$57="Muy Alta",'Mapa final'!$AK$57="Mayor"),CONCATENATE("R10C",'Mapa final'!$Y$57),"")</f>
        <v/>
      </c>
      <c r="AG15" s="51" t="str">
        <f>IF(AND('Mapa final'!$AI$58="Muy Alta",'Mapa final'!$AK$58="Mayor"),CONCATENATE("R10C",'Mapa final'!$Y$58),"")</f>
        <v/>
      </c>
      <c r="AH15" s="58" t="str">
        <f>IF(AND('Mapa final'!$AI$53="Muy Alta",'Mapa final'!$AK$53="Catastrófico"),CONCATENATE("R10C",'Mapa final'!$Y$53),"")</f>
        <v/>
      </c>
      <c r="AI15" s="59" t="str">
        <f>IF(AND('Mapa final'!$AI$54="Muy Alta",'Mapa final'!$AK$54="Catastrófico"),CONCATENATE("R10C",'Mapa final'!$Y$54),"")</f>
        <v/>
      </c>
      <c r="AJ15" s="59" t="str">
        <f>IF(AND('Mapa final'!$AI$55="Muy Alta",'Mapa final'!$AK$55="Catastrófico"),CONCATENATE("R10C",'Mapa final'!$Y$55),"")</f>
        <v/>
      </c>
      <c r="AK15" s="59" t="str">
        <f>IF(AND('Mapa final'!$AI$56="Muy Alta",'Mapa final'!$AK$56="Catastrófico"),CONCATENATE("R10C",'Mapa final'!$Y$56),"")</f>
        <v/>
      </c>
      <c r="AL15" s="59" t="str">
        <f>IF(AND('Mapa final'!$AI$57="Muy Alta",'Mapa final'!$AK$57="Catastrófico"),CONCATENATE("R10C",'Mapa final'!$Y$57),"")</f>
        <v/>
      </c>
      <c r="AM15" s="60" t="str">
        <f>IF(AND('Mapa final'!$AI$58="Muy Alta",'Mapa final'!$AK$58="Catastrófico"),CONCATENATE("R10C",'Mapa final'!$Y$58),"")</f>
        <v/>
      </c>
      <c r="AN15" s="80"/>
      <c r="AO15" s="449"/>
      <c r="AP15" s="450"/>
      <c r="AQ15" s="450"/>
      <c r="AR15" s="450"/>
      <c r="AS15" s="450"/>
      <c r="AT15" s="451"/>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385"/>
      <c r="C16" s="385"/>
      <c r="D16" s="386"/>
      <c r="E16" s="423" t="s">
        <v>174</v>
      </c>
      <c r="F16" s="424"/>
      <c r="G16" s="424"/>
      <c r="H16" s="424"/>
      <c r="I16" s="424"/>
      <c r="J16" s="61" t="str">
        <f>IF(AND('Mapa final'!$AI$11="Alta",'Mapa final'!$AK$11="Leve"),CONCATENATE("R1C",'Mapa final'!$Y$11),"")</f>
        <v/>
      </c>
      <c r="K16" s="62" t="str">
        <f>IF(AND('Mapa final'!$AI$12="Alta",'Mapa final'!$AK$12="Leve"),CONCATENATE("R1C",'Mapa final'!$Y$12),"")</f>
        <v/>
      </c>
      <c r="L16" s="62" t="str">
        <f>IF(AND('Mapa final'!$AI$13="Alta",'Mapa final'!$AK$13="Leve"),CONCATENATE("R1C",'Mapa final'!$Y$13),"")</f>
        <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str">
        <f>IF(AND('Mapa final'!$AI$12="Alta",'Mapa final'!$AK$12="Menor"),CONCATENATE("R1C",'Mapa final'!$Y$12),"")</f>
        <v/>
      </c>
      <c r="R16" s="62" t="str">
        <f>IF(AND('Mapa final'!$AI$13="Alta",'Mapa final'!$AK$13="Menor"),CONCATENATE("R1C",'Mapa final'!$Y$13),"")</f>
        <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str">
        <f>IF(AND('Mapa final'!$AI$12="Alta",'Mapa final'!$AK$12="Moderado"),CONCATENATE("R1C",'Mapa final'!$Y$12),"")</f>
        <v/>
      </c>
      <c r="X16" s="44" t="str">
        <f>IF(AND('Mapa final'!$AI$13="Alta",'Mapa final'!$AK$13="Moderado"),CONCATENATE("R1C",'Mapa final'!$Y$13),"")</f>
        <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str">
        <f>IF(AND('Mapa final'!$AI$12="Alta",'Mapa final'!$AK$12="Mayor"),CONCATENATE("R1C",'Mapa final'!$Y$12),"")</f>
        <v/>
      </c>
      <c r="AD16" s="44" t="str">
        <f>IF(AND('Mapa final'!$AI$13="Alta",'Mapa final'!$AK$13="Mayor"),CONCATENATE("R1C",'Mapa final'!$Y$13),"")</f>
        <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str">
        <f>IF(AND('Mapa final'!$AI$12="Alta",'Mapa final'!$AK$12="Catastrófico"),CONCATENATE("R1C",'Mapa final'!$Y$12),"")</f>
        <v/>
      </c>
      <c r="AJ16" s="47" t="str">
        <f>IF(AND('Mapa final'!$AI$13="Alta",'Mapa final'!$AK$13="Catastrófico"),CONCATENATE("R1C",'Mapa final'!$Y$13),"")</f>
        <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33" t="s">
        <v>175</v>
      </c>
      <c r="AP16" s="434"/>
      <c r="AQ16" s="434"/>
      <c r="AR16" s="434"/>
      <c r="AS16" s="434"/>
      <c r="AT16" s="435"/>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385"/>
      <c r="C17" s="385"/>
      <c r="D17" s="386"/>
      <c r="E17" s="442"/>
      <c r="F17" s="427"/>
      <c r="G17" s="427"/>
      <c r="H17" s="427"/>
      <c r="I17" s="427"/>
      <c r="J17" s="64" t="str">
        <f>IF(AND('Mapa final'!$AI$14="Alta",'Mapa final'!$AK$14="Leve"),CONCATENATE("R2C",'Mapa final'!$Y$14),"")</f>
        <v/>
      </c>
      <c r="K17" s="65" t="str">
        <f>IF(AND('Mapa final'!$AI$15="Alta",'Mapa final'!$AK$15="Leve"),CONCATENATE("R2C",'Mapa final'!$Y$15),"")</f>
        <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final'!$AI$14="Alta",'Mapa final'!$AK$14="Menor"),CONCATENATE("R2C",'Mapa final'!$Y$14),"")</f>
        <v/>
      </c>
      <c r="Q17" s="65" t="str">
        <f>IF(AND('Mapa final'!$AI$15="Alta",'Mapa final'!$AK$15="Menor"),CONCATENATE("R2C",'Mapa final'!$Y$15),"")</f>
        <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final'!$AI$14="Alta",'Mapa final'!$AK$14="Moderado"),CONCATENATE("R2C",'Mapa final'!$Y$14),"")</f>
        <v/>
      </c>
      <c r="W17" s="50" t="str">
        <f>IF(AND('Mapa final'!$AI$15="Alta",'Mapa final'!$AK$15="Moderado"),CONCATENATE("R2C",'Mapa final'!$Y$15),"")</f>
        <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final'!$AI$14="Alta",'Mapa final'!$AK$14="Mayor"),CONCATENATE("R2C",'Mapa final'!$Y$14),"")</f>
        <v/>
      </c>
      <c r="AC17" s="50" t="str">
        <f>IF(AND('Mapa final'!$AI$15="Alta",'Mapa final'!$AK$15="Mayor"),CONCATENATE("R2C",'Mapa final'!$Y$15),"")</f>
        <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final'!$AI$14="Alta",'Mapa final'!$AK$14="Catastrófico"),CONCATENATE("R2C",'Mapa final'!$Y$14),"")</f>
        <v/>
      </c>
      <c r="AI17" s="53" t="str">
        <f>IF(AND('Mapa final'!$AI$15="Alta",'Mapa final'!$AK$15="Catastrófico"),CONCATENATE("R2C",'Mapa final'!$Y$15),"")</f>
        <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36"/>
      <c r="AP17" s="437"/>
      <c r="AQ17" s="437"/>
      <c r="AR17" s="437"/>
      <c r="AS17" s="437"/>
      <c r="AT17" s="438"/>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385"/>
      <c r="C18" s="385"/>
      <c r="D18" s="386"/>
      <c r="E18" s="426"/>
      <c r="F18" s="427"/>
      <c r="G18" s="427"/>
      <c r="H18" s="427"/>
      <c r="I18" s="427"/>
      <c r="J18" s="64" t="str">
        <f>IF(AND('Mapa final'!$AI$16="Alta",'Mapa final'!$AK$16="Leve"),CONCATENATE("R3C",'Mapa final'!$Y$16),"")</f>
        <v/>
      </c>
      <c r="K18" s="65" t="e">
        <f>IF(AND('Mapa final'!#REF!="Alta",'Mapa final'!#REF!="Leve"),CONCATENATE("R3C",'Mapa final'!#REF!),"")</f>
        <v>#REF!</v>
      </c>
      <c r="L18" s="65" t="e">
        <f>IF(AND('Mapa final'!#REF!="Alta",'Mapa final'!#REF!="Leve"),CONCATENATE("R3C",'Mapa final'!#REF!),"")</f>
        <v>#REF!</v>
      </c>
      <c r="M18" s="65" t="e">
        <f>IF(AND('Mapa final'!#REF!="Alta",'Mapa final'!#REF!="Leve"),CONCATENATE("R3C",'Mapa final'!#REF!),"")</f>
        <v>#REF!</v>
      </c>
      <c r="N18" s="65" t="e">
        <f>IF(AND('Mapa final'!#REF!="Alta",'Mapa final'!#REF!="Leve"),CONCATENATE("R3C",'Mapa final'!#REF!),"")</f>
        <v>#REF!</v>
      </c>
      <c r="O18" s="66" t="e">
        <f>IF(AND('Mapa final'!#REF!="Alta",'Mapa final'!#REF!="Leve"),CONCATENATE("R3C",'Mapa final'!#REF!),"")</f>
        <v>#REF!</v>
      </c>
      <c r="P18" s="64" t="str">
        <f>IF(AND('Mapa final'!$AI$16="Alta",'Mapa final'!$AK$16="Menor"),CONCATENATE("R3C",'Mapa final'!$Y$16),"")</f>
        <v/>
      </c>
      <c r="Q18" s="65" t="e">
        <f>IF(AND('Mapa final'!#REF!="Alta",'Mapa final'!#REF!="Menor"),CONCATENATE("R3C",'Mapa final'!#REF!),"")</f>
        <v>#REF!</v>
      </c>
      <c r="R18" s="65" t="e">
        <f>IF(AND('Mapa final'!#REF!="Alta",'Mapa final'!#REF!="Menor"),CONCATENATE("R3C",'Mapa final'!#REF!),"")</f>
        <v>#REF!</v>
      </c>
      <c r="S18" s="65" t="e">
        <f>IF(AND('Mapa final'!#REF!="Alta",'Mapa final'!#REF!="Menor"),CONCATENATE("R3C",'Mapa final'!#REF!),"")</f>
        <v>#REF!</v>
      </c>
      <c r="T18" s="65" t="e">
        <f>IF(AND('Mapa final'!#REF!="Alta",'Mapa final'!#REF!="Menor"),CONCATENATE("R3C",'Mapa final'!#REF!),"")</f>
        <v>#REF!</v>
      </c>
      <c r="U18" s="66" t="e">
        <f>IF(AND('Mapa final'!#REF!="Alta",'Mapa final'!#REF!="Menor"),CONCATENATE("R3C",'Mapa final'!#REF!),"")</f>
        <v>#REF!</v>
      </c>
      <c r="V18" s="49" t="str">
        <f>IF(AND('Mapa final'!$AI$16="Alta",'Mapa final'!$AK$16="Moderado"),CONCATENATE("R3C",'Mapa final'!$Y$16),"")</f>
        <v/>
      </c>
      <c r="W18" s="50" t="e">
        <f>IF(AND('Mapa final'!#REF!="Alta",'Mapa final'!#REF!="Moderado"),CONCATENATE("R3C",'Mapa final'!#REF!),"")</f>
        <v>#REF!</v>
      </c>
      <c r="X18" s="50" t="e">
        <f>IF(AND('Mapa final'!#REF!="Alta",'Mapa final'!#REF!="Moderado"),CONCATENATE("R3C",'Mapa final'!#REF!),"")</f>
        <v>#REF!</v>
      </c>
      <c r="Y18" s="50" t="e">
        <f>IF(AND('Mapa final'!#REF!="Alta",'Mapa final'!#REF!="Moderado"),CONCATENATE("R3C",'Mapa final'!#REF!),"")</f>
        <v>#REF!</v>
      </c>
      <c r="Z18" s="50" t="e">
        <f>IF(AND('Mapa final'!#REF!="Alta",'Mapa final'!#REF!="Moderado"),CONCATENATE("R3C",'Mapa final'!#REF!),"")</f>
        <v>#REF!</v>
      </c>
      <c r="AA18" s="51" t="e">
        <f>IF(AND('Mapa final'!#REF!="Alta",'Mapa final'!#REF!="Moderado"),CONCATENATE("R3C",'Mapa final'!#REF!),"")</f>
        <v>#REF!</v>
      </c>
      <c r="AB18" s="49" t="str">
        <f>IF(AND('Mapa final'!$AI$16="Alta",'Mapa final'!$AK$16="Mayor"),CONCATENATE("R3C",'Mapa final'!$Y$16),"")</f>
        <v/>
      </c>
      <c r="AC18" s="50" t="e">
        <f>IF(AND('Mapa final'!#REF!="Alta",'Mapa final'!#REF!="Mayor"),CONCATENATE("R3C",'Mapa final'!#REF!),"")</f>
        <v>#REF!</v>
      </c>
      <c r="AD18" s="50" t="e">
        <f>IF(AND('Mapa final'!#REF!="Alta",'Mapa final'!#REF!="Mayor"),CONCATENATE("R3C",'Mapa final'!#REF!),"")</f>
        <v>#REF!</v>
      </c>
      <c r="AE18" s="50" t="e">
        <f>IF(AND('Mapa final'!#REF!="Alta",'Mapa final'!#REF!="Mayor"),CONCATENATE("R3C",'Mapa final'!#REF!),"")</f>
        <v>#REF!</v>
      </c>
      <c r="AF18" s="50" t="e">
        <f>IF(AND('Mapa final'!#REF!="Alta",'Mapa final'!#REF!="Mayor"),CONCATENATE("R3C",'Mapa final'!#REF!),"")</f>
        <v>#REF!</v>
      </c>
      <c r="AG18" s="51" t="e">
        <f>IF(AND('Mapa final'!#REF!="Alta",'Mapa final'!#REF!="Mayor"),CONCATENATE("R3C",'Mapa final'!#REF!),"")</f>
        <v>#REF!</v>
      </c>
      <c r="AH18" s="52" t="str">
        <f>IF(AND('Mapa final'!$AI$16="Alta",'Mapa final'!$AK$16="Catastrófico"),CONCATENATE("R3C",'Mapa final'!$Y$16),"")</f>
        <v/>
      </c>
      <c r="AI18" s="53" t="e">
        <f>IF(AND('Mapa final'!#REF!="Alta",'Mapa final'!#REF!="Catastrófico"),CONCATENATE("R3C",'Mapa final'!#REF!),"")</f>
        <v>#REF!</v>
      </c>
      <c r="AJ18" s="53" t="e">
        <f>IF(AND('Mapa final'!#REF!="Alta",'Mapa final'!#REF!="Catastrófico"),CONCATENATE("R3C",'Mapa final'!#REF!),"")</f>
        <v>#REF!</v>
      </c>
      <c r="AK18" s="53" t="e">
        <f>IF(AND('Mapa final'!#REF!="Alta",'Mapa final'!#REF!="Catastrófico"),CONCATENATE("R3C",'Mapa final'!#REF!),"")</f>
        <v>#REF!</v>
      </c>
      <c r="AL18" s="53" t="e">
        <f>IF(AND('Mapa final'!#REF!="Alta",'Mapa final'!#REF!="Catastrófico"),CONCATENATE("R3C",'Mapa final'!#REF!),"")</f>
        <v>#REF!</v>
      </c>
      <c r="AM18" s="54" t="e">
        <f>IF(AND('Mapa final'!#REF!="Alta",'Mapa final'!#REF!="Catastrófico"),CONCATENATE("R3C",'Mapa final'!#REF!),"")</f>
        <v>#REF!</v>
      </c>
      <c r="AN18" s="80"/>
      <c r="AO18" s="436"/>
      <c r="AP18" s="437"/>
      <c r="AQ18" s="437"/>
      <c r="AR18" s="437"/>
      <c r="AS18" s="437"/>
      <c r="AT18" s="438"/>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385"/>
      <c r="C19" s="385"/>
      <c r="D19" s="386"/>
      <c r="E19" s="426"/>
      <c r="F19" s="427"/>
      <c r="G19" s="427"/>
      <c r="H19" s="427"/>
      <c r="I19" s="427"/>
      <c r="J19" s="64" t="str">
        <f>IF(AND('Mapa final'!$AI$17="Alta",'Mapa final'!$AK$17="Leve"),CONCATENATE("R4C",'Mapa final'!$Y$17),"")</f>
        <v/>
      </c>
      <c r="K19" s="65" t="str">
        <f>IF(AND('Mapa final'!$AI$18="Alta",'Mapa final'!$AK$18="Leve"),CONCATENATE("R4C",'Mapa final'!$Y$18),"")</f>
        <v/>
      </c>
      <c r="L19" s="65" t="str">
        <f>IF(AND('Mapa final'!$AI$19="Alta",'Mapa final'!$AK$19="Leve"),CONCATENATE("R4C",'Mapa final'!$Y$19),"")</f>
        <v/>
      </c>
      <c r="M19" s="65" t="str">
        <f>IF(AND('Mapa final'!$AI$20="Alta",'Mapa final'!$AK$20="Leve"),CONCATENATE("R4C",'Mapa final'!$Y$20),"")</f>
        <v/>
      </c>
      <c r="N19" s="65" t="str">
        <f>IF(AND('Mapa final'!$AI$21="Alta",'Mapa final'!$AK$21="Leve"),CONCATENATE("R4C",'Mapa final'!$Y$21),"")</f>
        <v/>
      </c>
      <c r="O19" s="66" t="str">
        <f>IF(AND('Mapa final'!$AI$22="Alta",'Mapa final'!$AK$22="Leve"),CONCATENATE("R4C",'Mapa final'!$Y$22),"")</f>
        <v/>
      </c>
      <c r="P19" s="64" t="str">
        <f>IF(AND('Mapa final'!$AI$17="Alta",'Mapa final'!$AK$17="Menor"),CONCATENATE("R4C",'Mapa final'!$Y$17),"")</f>
        <v/>
      </c>
      <c r="Q19" s="65" t="str">
        <f>IF(AND('Mapa final'!$AI$18="Alta",'Mapa final'!$AK$18="Menor"),CONCATENATE("R4C",'Mapa final'!$Y$18),"")</f>
        <v/>
      </c>
      <c r="R19" s="65" t="str">
        <f>IF(AND('Mapa final'!$AI$19="Alta",'Mapa final'!$AK$19="Menor"),CONCATENATE("R4C",'Mapa final'!$Y$19),"")</f>
        <v/>
      </c>
      <c r="S19" s="65" t="str">
        <f>IF(AND('Mapa final'!$AI$20="Alta",'Mapa final'!$AK$20="Menor"),CONCATENATE("R4C",'Mapa final'!$Y$20),"")</f>
        <v/>
      </c>
      <c r="T19" s="65" t="str">
        <f>IF(AND('Mapa final'!$AI$21="Alta",'Mapa final'!$AK$21="Menor"),CONCATENATE("R4C",'Mapa final'!$Y$21),"")</f>
        <v/>
      </c>
      <c r="U19" s="66" t="str">
        <f>IF(AND('Mapa final'!$AI$22="Alta",'Mapa final'!$AK$22="Menor"),CONCATENATE("R4C",'Mapa final'!$Y$22),"")</f>
        <v/>
      </c>
      <c r="V19" s="49" t="str">
        <f>IF(AND('Mapa final'!$AI$17="Alta",'Mapa final'!$AK$17="Moderado"),CONCATENATE("R4C",'Mapa final'!$Y$17),"")</f>
        <v/>
      </c>
      <c r="W19" s="50" t="str">
        <f>IF(AND('Mapa final'!$AI$18="Alta",'Mapa final'!$AK$18="Moderado"),CONCATENATE("R4C",'Mapa final'!$Y$18),"")</f>
        <v/>
      </c>
      <c r="X19" s="50" t="str">
        <f>IF(AND('Mapa final'!$AI$19="Alta",'Mapa final'!$AK$19="Moderado"),CONCATENATE("R4C",'Mapa final'!$Y$19),"")</f>
        <v/>
      </c>
      <c r="Y19" s="50" t="str">
        <f>IF(AND('Mapa final'!$AI$20="Alta",'Mapa final'!$AK$20="Moderado"),CONCATENATE("R4C",'Mapa final'!$Y$20),"")</f>
        <v/>
      </c>
      <c r="Z19" s="50" t="str">
        <f>IF(AND('Mapa final'!$AI$21="Alta",'Mapa final'!$AK$21="Moderado"),CONCATENATE("R4C",'Mapa final'!$Y$21),"")</f>
        <v/>
      </c>
      <c r="AA19" s="51" t="str">
        <f>IF(AND('Mapa final'!$AI$22="Alta",'Mapa final'!$AK$22="Moderado"),CONCATENATE("R4C",'Mapa final'!$Y$22),"")</f>
        <v/>
      </c>
      <c r="AB19" s="49" t="str">
        <f>IF(AND('Mapa final'!$AI$17="Alta",'Mapa final'!$AK$17="Mayor"),CONCATENATE("R4C",'Mapa final'!$Y$17),"")</f>
        <v/>
      </c>
      <c r="AC19" s="50" t="str">
        <f>IF(AND('Mapa final'!$AI$18="Alta",'Mapa final'!$AK$18="Mayor"),CONCATENATE("R4C",'Mapa final'!$Y$18),"")</f>
        <v/>
      </c>
      <c r="AD19" s="50" t="str">
        <f>IF(AND('Mapa final'!$AI$19="Alta",'Mapa final'!$AK$19="Mayor"),CONCATENATE("R4C",'Mapa final'!$Y$19),"")</f>
        <v/>
      </c>
      <c r="AE19" s="50" t="str">
        <f>IF(AND('Mapa final'!$AI$20="Alta",'Mapa final'!$AK$20="Mayor"),CONCATENATE("R4C",'Mapa final'!$Y$20),"")</f>
        <v/>
      </c>
      <c r="AF19" s="50" t="str">
        <f>IF(AND('Mapa final'!$AI$21="Alta",'Mapa final'!$AK$21="Mayor"),CONCATENATE("R4C",'Mapa final'!$Y$21),"")</f>
        <v/>
      </c>
      <c r="AG19" s="51" t="str">
        <f>IF(AND('Mapa final'!$AI$22="Alta",'Mapa final'!$AK$22="Mayor"),CONCATENATE("R4C",'Mapa final'!$Y$22),"")</f>
        <v/>
      </c>
      <c r="AH19" s="52" t="str">
        <f>IF(AND('Mapa final'!$AI$17="Alta",'Mapa final'!$AK$17="Catastrófico"),CONCATENATE("R4C",'Mapa final'!$Y$17),"")</f>
        <v/>
      </c>
      <c r="AI19" s="53" t="str">
        <f>IF(AND('Mapa final'!$AI$18="Alta",'Mapa final'!$AK$18="Catastrófico"),CONCATENATE("R4C",'Mapa final'!$Y$18),"")</f>
        <v/>
      </c>
      <c r="AJ19" s="53" t="str">
        <f>IF(AND('Mapa final'!$AI$19="Alta",'Mapa final'!$AK$19="Catastrófico"),CONCATENATE("R4C",'Mapa final'!$Y$19),"")</f>
        <v/>
      </c>
      <c r="AK19" s="53" t="str">
        <f>IF(AND('Mapa final'!$AI$20="Alta",'Mapa final'!$AK$20="Catastrófico"),CONCATENATE("R4C",'Mapa final'!$Y$20),"")</f>
        <v/>
      </c>
      <c r="AL19" s="53" t="str">
        <f>IF(AND('Mapa final'!$AI$21="Alta",'Mapa final'!$AK$21="Catastrófico"),CONCATENATE("R4C",'Mapa final'!$Y$21),"")</f>
        <v/>
      </c>
      <c r="AM19" s="54" t="str">
        <f>IF(AND('Mapa final'!$AI$22="Alta",'Mapa final'!$AK$22="Catastrófico"),CONCATENATE("R4C",'Mapa final'!$Y$22),"")</f>
        <v/>
      </c>
      <c r="AN19" s="80"/>
      <c r="AO19" s="436"/>
      <c r="AP19" s="437"/>
      <c r="AQ19" s="437"/>
      <c r="AR19" s="437"/>
      <c r="AS19" s="437"/>
      <c r="AT19" s="438"/>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385"/>
      <c r="C20" s="385"/>
      <c r="D20" s="386"/>
      <c r="E20" s="426"/>
      <c r="F20" s="427"/>
      <c r="G20" s="427"/>
      <c r="H20" s="427"/>
      <c r="I20" s="427"/>
      <c r="J20" s="64" t="str">
        <f>IF(AND('Mapa final'!$AI$23="Alta",'Mapa final'!$AK$23="Leve"),CONCATENATE("R5C",'Mapa final'!$Y$23),"")</f>
        <v/>
      </c>
      <c r="K20" s="65" t="str">
        <f>IF(AND('Mapa final'!$AI$24="Alta",'Mapa final'!$AK$24="Leve"),CONCATENATE("R5C",'Mapa final'!$Y$24),"")</f>
        <v/>
      </c>
      <c r="L20" s="65" t="str">
        <f>IF(AND('Mapa final'!$AI$25="Alta",'Mapa final'!$AK$25="Leve"),CONCATENATE("R5C",'Mapa final'!$Y$25),"")</f>
        <v/>
      </c>
      <c r="M20" s="65" t="str">
        <f>IF(AND('Mapa final'!$AI$26="Alta",'Mapa final'!$AK$26="Leve"),CONCATENATE("R5C",'Mapa final'!$Y$26),"")</f>
        <v/>
      </c>
      <c r="N20" s="65" t="str">
        <f>IF(AND('Mapa final'!$AI$27="Alta",'Mapa final'!$AK$27="Leve"),CONCATENATE("R5C",'Mapa final'!$Y$27),"")</f>
        <v/>
      </c>
      <c r="O20" s="66" t="str">
        <f>IF(AND('Mapa final'!$AI$28="Alta",'Mapa final'!$AK$28="Leve"),CONCATENATE("R5C",'Mapa final'!$Y$28),"")</f>
        <v/>
      </c>
      <c r="P20" s="64" t="str">
        <f>IF(AND('Mapa final'!$AI$23="Alta",'Mapa final'!$AK$23="Menor"),CONCATENATE("R5C",'Mapa final'!$Y$23),"")</f>
        <v/>
      </c>
      <c r="Q20" s="65" t="str">
        <f>IF(AND('Mapa final'!$AI$24="Alta",'Mapa final'!$AK$24="Menor"),CONCATENATE("R5C",'Mapa final'!$Y$24),"")</f>
        <v/>
      </c>
      <c r="R20" s="65" t="str">
        <f>IF(AND('Mapa final'!$AI$25="Alta",'Mapa final'!$AK$25="Menor"),CONCATENATE("R5C",'Mapa final'!$Y$25),"")</f>
        <v/>
      </c>
      <c r="S20" s="65" t="str">
        <f>IF(AND('Mapa final'!$AI$26="Alta",'Mapa final'!$AK$26="Menor"),CONCATENATE("R5C",'Mapa final'!$Y$26),"")</f>
        <v/>
      </c>
      <c r="T20" s="65" t="str">
        <f>IF(AND('Mapa final'!$AI$27="Alta",'Mapa final'!$AK$27="Menor"),CONCATENATE("R5C",'Mapa final'!$Y$27),"")</f>
        <v/>
      </c>
      <c r="U20" s="66" t="str">
        <f>IF(AND('Mapa final'!$AI$28="Alta",'Mapa final'!$AK$28="Menor"),CONCATENATE("R5C",'Mapa final'!$Y$28),"")</f>
        <v/>
      </c>
      <c r="V20" s="49" t="str">
        <f>IF(AND('Mapa final'!$AI$23="Alta",'Mapa final'!$AK$23="Moderado"),CONCATENATE("R5C",'Mapa final'!$Y$23),"")</f>
        <v/>
      </c>
      <c r="W20" s="50" t="str">
        <f>IF(AND('Mapa final'!$AI$24="Alta",'Mapa final'!$AK$24="Moderado"),CONCATENATE("R5C",'Mapa final'!$Y$24),"")</f>
        <v/>
      </c>
      <c r="X20" s="50" t="str">
        <f>IF(AND('Mapa final'!$AI$25="Alta",'Mapa final'!$AK$25="Moderado"),CONCATENATE("R5C",'Mapa final'!$Y$25),"")</f>
        <v/>
      </c>
      <c r="Y20" s="50" t="str">
        <f>IF(AND('Mapa final'!$AI$26="Alta",'Mapa final'!$AK$26="Moderado"),CONCATENATE("R5C",'Mapa final'!$Y$26),"")</f>
        <v/>
      </c>
      <c r="Z20" s="50" t="str">
        <f>IF(AND('Mapa final'!$AI$27="Alta",'Mapa final'!$AK$27="Moderado"),CONCATENATE("R5C",'Mapa final'!$Y$27),"")</f>
        <v/>
      </c>
      <c r="AA20" s="51" t="str">
        <f>IF(AND('Mapa final'!$AI$28="Alta",'Mapa final'!$AK$28="Moderado"),CONCATENATE("R5C",'Mapa final'!$Y$28),"")</f>
        <v/>
      </c>
      <c r="AB20" s="49" t="str">
        <f>IF(AND('Mapa final'!$AI$23="Alta",'Mapa final'!$AK$23="Mayor"),CONCATENATE("R5C",'Mapa final'!$Y$23),"")</f>
        <v/>
      </c>
      <c r="AC20" s="50" t="str">
        <f>IF(AND('Mapa final'!$AI$24="Alta",'Mapa final'!$AK$24="Mayor"),CONCATENATE("R5C",'Mapa final'!$Y$24),"")</f>
        <v/>
      </c>
      <c r="AD20" s="50" t="str">
        <f>IF(AND('Mapa final'!$AI$25="Alta",'Mapa final'!$AK$25="Mayor"),CONCATENATE("R5C",'Mapa final'!$Y$25),"")</f>
        <v/>
      </c>
      <c r="AE20" s="50" t="str">
        <f>IF(AND('Mapa final'!$AI$26="Alta",'Mapa final'!$AK$26="Mayor"),CONCATENATE("R5C",'Mapa final'!$Y$26),"")</f>
        <v/>
      </c>
      <c r="AF20" s="50" t="str">
        <f>IF(AND('Mapa final'!$AI$27="Alta",'Mapa final'!$AK$27="Mayor"),CONCATENATE("R5C",'Mapa final'!$Y$27),"")</f>
        <v/>
      </c>
      <c r="AG20" s="51" t="str">
        <f>IF(AND('Mapa final'!$AI$28="Alta",'Mapa final'!$AK$28="Mayor"),CONCATENATE("R5C",'Mapa final'!$Y$28),"")</f>
        <v/>
      </c>
      <c r="AH20" s="52" t="str">
        <f>IF(AND('Mapa final'!$AI$23="Alta",'Mapa final'!$AK$23="Catastrófico"),CONCATENATE("R5C",'Mapa final'!$Y$23),"")</f>
        <v/>
      </c>
      <c r="AI20" s="53" t="str">
        <f>IF(AND('Mapa final'!$AI$24="Alta",'Mapa final'!$AK$24="Catastrófico"),CONCATENATE("R5C",'Mapa final'!$Y$24),"")</f>
        <v/>
      </c>
      <c r="AJ20" s="53" t="str">
        <f>IF(AND('Mapa final'!$AI$25="Alta",'Mapa final'!$AK$25="Catastrófico"),CONCATENATE("R5C",'Mapa final'!$Y$25),"")</f>
        <v/>
      </c>
      <c r="AK20" s="53" t="str">
        <f>IF(AND('Mapa final'!$AI$26="Alta",'Mapa final'!$AK$26="Catastrófico"),CONCATENATE("R5C",'Mapa final'!$Y$26),"")</f>
        <v/>
      </c>
      <c r="AL20" s="53" t="str">
        <f>IF(AND('Mapa final'!$AI$27="Alta",'Mapa final'!$AK$27="Catastrófico"),CONCATENATE("R5C",'Mapa final'!$Y$27),"")</f>
        <v/>
      </c>
      <c r="AM20" s="54" t="str">
        <f>IF(AND('Mapa final'!$AI$28="Alta",'Mapa final'!$AK$28="Catastrófico"),CONCATENATE("R5C",'Mapa final'!$Y$28),"")</f>
        <v/>
      </c>
      <c r="AN20" s="80"/>
      <c r="AO20" s="436"/>
      <c r="AP20" s="437"/>
      <c r="AQ20" s="437"/>
      <c r="AR20" s="437"/>
      <c r="AS20" s="437"/>
      <c r="AT20" s="438"/>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385"/>
      <c r="C21" s="385"/>
      <c r="D21" s="386"/>
      <c r="E21" s="426"/>
      <c r="F21" s="427"/>
      <c r="G21" s="427"/>
      <c r="H21" s="427"/>
      <c r="I21" s="427"/>
      <c r="J21" s="64" t="str">
        <f>IF(AND('Mapa final'!$AI$29="Alta",'Mapa final'!$AK$29="Leve"),CONCATENATE("R6C",'Mapa final'!$Y$29),"")</f>
        <v/>
      </c>
      <c r="K21" s="65" t="str">
        <f>IF(AND('Mapa final'!$AI$30="Alta",'Mapa final'!$AK$30="Leve"),CONCATENATE("R6C",'Mapa final'!$Y$30),"")</f>
        <v/>
      </c>
      <c r="L21" s="65" t="str">
        <f>IF(AND('Mapa final'!$AI$31="Alta",'Mapa final'!$AK$31="Leve"),CONCATENATE("R6C",'Mapa final'!$Y$31),"")</f>
        <v/>
      </c>
      <c r="M21" s="65" t="str">
        <f>IF(AND('Mapa final'!$AI$32="Alta",'Mapa final'!$AK$32="Leve"),CONCATENATE("R6C",'Mapa final'!$Y$32),"")</f>
        <v/>
      </c>
      <c r="N21" s="65" t="str">
        <f>IF(AND('Mapa final'!$AI$33="Alta",'Mapa final'!$AK$33="Leve"),CONCATENATE("R6C",'Mapa final'!$Y$33),"")</f>
        <v/>
      </c>
      <c r="O21" s="66" t="str">
        <f>IF(AND('Mapa final'!$AI$34="Alta",'Mapa final'!$AK$34="Leve"),CONCATENATE("R6C",'Mapa final'!$Y$34),"")</f>
        <v/>
      </c>
      <c r="P21" s="64" t="str">
        <f>IF(AND('Mapa final'!$AI$29="Alta",'Mapa final'!$AK$29="Menor"),CONCATENATE("R6C",'Mapa final'!$Y$29),"")</f>
        <v/>
      </c>
      <c r="Q21" s="65" t="str">
        <f>IF(AND('Mapa final'!$AI$30="Alta",'Mapa final'!$AK$30="Menor"),CONCATENATE("R6C",'Mapa final'!$Y$30),"")</f>
        <v/>
      </c>
      <c r="R21" s="65" t="str">
        <f>IF(AND('Mapa final'!$AI$31="Alta",'Mapa final'!$AK$31="Menor"),CONCATENATE("R6C",'Mapa final'!$Y$31),"")</f>
        <v/>
      </c>
      <c r="S21" s="65" t="str">
        <f>IF(AND('Mapa final'!$AI$32="Alta",'Mapa final'!$AK$32="Menor"),CONCATENATE("R6C",'Mapa final'!$Y$32),"")</f>
        <v/>
      </c>
      <c r="T21" s="65" t="str">
        <f>IF(AND('Mapa final'!$AI$33="Alta",'Mapa final'!$AK$33="Menor"),CONCATENATE("R6C",'Mapa final'!$Y$33),"")</f>
        <v/>
      </c>
      <c r="U21" s="66" t="str">
        <f>IF(AND('Mapa final'!$AI$34="Alta",'Mapa final'!$AK$34="Menor"),CONCATENATE("R6C",'Mapa final'!$Y$34),"")</f>
        <v/>
      </c>
      <c r="V21" s="49" t="str">
        <f>IF(AND('Mapa final'!$AI$29="Alta",'Mapa final'!$AK$29="Moderado"),CONCATENATE("R6C",'Mapa final'!$Y$29),"")</f>
        <v/>
      </c>
      <c r="W21" s="50" t="str">
        <f>IF(AND('Mapa final'!$AI$30="Alta",'Mapa final'!$AK$30="Moderado"),CONCATENATE("R6C",'Mapa final'!$Y$30),"")</f>
        <v/>
      </c>
      <c r="X21" s="50" t="str">
        <f>IF(AND('Mapa final'!$AI$31="Alta",'Mapa final'!$AK$31="Moderado"),CONCATENATE("R6C",'Mapa final'!$Y$31),"")</f>
        <v/>
      </c>
      <c r="Y21" s="50" t="str">
        <f>IF(AND('Mapa final'!$AI$32="Alta",'Mapa final'!$AK$32="Moderado"),CONCATENATE("R6C",'Mapa final'!$Y$32),"")</f>
        <v/>
      </c>
      <c r="Z21" s="50" t="str">
        <f>IF(AND('Mapa final'!$AI$33="Alta",'Mapa final'!$AK$33="Moderado"),CONCATENATE("R6C",'Mapa final'!$Y$33),"")</f>
        <v/>
      </c>
      <c r="AA21" s="51" t="str">
        <f>IF(AND('Mapa final'!$AI$34="Alta",'Mapa final'!$AK$34="Moderado"),CONCATENATE("R6C",'Mapa final'!$Y$34),"")</f>
        <v/>
      </c>
      <c r="AB21" s="49" t="str">
        <f>IF(AND('Mapa final'!$AI$29="Alta",'Mapa final'!$AK$29="Mayor"),CONCATENATE("R6C",'Mapa final'!$Y$29),"")</f>
        <v/>
      </c>
      <c r="AC21" s="50" t="str">
        <f>IF(AND('Mapa final'!$AI$30="Alta",'Mapa final'!$AK$30="Mayor"),CONCATENATE("R6C",'Mapa final'!$Y$30),"")</f>
        <v/>
      </c>
      <c r="AD21" s="50" t="str">
        <f>IF(AND('Mapa final'!$AI$31="Alta",'Mapa final'!$AK$31="Mayor"),CONCATENATE("R6C",'Mapa final'!$Y$31),"")</f>
        <v/>
      </c>
      <c r="AE21" s="50" t="str">
        <f>IF(AND('Mapa final'!$AI$32="Alta",'Mapa final'!$AK$32="Mayor"),CONCATENATE("R6C",'Mapa final'!$Y$32),"")</f>
        <v/>
      </c>
      <c r="AF21" s="50" t="str">
        <f>IF(AND('Mapa final'!$AI$33="Alta",'Mapa final'!$AK$33="Mayor"),CONCATENATE("R6C",'Mapa final'!$Y$33),"")</f>
        <v/>
      </c>
      <c r="AG21" s="51" t="str">
        <f>IF(AND('Mapa final'!$AI$34="Alta",'Mapa final'!$AK$34="Mayor"),CONCATENATE("R6C",'Mapa final'!$Y$34),"")</f>
        <v/>
      </c>
      <c r="AH21" s="52" t="str">
        <f>IF(AND('Mapa final'!$AI$29="Alta",'Mapa final'!$AK$29="Catastrófico"),CONCATENATE("R6C",'Mapa final'!$Y$29),"")</f>
        <v/>
      </c>
      <c r="AI21" s="53" t="str">
        <f>IF(AND('Mapa final'!$AI$30="Alta",'Mapa final'!$AK$30="Catastrófico"),CONCATENATE("R6C",'Mapa final'!$Y$30),"")</f>
        <v/>
      </c>
      <c r="AJ21" s="53" t="str">
        <f>IF(AND('Mapa final'!$AI$31="Alta",'Mapa final'!$AK$31="Catastrófico"),CONCATENATE("R6C",'Mapa final'!$Y$31),"")</f>
        <v/>
      </c>
      <c r="AK21" s="53" t="str">
        <f>IF(AND('Mapa final'!$AI$32="Alta",'Mapa final'!$AK$32="Catastrófico"),CONCATENATE("R6C",'Mapa final'!$Y$32),"")</f>
        <v/>
      </c>
      <c r="AL21" s="53" t="str">
        <f>IF(AND('Mapa final'!$AI$33="Alta",'Mapa final'!$AK$33="Catastrófico"),CONCATENATE("R6C",'Mapa final'!$Y$33),"")</f>
        <v/>
      </c>
      <c r="AM21" s="54" t="str">
        <f>IF(AND('Mapa final'!$AI$34="Alta",'Mapa final'!$AK$34="Catastrófico"),CONCATENATE("R6C",'Mapa final'!$Y$34),"")</f>
        <v/>
      </c>
      <c r="AN21" s="80"/>
      <c r="AO21" s="436"/>
      <c r="AP21" s="437"/>
      <c r="AQ21" s="437"/>
      <c r="AR21" s="437"/>
      <c r="AS21" s="437"/>
      <c r="AT21" s="438"/>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385"/>
      <c r="C22" s="385"/>
      <c r="D22" s="386"/>
      <c r="E22" s="426"/>
      <c r="F22" s="427"/>
      <c r="G22" s="427"/>
      <c r="H22" s="427"/>
      <c r="I22" s="427"/>
      <c r="J22" s="64" t="str">
        <f>IF(AND('Mapa final'!$AI$35="Alta",'Mapa final'!$AK$35="Leve"),CONCATENATE("R7C",'Mapa final'!$Y$35),"")</f>
        <v/>
      </c>
      <c r="K22" s="65" t="str">
        <f>IF(AND('Mapa final'!$AI$36="Alta",'Mapa final'!$AK$36="Leve"),CONCATENATE("R7C",'Mapa final'!$Y$36),"")</f>
        <v/>
      </c>
      <c r="L22" s="65" t="str">
        <f>IF(AND('Mapa final'!$AI$37="Alta",'Mapa final'!$AK$37="Leve"),CONCATENATE("R7C",'Mapa final'!$Y$37),"")</f>
        <v/>
      </c>
      <c r="M22" s="65" t="str">
        <f>IF(AND('Mapa final'!$AI$38="Alta",'Mapa final'!$AK$38="Leve"),CONCATENATE("R7C",'Mapa final'!$Y$38),"")</f>
        <v/>
      </c>
      <c r="N22" s="65" t="str">
        <f>IF(AND('Mapa final'!$AI$39="Alta",'Mapa final'!$AK$39="Leve"),CONCATENATE("R7C",'Mapa final'!$Y$39),"")</f>
        <v/>
      </c>
      <c r="O22" s="66" t="str">
        <f>IF(AND('Mapa final'!$AI$40="Alta",'Mapa final'!$AK$40="Leve"),CONCATENATE("R7C",'Mapa final'!$Y$40),"")</f>
        <v/>
      </c>
      <c r="P22" s="64" t="str">
        <f>IF(AND('Mapa final'!$AI$35="Alta",'Mapa final'!$AK$35="Menor"),CONCATENATE("R7C",'Mapa final'!$Y$35),"")</f>
        <v/>
      </c>
      <c r="Q22" s="65" t="str">
        <f>IF(AND('Mapa final'!$AI$36="Alta",'Mapa final'!$AK$36="Menor"),CONCATENATE("R7C",'Mapa final'!$Y$36),"")</f>
        <v/>
      </c>
      <c r="R22" s="65" t="str">
        <f>IF(AND('Mapa final'!$AI$37="Alta",'Mapa final'!$AK$37="Menor"),CONCATENATE("R7C",'Mapa final'!$Y$37),"")</f>
        <v/>
      </c>
      <c r="S22" s="65" t="str">
        <f>IF(AND('Mapa final'!$AI$38="Alta",'Mapa final'!$AK$38="Menor"),CONCATENATE("R7C",'Mapa final'!$Y$38),"")</f>
        <v/>
      </c>
      <c r="T22" s="65" t="str">
        <f>IF(AND('Mapa final'!$AI$39="Alta",'Mapa final'!$AK$39="Menor"),CONCATENATE("R7C",'Mapa final'!$Y$39),"")</f>
        <v/>
      </c>
      <c r="U22" s="66" t="str">
        <f>IF(AND('Mapa final'!$AI$40="Alta",'Mapa final'!$AK$40="Menor"),CONCATENATE("R7C",'Mapa final'!$Y$40),"")</f>
        <v/>
      </c>
      <c r="V22" s="49" t="str">
        <f>IF(AND('Mapa final'!$AI$35="Alta",'Mapa final'!$AK$35="Moderado"),CONCATENATE("R7C",'Mapa final'!$Y$35),"")</f>
        <v/>
      </c>
      <c r="W22" s="50" t="str">
        <f>IF(AND('Mapa final'!$AI$36="Alta",'Mapa final'!$AK$36="Moderado"),CONCATENATE("R7C",'Mapa final'!$Y$36),"")</f>
        <v/>
      </c>
      <c r="X22" s="50" t="str">
        <f>IF(AND('Mapa final'!$AI$37="Alta",'Mapa final'!$AK$37="Moderado"),CONCATENATE("R7C",'Mapa final'!$Y$37),"")</f>
        <v/>
      </c>
      <c r="Y22" s="50" t="str">
        <f>IF(AND('Mapa final'!$AI$38="Alta",'Mapa final'!$AK$38="Moderado"),CONCATENATE("R7C",'Mapa final'!$Y$38),"")</f>
        <v/>
      </c>
      <c r="Z22" s="50" t="str">
        <f>IF(AND('Mapa final'!$AI$39="Alta",'Mapa final'!$AK$39="Moderado"),CONCATENATE("R7C",'Mapa final'!$Y$39),"")</f>
        <v/>
      </c>
      <c r="AA22" s="51" t="str">
        <f>IF(AND('Mapa final'!$AI$40="Alta",'Mapa final'!$AK$40="Moderado"),CONCATENATE("R7C",'Mapa final'!$Y$40),"")</f>
        <v/>
      </c>
      <c r="AB22" s="49" t="str">
        <f>IF(AND('Mapa final'!$AI$35="Alta",'Mapa final'!$AK$35="Mayor"),CONCATENATE("R7C",'Mapa final'!$Y$35),"")</f>
        <v/>
      </c>
      <c r="AC22" s="50" t="str">
        <f>IF(AND('Mapa final'!$AI$36="Alta",'Mapa final'!$AK$36="Mayor"),CONCATENATE("R7C",'Mapa final'!$Y$36),"")</f>
        <v/>
      </c>
      <c r="AD22" s="50" t="str">
        <f>IF(AND('Mapa final'!$AI$37="Alta",'Mapa final'!$AK$37="Mayor"),CONCATENATE("R7C",'Mapa final'!$Y$37),"")</f>
        <v/>
      </c>
      <c r="AE22" s="50" t="str">
        <f>IF(AND('Mapa final'!$AI$38="Alta",'Mapa final'!$AK$38="Mayor"),CONCATENATE("R7C",'Mapa final'!$Y$38),"")</f>
        <v/>
      </c>
      <c r="AF22" s="50" t="str">
        <f>IF(AND('Mapa final'!$AI$39="Alta",'Mapa final'!$AK$39="Mayor"),CONCATENATE("R7C",'Mapa final'!$Y$39),"")</f>
        <v/>
      </c>
      <c r="AG22" s="51" t="str">
        <f>IF(AND('Mapa final'!$AI$40="Alta",'Mapa final'!$AK$40="Mayor"),CONCATENATE("R7C",'Mapa final'!$Y$40),"")</f>
        <v/>
      </c>
      <c r="AH22" s="52" t="str">
        <f>IF(AND('Mapa final'!$AI$35="Alta",'Mapa final'!$AK$35="Catastrófico"),CONCATENATE("R7C",'Mapa final'!$Y$35),"")</f>
        <v/>
      </c>
      <c r="AI22" s="53" t="str">
        <f>IF(AND('Mapa final'!$AI$36="Alta",'Mapa final'!$AK$36="Catastrófico"),CONCATENATE("R7C",'Mapa final'!$Y$36),"")</f>
        <v/>
      </c>
      <c r="AJ22" s="53" t="str">
        <f>IF(AND('Mapa final'!$AI$37="Alta",'Mapa final'!$AK$37="Catastrófico"),CONCATENATE("R7C",'Mapa final'!$Y$37),"")</f>
        <v/>
      </c>
      <c r="AK22" s="53" t="str">
        <f>IF(AND('Mapa final'!$AI$38="Alta",'Mapa final'!$AK$38="Catastrófico"),CONCATENATE("R7C",'Mapa final'!$Y$38),"")</f>
        <v/>
      </c>
      <c r="AL22" s="53" t="str">
        <f>IF(AND('Mapa final'!$AI$39="Alta",'Mapa final'!$AK$39="Catastrófico"),CONCATENATE("R7C",'Mapa final'!$Y$39),"")</f>
        <v/>
      </c>
      <c r="AM22" s="54" t="str">
        <f>IF(AND('Mapa final'!$AI$40="Alta",'Mapa final'!$AK$40="Catastrófico"),CONCATENATE("R7C",'Mapa final'!$Y$40),"")</f>
        <v/>
      </c>
      <c r="AN22" s="80"/>
      <c r="AO22" s="436"/>
      <c r="AP22" s="437"/>
      <c r="AQ22" s="437"/>
      <c r="AR22" s="437"/>
      <c r="AS22" s="437"/>
      <c r="AT22" s="438"/>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385"/>
      <c r="C23" s="385"/>
      <c r="D23" s="386"/>
      <c r="E23" s="426"/>
      <c r="F23" s="427"/>
      <c r="G23" s="427"/>
      <c r="H23" s="427"/>
      <c r="I23" s="427"/>
      <c r="J23" s="64" t="str">
        <f>IF(AND('Mapa final'!$AI$41="Alta",'Mapa final'!$AK$41="Leve"),CONCATENATE("R8C",'Mapa final'!$Y$41),"")</f>
        <v/>
      </c>
      <c r="K23" s="65" t="str">
        <f>IF(AND('Mapa final'!$AI$42="Alta",'Mapa final'!$AK$42="Leve"),CONCATENATE("R8C",'Mapa final'!$Y$42),"")</f>
        <v/>
      </c>
      <c r="L23" s="65" t="str">
        <f>IF(AND('Mapa final'!$AI$43="Alta",'Mapa final'!$AK$43="Leve"),CONCATENATE("R8C",'Mapa final'!$Y$43),"")</f>
        <v/>
      </c>
      <c r="M23" s="65" t="str">
        <f>IF(AND('Mapa final'!$AI$44="Alta",'Mapa final'!$AK$44="Leve"),CONCATENATE("R8C",'Mapa final'!$Y$44),"")</f>
        <v/>
      </c>
      <c r="N23" s="65" t="str">
        <f>IF(AND('Mapa final'!$AI$45="Alta",'Mapa final'!$AK$45="Leve"),CONCATENATE("R8C",'Mapa final'!$Y$45),"")</f>
        <v/>
      </c>
      <c r="O23" s="66" t="str">
        <f>IF(AND('Mapa final'!$AI$46="Alta",'Mapa final'!$AK$46="Leve"),CONCATENATE("R8C",'Mapa final'!$Y$46),"")</f>
        <v/>
      </c>
      <c r="P23" s="64" t="str">
        <f>IF(AND('Mapa final'!$AI$41="Alta",'Mapa final'!$AK$41="Menor"),CONCATENATE("R8C",'Mapa final'!$Y$41),"")</f>
        <v/>
      </c>
      <c r="Q23" s="65" t="str">
        <f>IF(AND('Mapa final'!$AI$42="Alta",'Mapa final'!$AK$42="Menor"),CONCATENATE("R8C",'Mapa final'!$Y$42),"")</f>
        <v/>
      </c>
      <c r="R23" s="65" t="str">
        <f>IF(AND('Mapa final'!$AI$43="Alta",'Mapa final'!$AK$43="Menor"),CONCATENATE("R8C",'Mapa final'!$Y$43),"")</f>
        <v/>
      </c>
      <c r="S23" s="65" t="str">
        <f>IF(AND('Mapa final'!$AI$44="Alta",'Mapa final'!$AK$44="Menor"),CONCATENATE("R8C",'Mapa final'!$Y$44),"")</f>
        <v/>
      </c>
      <c r="T23" s="65" t="str">
        <f>IF(AND('Mapa final'!$AI$45="Alta",'Mapa final'!$AK$45="Menor"),CONCATENATE("R8C",'Mapa final'!$Y$45),"")</f>
        <v/>
      </c>
      <c r="U23" s="66" t="str">
        <f>IF(AND('Mapa final'!$AI$46="Alta",'Mapa final'!$AK$46="Menor"),CONCATENATE("R8C",'Mapa final'!$Y$46),"")</f>
        <v/>
      </c>
      <c r="V23" s="49" t="str">
        <f>IF(AND('Mapa final'!$AI$41="Alta",'Mapa final'!$AK$41="Moderado"),CONCATENATE("R8C",'Mapa final'!$Y$41),"")</f>
        <v/>
      </c>
      <c r="W23" s="50" t="str">
        <f>IF(AND('Mapa final'!$AI$42="Alta",'Mapa final'!$AK$42="Moderado"),CONCATENATE("R8C",'Mapa final'!$Y$42),"")</f>
        <v/>
      </c>
      <c r="X23" s="50" t="str">
        <f>IF(AND('Mapa final'!$AI$43="Alta",'Mapa final'!$AK$43="Moderado"),CONCATENATE("R8C",'Mapa final'!$Y$43),"")</f>
        <v/>
      </c>
      <c r="Y23" s="50" t="str">
        <f>IF(AND('Mapa final'!$AI$44="Alta",'Mapa final'!$AK$44="Moderado"),CONCATENATE("R8C",'Mapa final'!$Y$44),"")</f>
        <v/>
      </c>
      <c r="Z23" s="50" t="str">
        <f>IF(AND('Mapa final'!$AI$45="Alta",'Mapa final'!$AK$45="Moderado"),CONCATENATE("R8C",'Mapa final'!$Y$45),"")</f>
        <v/>
      </c>
      <c r="AA23" s="51" t="str">
        <f>IF(AND('Mapa final'!$AI$46="Alta",'Mapa final'!$AK$46="Moderado"),CONCATENATE("R8C",'Mapa final'!$Y$46),"")</f>
        <v/>
      </c>
      <c r="AB23" s="49" t="str">
        <f>IF(AND('Mapa final'!$AI$41="Alta",'Mapa final'!$AK$41="Mayor"),CONCATENATE("R8C",'Mapa final'!$Y$41),"")</f>
        <v/>
      </c>
      <c r="AC23" s="50" t="str">
        <f>IF(AND('Mapa final'!$AI$42="Alta",'Mapa final'!$AK$42="Mayor"),CONCATENATE("R8C",'Mapa final'!$Y$42),"")</f>
        <v/>
      </c>
      <c r="AD23" s="50" t="str">
        <f>IF(AND('Mapa final'!$AI$43="Alta",'Mapa final'!$AK$43="Mayor"),CONCATENATE("R8C",'Mapa final'!$Y$43),"")</f>
        <v/>
      </c>
      <c r="AE23" s="50" t="str">
        <f>IF(AND('Mapa final'!$AI$44="Alta",'Mapa final'!$AK$44="Mayor"),CONCATENATE("R8C",'Mapa final'!$Y$44),"")</f>
        <v/>
      </c>
      <c r="AF23" s="50" t="str">
        <f>IF(AND('Mapa final'!$AI$45="Alta",'Mapa final'!$AK$45="Mayor"),CONCATENATE("R8C",'Mapa final'!$Y$45),"")</f>
        <v/>
      </c>
      <c r="AG23" s="51" t="str">
        <f>IF(AND('Mapa final'!$AI$46="Alta",'Mapa final'!$AK$46="Mayor"),CONCATENATE("R8C",'Mapa final'!$Y$46),"")</f>
        <v/>
      </c>
      <c r="AH23" s="52" t="str">
        <f>IF(AND('Mapa final'!$AI$41="Alta",'Mapa final'!$AK$41="Catastrófico"),CONCATENATE("R8C",'Mapa final'!$Y$41),"")</f>
        <v/>
      </c>
      <c r="AI23" s="53" t="str">
        <f>IF(AND('Mapa final'!$AI$42="Alta",'Mapa final'!$AK$42="Catastrófico"),CONCATENATE("R8C",'Mapa final'!$Y$42),"")</f>
        <v/>
      </c>
      <c r="AJ23" s="53" t="str">
        <f>IF(AND('Mapa final'!$AI$43="Alta",'Mapa final'!$AK$43="Catastrófico"),CONCATENATE("R8C",'Mapa final'!$Y$43),"")</f>
        <v/>
      </c>
      <c r="AK23" s="53" t="str">
        <f>IF(AND('Mapa final'!$AI$44="Alta",'Mapa final'!$AK$44="Catastrófico"),CONCATENATE("R8C",'Mapa final'!$Y$44),"")</f>
        <v/>
      </c>
      <c r="AL23" s="53" t="str">
        <f>IF(AND('Mapa final'!$AI$45="Alta",'Mapa final'!$AK$45="Catastrófico"),CONCATENATE("R8C",'Mapa final'!$Y$45),"")</f>
        <v/>
      </c>
      <c r="AM23" s="54" t="str">
        <f>IF(AND('Mapa final'!$AI$46="Alta",'Mapa final'!$AK$46="Catastrófico"),CONCATENATE("R8C",'Mapa final'!$Y$46),"")</f>
        <v/>
      </c>
      <c r="AN23" s="80"/>
      <c r="AO23" s="436"/>
      <c r="AP23" s="437"/>
      <c r="AQ23" s="437"/>
      <c r="AR23" s="437"/>
      <c r="AS23" s="437"/>
      <c r="AT23" s="438"/>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385"/>
      <c r="C24" s="385"/>
      <c r="D24" s="386"/>
      <c r="E24" s="426"/>
      <c r="F24" s="427"/>
      <c r="G24" s="427"/>
      <c r="H24" s="427"/>
      <c r="I24" s="427"/>
      <c r="J24" s="64" t="str">
        <f>IF(AND('Mapa final'!$AI$47="Alta",'Mapa final'!$AK$47="Leve"),CONCATENATE("R9C",'Mapa final'!$Y$47),"")</f>
        <v/>
      </c>
      <c r="K24" s="65" t="str">
        <f>IF(AND('Mapa final'!$AI$48="Alta",'Mapa final'!$AK$48="Leve"),CONCATENATE("R9C",'Mapa final'!$Y$48),"")</f>
        <v/>
      </c>
      <c r="L24" s="65" t="str">
        <f>IF(AND('Mapa final'!$AI$49="Alta",'Mapa final'!$AK$49="Leve"),CONCATENATE("R9C",'Mapa final'!$Y$49),"")</f>
        <v/>
      </c>
      <c r="M24" s="65" t="str">
        <f>IF(AND('Mapa final'!$AI$50="Alta",'Mapa final'!$AK$50="Leve"),CONCATENATE("R9C",'Mapa final'!$Y$50),"")</f>
        <v/>
      </c>
      <c r="N24" s="65" t="str">
        <f>IF(AND('Mapa final'!$AI$51="Alta",'Mapa final'!$AK$51="Leve"),CONCATENATE("R9C",'Mapa final'!$Y$51),"")</f>
        <v/>
      </c>
      <c r="O24" s="66" t="str">
        <f>IF(AND('Mapa final'!$AI$52="Alta",'Mapa final'!$AK$52="Leve"),CONCATENATE("R9C",'Mapa final'!$Y$52),"")</f>
        <v/>
      </c>
      <c r="P24" s="64" t="str">
        <f>IF(AND('Mapa final'!$AI$47="Alta",'Mapa final'!$AK$47="Menor"),CONCATENATE("R9C",'Mapa final'!$Y$47),"")</f>
        <v/>
      </c>
      <c r="Q24" s="65" t="str">
        <f>IF(AND('Mapa final'!$AI$48="Alta",'Mapa final'!$AK$48="Menor"),CONCATENATE("R9C",'Mapa final'!$Y$48),"")</f>
        <v/>
      </c>
      <c r="R24" s="65" t="str">
        <f>IF(AND('Mapa final'!$AI$49="Alta",'Mapa final'!$AK$49="Menor"),CONCATENATE("R9C",'Mapa final'!$Y$49),"")</f>
        <v/>
      </c>
      <c r="S24" s="65" t="str">
        <f>IF(AND('Mapa final'!$AI$50="Alta",'Mapa final'!$AK$50="Menor"),CONCATENATE("R9C",'Mapa final'!$Y$50),"")</f>
        <v/>
      </c>
      <c r="T24" s="65" t="str">
        <f>IF(AND('Mapa final'!$AI$51="Alta",'Mapa final'!$AK$51="Menor"),CONCATENATE("R9C",'Mapa final'!$Y$51),"")</f>
        <v/>
      </c>
      <c r="U24" s="66" t="str">
        <f>IF(AND('Mapa final'!$AI$52="Alta",'Mapa final'!$AK$52="Menor"),CONCATENATE("R9C",'Mapa final'!$Y$52),"")</f>
        <v/>
      </c>
      <c r="V24" s="49" t="str">
        <f>IF(AND('Mapa final'!$AI$47="Alta",'Mapa final'!$AK$47="Moderado"),CONCATENATE("R9C",'Mapa final'!$Y$47),"")</f>
        <v/>
      </c>
      <c r="W24" s="50" t="str">
        <f>IF(AND('Mapa final'!$AI$48="Alta",'Mapa final'!$AK$48="Moderado"),CONCATENATE("R9C",'Mapa final'!$Y$48),"")</f>
        <v/>
      </c>
      <c r="X24" s="50" t="str">
        <f>IF(AND('Mapa final'!$AI$49="Alta",'Mapa final'!$AK$49="Moderado"),CONCATENATE("R9C",'Mapa final'!$Y$49),"")</f>
        <v/>
      </c>
      <c r="Y24" s="50" t="str">
        <f>IF(AND('Mapa final'!$AI$50="Alta",'Mapa final'!$AK$50="Moderado"),CONCATENATE("R9C",'Mapa final'!$Y$50),"")</f>
        <v/>
      </c>
      <c r="Z24" s="50" t="str">
        <f>IF(AND('Mapa final'!$AI$51="Alta",'Mapa final'!$AK$51="Moderado"),CONCATENATE("R9C",'Mapa final'!$Y$51),"")</f>
        <v/>
      </c>
      <c r="AA24" s="51" t="str">
        <f>IF(AND('Mapa final'!$AI$52="Alta",'Mapa final'!$AK$52="Moderado"),CONCATENATE("R9C",'Mapa final'!$Y$52),"")</f>
        <v/>
      </c>
      <c r="AB24" s="49" t="str">
        <f>IF(AND('Mapa final'!$AI$47="Alta",'Mapa final'!$AK$47="Mayor"),CONCATENATE("R9C",'Mapa final'!$Y$47),"")</f>
        <v/>
      </c>
      <c r="AC24" s="50" t="str">
        <f>IF(AND('Mapa final'!$AI$48="Alta",'Mapa final'!$AK$48="Mayor"),CONCATENATE("R9C",'Mapa final'!$Y$48),"")</f>
        <v/>
      </c>
      <c r="AD24" s="50" t="str">
        <f>IF(AND('Mapa final'!$AI$49="Alta",'Mapa final'!$AK$49="Mayor"),CONCATENATE("R9C",'Mapa final'!$Y$49),"")</f>
        <v/>
      </c>
      <c r="AE24" s="50" t="str">
        <f>IF(AND('Mapa final'!$AI$50="Alta",'Mapa final'!$AK$50="Mayor"),CONCATENATE("R9C",'Mapa final'!$Y$50),"")</f>
        <v/>
      </c>
      <c r="AF24" s="50" t="str">
        <f>IF(AND('Mapa final'!$AI$51="Alta",'Mapa final'!$AK$51="Mayor"),CONCATENATE("R9C",'Mapa final'!$Y$51),"")</f>
        <v/>
      </c>
      <c r="AG24" s="51" t="str">
        <f>IF(AND('Mapa final'!$AI$52="Alta",'Mapa final'!$AK$52="Mayor"),CONCATENATE("R9C",'Mapa final'!$Y$52),"")</f>
        <v/>
      </c>
      <c r="AH24" s="52" t="str">
        <f>IF(AND('Mapa final'!$AI$47="Alta",'Mapa final'!$AK$47="Catastrófico"),CONCATENATE("R9C",'Mapa final'!$Y$47),"")</f>
        <v/>
      </c>
      <c r="AI24" s="53" t="str">
        <f>IF(AND('Mapa final'!$AI$48="Alta",'Mapa final'!$AK$48="Catastrófico"),CONCATENATE("R9C",'Mapa final'!$Y$48),"")</f>
        <v/>
      </c>
      <c r="AJ24" s="53" t="str">
        <f>IF(AND('Mapa final'!$AI$49="Alta",'Mapa final'!$AK$49="Catastrófico"),CONCATENATE("R9C",'Mapa final'!$Y$49),"")</f>
        <v/>
      </c>
      <c r="AK24" s="53" t="str">
        <f>IF(AND('Mapa final'!$AI$50="Alta",'Mapa final'!$AK$50="Catastrófico"),CONCATENATE("R9C",'Mapa final'!$Y$50),"")</f>
        <v/>
      </c>
      <c r="AL24" s="53" t="str">
        <f>IF(AND('Mapa final'!$AI$51="Alta",'Mapa final'!$AK$51="Catastrófico"),CONCATENATE("R9C",'Mapa final'!$Y$51),"")</f>
        <v/>
      </c>
      <c r="AM24" s="54" t="str">
        <f>IF(AND('Mapa final'!$AI$52="Alta",'Mapa final'!$AK$52="Catastrófico"),CONCATENATE("R9C",'Mapa final'!$Y$52),"")</f>
        <v/>
      </c>
      <c r="AN24" s="80"/>
      <c r="AO24" s="436"/>
      <c r="AP24" s="437"/>
      <c r="AQ24" s="437"/>
      <c r="AR24" s="437"/>
      <c r="AS24" s="437"/>
      <c r="AT24" s="438"/>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385"/>
      <c r="C25" s="385"/>
      <c r="D25" s="386"/>
      <c r="E25" s="429"/>
      <c r="F25" s="430"/>
      <c r="G25" s="430"/>
      <c r="H25" s="430"/>
      <c r="I25" s="430"/>
      <c r="J25" s="67" t="str">
        <f>IF(AND('Mapa final'!$AI$53="Alta",'Mapa final'!$AK$53="Leve"),CONCATENATE("R10C",'Mapa final'!$Y$53),"")</f>
        <v/>
      </c>
      <c r="K25" s="68" t="str">
        <f>IF(AND('Mapa final'!$AI$54="Alta",'Mapa final'!$AK$54="Leve"),CONCATENATE("R10C",'Mapa final'!$Y$54),"")</f>
        <v/>
      </c>
      <c r="L25" s="68" t="str">
        <f>IF(AND('Mapa final'!$AI$55="Alta",'Mapa final'!$AK$55="Leve"),CONCATENATE("R10C",'Mapa final'!$Y$55),"")</f>
        <v/>
      </c>
      <c r="M25" s="68" t="str">
        <f>IF(AND('Mapa final'!$AI$56="Alta",'Mapa final'!$AK$56="Leve"),CONCATENATE("R10C",'Mapa final'!$Y$56),"")</f>
        <v/>
      </c>
      <c r="N25" s="68" t="str">
        <f>IF(AND('Mapa final'!$AI$57="Alta",'Mapa final'!$AK$57="Leve"),CONCATENATE("R10C",'Mapa final'!$Y$57),"")</f>
        <v/>
      </c>
      <c r="O25" s="69" t="str">
        <f>IF(AND('Mapa final'!$AI$58="Alta",'Mapa final'!$AK$58="Leve"),CONCATENATE("R10C",'Mapa final'!$Y$58),"")</f>
        <v/>
      </c>
      <c r="P25" s="67" t="str">
        <f>IF(AND('Mapa final'!$AI$53="Alta",'Mapa final'!$AK$53="Menor"),CONCATENATE("R10C",'Mapa final'!$Y$53),"")</f>
        <v/>
      </c>
      <c r="Q25" s="68" t="str">
        <f>IF(AND('Mapa final'!$AI$54="Alta",'Mapa final'!$AK$54="Menor"),CONCATENATE("R10C",'Mapa final'!$Y$54),"")</f>
        <v/>
      </c>
      <c r="R25" s="68" t="str">
        <f>IF(AND('Mapa final'!$AI$55="Alta",'Mapa final'!$AK$55="Menor"),CONCATENATE("R10C",'Mapa final'!$Y$55),"")</f>
        <v/>
      </c>
      <c r="S25" s="68" t="str">
        <f>IF(AND('Mapa final'!$AI$56="Alta",'Mapa final'!$AK$56="Menor"),CONCATENATE("R10C",'Mapa final'!$Y$56),"")</f>
        <v/>
      </c>
      <c r="T25" s="68" t="str">
        <f>IF(AND('Mapa final'!$AI$57="Alta",'Mapa final'!$AK$57="Menor"),CONCATENATE("R10C",'Mapa final'!$Y$57),"")</f>
        <v/>
      </c>
      <c r="U25" s="69" t="str">
        <f>IF(AND('Mapa final'!$AI$58="Alta",'Mapa final'!$AK$58="Menor"),CONCATENATE("R10C",'Mapa final'!$Y$58),"")</f>
        <v/>
      </c>
      <c r="V25" s="55" t="str">
        <f>IF(AND('Mapa final'!$AI$53="Alta",'Mapa final'!$AK$53="Moderado"),CONCATENATE("R10C",'Mapa final'!$Y$53),"")</f>
        <v/>
      </c>
      <c r="W25" s="56" t="str">
        <f>IF(AND('Mapa final'!$AI$54="Alta",'Mapa final'!$AK$54="Moderado"),CONCATENATE("R10C",'Mapa final'!$Y$54),"")</f>
        <v/>
      </c>
      <c r="X25" s="56" t="str">
        <f>IF(AND('Mapa final'!$AI$55="Alta",'Mapa final'!$AK$55="Moderado"),CONCATENATE("R10C",'Mapa final'!$Y$55),"")</f>
        <v/>
      </c>
      <c r="Y25" s="56" t="str">
        <f>IF(AND('Mapa final'!$AI$56="Alta",'Mapa final'!$AK$56="Moderado"),CONCATENATE("R10C",'Mapa final'!$Y$56),"")</f>
        <v/>
      </c>
      <c r="Z25" s="56" t="str">
        <f>IF(AND('Mapa final'!$AI$57="Alta",'Mapa final'!$AK$57="Moderado"),CONCATENATE("R10C",'Mapa final'!$Y$57),"")</f>
        <v/>
      </c>
      <c r="AA25" s="57" t="str">
        <f>IF(AND('Mapa final'!$AI$58="Alta",'Mapa final'!$AK$58="Moderado"),CONCATENATE("R10C",'Mapa final'!$Y$58),"")</f>
        <v/>
      </c>
      <c r="AB25" s="55" t="str">
        <f>IF(AND('Mapa final'!$AI$53="Alta",'Mapa final'!$AK$53="Mayor"),CONCATENATE("R10C",'Mapa final'!$Y$53),"")</f>
        <v/>
      </c>
      <c r="AC25" s="56" t="str">
        <f>IF(AND('Mapa final'!$AI$54="Alta",'Mapa final'!$AK$54="Mayor"),CONCATENATE("R10C",'Mapa final'!$Y$54),"")</f>
        <v/>
      </c>
      <c r="AD25" s="56" t="str">
        <f>IF(AND('Mapa final'!$AI$55="Alta",'Mapa final'!$AK$55="Mayor"),CONCATENATE("R10C",'Mapa final'!$Y$55),"")</f>
        <v/>
      </c>
      <c r="AE25" s="56" t="str">
        <f>IF(AND('Mapa final'!$AI$56="Alta",'Mapa final'!$AK$56="Mayor"),CONCATENATE("R10C",'Mapa final'!$Y$56),"")</f>
        <v/>
      </c>
      <c r="AF25" s="56" t="str">
        <f>IF(AND('Mapa final'!$AI$57="Alta",'Mapa final'!$AK$57="Mayor"),CONCATENATE("R10C",'Mapa final'!$Y$57),"")</f>
        <v/>
      </c>
      <c r="AG25" s="57" t="str">
        <f>IF(AND('Mapa final'!$AI$58="Alta",'Mapa final'!$AK$58="Mayor"),CONCATENATE("R10C",'Mapa final'!$Y$58),"")</f>
        <v/>
      </c>
      <c r="AH25" s="58" t="str">
        <f>IF(AND('Mapa final'!$AI$53="Alta",'Mapa final'!$AK$53="Catastrófico"),CONCATENATE("R10C",'Mapa final'!$Y$53),"")</f>
        <v/>
      </c>
      <c r="AI25" s="59" t="str">
        <f>IF(AND('Mapa final'!$AI$54="Alta",'Mapa final'!$AK$54="Catastrófico"),CONCATENATE("R10C",'Mapa final'!$Y$54),"")</f>
        <v/>
      </c>
      <c r="AJ25" s="59" t="str">
        <f>IF(AND('Mapa final'!$AI$55="Alta",'Mapa final'!$AK$55="Catastrófico"),CONCATENATE("R10C",'Mapa final'!$Y$55),"")</f>
        <v/>
      </c>
      <c r="AK25" s="59" t="str">
        <f>IF(AND('Mapa final'!$AI$56="Alta",'Mapa final'!$AK$56="Catastrófico"),CONCATENATE("R10C",'Mapa final'!$Y$56),"")</f>
        <v/>
      </c>
      <c r="AL25" s="59" t="str">
        <f>IF(AND('Mapa final'!$AI$57="Alta",'Mapa final'!$AK$57="Catastrófico"),CONCATENATE("R10C",'Mapa final'!$Y$57),"")</f>
        <v/>
      </c>
      <c r="AM25" s="60" t="str">
        <f>IF(AND('Mapa final'!$AI$58="Alta",'Mapa final'!$AK$58="Catastrófico"),CONCATENATE("R10C",'Mapa final'!$Y$58),"")</f>
        <v/>
      </c>
      <c r="AN25" s="80"/>
      <c r="AO25" s="439"/>
      <c r="AP25" s="440"/>
      <c r="AQ25" s="440"/>
      <c r="AR25" s="440"/>
      <c r="AS25" s="440"/>
      <c r="AT25" s="441"/>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385"/>
      <c r="C26" s="385"/>
      <c r="D26" s="386"/>
      <c r="E26" s="423" t="s">
        <v>176</v>
      </c>
      <c r="F26" s="424"/>
      <c r="G26" s="424"/>
      <c r="H26" s="424"/>
      <c r="I26" s="425"/>
      <c r="J26" s="61" t="str">
        <f>IF(AND('Mapa final'!$AI$11="Media",'Mapa final'!$AK$11="Leve"),CONCATENATE("R1C",'Mapa final'!$Y$11),"")</f>
        <v/>
      </c>
      <c r="K26" s="62" t="str">
        <f>IF(AND('Mapa final'!$AI$12="Media",'Mapa final'!$AK$12="Leve"),CONCATENATE("R1C",'Mapa final'!$Y$12),"")</f>
        <v/>
      </c>
      <c r="L26" s="62" t="str">
        <f>IF(AND('Mapa final'!$AI$13="Media",'Mapa final'!$AK$13="Leve"),CONCATENATE("R1C",'Mapa final'!$Y$13),"")</f>
        <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R1C1</v>
      </c>
      <c r="Q26" s="62" t="str">
        <f>IF(AND('Mapa final'!$AI$12="Media",'Mapa final'!$AK$12="Menor"),CONCATENATE("R1C",'Mapa final'!$Y$12),"")</f>
        <v>R1C2</v>
      </c>
      <c r="R26" s="62" t="str">
        <f>IF(AND('Mapa final'!$AI$13="Media",'Mapa final'!$AK$13="Menor"),CONCATENATE("R1C",'Mapa final'!$Y$13),"")</f>
        <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str">
        <f>IF(AND('Mapa final'!$AI$12="Media",'Mapa final'!$AK$12="Moderado"),CONCATENATE("R1C",'Mapa final'!$Y$12),"")</f>
        <v/>
      </c>
      <c r="X26" s="62" t="str">
        <f>IF(AND('Mapa final'!$AI$13="Media",'Mapa final'!$AK$13="Moderado"),CONCATENATE("R1C",'Mapa final'!$Y$13),"")</f>
        <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
      </c>
      <c r="AC26" s="44" t="str">
        <f>IF(AND('Mapa final'!$AI$12="Media",'Mapa final'!$AK$12="Mayor"),CONCATENATE("R1C",'Mapa final'!$Y$12),"")</f>
        <v/>
      </c>
      <c r="AD26" s="44" t="str">
        <f>IF(AND('Mapa final'!$AI$13="Media",'Mapa final'!$AK$13="Mayor"),CONCATENATE("R1C",'Mapa final'!$Y$13),"")</f>
        <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str">
        <f>IF(AND('Mapa final'!$AI$12="Media",'Mapa final'!$AK$12="Catastrófico"),CONCATENATE("R1C",'Mapa final'!$Y$12),"")</f>
        <v/>
      </c>
      <c r="AJ26" s="47" t="str">
        <f>IF(AND('Mapa final'!$AI$13="Media",'Mapa final'!$AK$13="Catastrófico"),CONCATENATE("R1C",'Mapa final'!$Y$13),"")</f>
        <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63" t="s">
        <v>177</v>
      </c>
      <c r="AP26" s="464"/>
      <c r="AQ26" s="464"/>
      <c r="AR26" s="464"/>
      <c r="AS26" s="464"/>
      <c r="AT26" s="465"/>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385"/>
      <c r="C27" s="385"/>
      <c r="D27" s="386"/>
      <c r="E27" s="442"/>
      <c r="F27" s="427"/>
      <c r="G27" s="427"/>
      <c r="H27" s="427"/>
      <c r="I27" s="428"/>
      <c r="J27" s="64" t="str">
        <f>IF(AND('Mapa final'!$AI$14="Media",'Mapa final'!$AK$14="Leve"),CONCATENATE("R2C",'Mapa final'!$Y$14),"")</f>
        <v/>
      </c>
      <c r="K27" s="65" t="str">
        <f>IF(AND('Mapa final'!$AI$15="Media",'Mapa final'!$AK$15="Leve"),CONCATENATE("R2C",'Mapa final'!$Y$15),"")</f>
        <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final'!$AI$14="Media",'Mapa final'!$AK$14="Menor"),CONCATENATE("R2C",'Mapa final'!$Y$14),"")</f>
        <v>R2C1</v>
      </c>
      <c r="Q27" s="65" t="str">
        <f>IF(AND('Mapa final'!$AI$15="Media",'Mapa final'!$AK$15="Menor"),CONCATENATE("R2C",'Mapa final'!$Y$15),"")</f>
        <v>R2C2</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final'!$AI$14="Media",'Mapa final'!$AK$14="Moderado"),CONCATENATE("R2C",'Mapa final'!$Y$14),"")</f>
        <v/>
      </c>
      <c r="W27" s="65" t="str">
        <f>IF(AND('Mapa final'!$AI$15="Media",'Mapa final'!$AK$15="Moderado"),CONCATENATE("R2C",'Mapa final'!$Y$15),"")</f>
        <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final'!$AI$14="Media",'Mapa final'!$AK$14="Mayor"),CONCATENATE("R2C",'Mapa final'!$Y$14),"")</f>
        <v/>
      </c>
      <c r="AC27" s="50" t="str">
        <f>IF(AND('Mapa final'!$AI$15="Media",'Mapa final'!$AK$15="Mayor"),CONCATENATE("R2C",'Mapa final'!$Y$15),"")</f>
        <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final'!$AI$14="Media",'Mapa final'!$AK$14="Catastrófico"),CONCATENATE("R2C",'Mapa final'!$Y$14),"")</f>
        <v/>
      </c>
      <c r="AI27" s="53" t="str">
        <f>IF(AND('Mapa final'!$AI$15="Media",'Mapa final'!$AK$15="Catastrófico"),CONCATENATE("R2C",'Mapa final'!$Y$15),"")</f>
        <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66"/>
      <c r="AP27" s="467"/>
      <c r="AQ27" s="467"/>
      <c r="AR27" s="467"/>
      <c r="AS27" s="467"/>
      <c r="AT27" s="468"/>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385"/>
      <c r="C28" s="385"/>
      <c r="D28" s="386"/>
      <c r="E28" s="426"/>
      <c r="F28" s="427"/>
      <c r="G28" s="427"/>
      <c r="H28" s="427"/>
      <c r="I28" s="428"/>
      <c r="J28" s="64" t="str">
        <f>IF(AND('Mapa final'!$AI$16="Media",'Mapa final'!$AK$16="Leve"),CONCATENATE("R3C",'Mapa final'!$Y$16),"")</f>
        <v/>
      </c>
      <c r="K28" s="65" t="e">
        <f>IF(AND('Mapa final'!#REF!="Media",'Mapa final'!#REF!="Leve"),CONCATENATE("R3C",'Mapa final'!#REF!),"")</f>
        <v>#REF!</v>
      </c>
      <c r="L28" s="65" t="e">
        <f>IF(AND('Mapa final'!#REF!="Media",'Mapa final'!#REF!="Leve"),CONCATENATE("R3C",'Mapa final'!#REF!),"")</f>
        <v>#REF!</v>
      </c>
      <c r="M28" s="65" t="e">
        <f>IF(AND('Mapa final'!#REF!="Media",'Mapa final'!#REF!="Leve"),CONCATENATE("R3C",'Mapa final'!#REF!),"")</f>
        <v>#REF!</v>
      </c>
      <c r="N28" s="65" t="e">
        <f>IF(AND('Mapa final'!#REF!="Media",'Mapa final'!#REF!="Leve"),CONCATENATE("R3C",'Mapa final'!#REF!),"")</f>
        <v>#REF!</v>
      </c>
      <c r="O28" s="66" t="e">
        <f>IF(AND('Mapa final'!#REF!="Media",'Mapa final'!#REF!="Leve"),CONCATENATE("R3C",'Mapa final'!#REF!),"")</f>
        <v>#REF!</v>
      </c>
      <c r="P28" s="64" t="str">
        <f>IF(AND('Mapa final'!$AI$16="Media",'Mapa final'!$AK$16="Menor"),CONCATENATE("R3C",'Mapa final'!$Y$16),"")</f>
        <v>R3C1</v>
      </c>
      <c r="Q28" s="65" t="e">
        <f>IF(AND('Mapa final'!#REF!="Media",'Mapa final'!#REF!="Menor"),CONCATENATE("R3C",'Mapa final'!#REF!),"")</f>
        <v>#REF!</v>
      </c>
      <c r="R28" s="65" t="e">
        <f>IF(AND('Mapa final'!#REF!="Media",'Mapa final'!#REF!="Menor"),CONCATENATE("R3C",'Mapa final'!#REF!),"")</f>
        <v>#REF!</v>
      </c>
      <c r="S28" s="65" t="e">
        <f>IF(AND('Mapa final'!#REF!="Media",'Mapa final'!#REF!="Menor"),CONCATENATE("R3C",'Mapa final'!#REF!),"")</f>
        <v>#REF!</v>
      </c>
      <c r="T28" s="65" t="e">
        <f>IF(AND('Mapa final'!#REF!="Media",'Mapa final'!#REF!="Menor"),CONCATENATE("R3C",'Mapa final'!#REF!),"")</f>
        <v>#REF!</v>
      </c>
      <c r="U28" s="66" t="e">
        <f>IF(AND('Mapa final'!#REF!="Media",'Mapa final'!#REF!="Menor"),CONCATENATE("R3C",'Mapa final'!#REF!),"")</f>
        <v>#REF!</v>
      </c>
      <c r="V28" s="64" t="str">
        <f>IF(AND('Mapa final'!$AI$16="Media",'Mapa final'!$AK$16="Moderado"),CONCATENATE("R3C",'Mapa final'!$Y$16),"")</f>
        <v/>
      </c>
      <c r="W28" s="65" t="e">
        <f>IF(AND('Mapa final'!#REF!="Media",'Mapa final'!#REF!="Moderado"),CONCATENATE("R3C",'Mapa final'!#REF!),"")</f>
        <v>#REF!</v>
      </c>
      <c r="X28" s="65" t="e">
        <f>IF(AND('Mapa final'!#REF!="Media",'Mapa final'!#REF!="Moderado"),CONCATENATE("R3C",'Mapa final'!#REF!),"")</f>
        <v>#REF!</v>
      </c>
      <c r="Y28" s="65" t="e">
        <f>IF(AND('Mapa final'!#REF!="Media",'Mapa final'!#REF!="Moderado"),CONCATENATE("R3C",'Mapa final'!#REF!),"")</f>
        <v>#REF!</v>
      </c>
      <c r="Z28" s="65" t="e">
        <f>IF(AND('Mapa final'!#REF!="Media",'Mapa final'!#REF!="Moderado"),CONCATENATE("R3C",'Mapa final'!#REF!),"")</f>
        <v>#REF!</v>
      </c>
      <c r="AA28" s="66" t="e">
        <f>IF(AND('Mapa final'!#REF!="Media",'Mapa final'!#REF!="Moderado"),CONCATENATE("R3C",'Mapa final'!#REF!),"")</f>
        <v>#REF!</v>
      </c>
      <c r="AB28" s="49" t="str">
        <f>IF(AND('Mapa final'!$AI$16="Media",'Mapa final'!$AK$16="Mayor"),CONCATENATE("R3C",'Mapa final'!$Y$16),"")</f>
        <v/>
      </c>
      <c r="AC28" s="50" t="e">
        <f>IF(AND('Mapa final'!#REF!="Media",'Mapa final'!#REF!="Mayor"),CONCATENATE("R3C",'Mapa final'!#REF!),"")</f>
        <v>#REF!</v>
      </c>
      <c r="AD28" s="50" t="e">
        <f>IF(AND('Mapa final'!#REF!="Media",'Mapa final'!#REF!="Mayor"),CONCATENATE("R3C",'Mapa final'!#REF!),"")</f>
        <v>#REF!</v>
      </c>
      <c r="AE28" s="50" t="e">
        <f>IF(AND('Mapa final'!#REF!="Media",'Mapa final'!#REF!="Mayor"),CONCATENATE("R3C",'Mapa final'!#REF!),"")</f>
        <v>#REF!</v>
      </c>
      <c r="AF28" s="50" t="e">
        <f>IF(AND('Mapa final'!#REF!="Media",'Mapa final'!#REF!="Mayor"),CONCATENATE("R3C",'Mapa final'!#REF!),"")</f>
        <v>#REF!</v>
      </c>
      <c r="AG28" s="51" t="e">
        <f>IF(AND('Mapa final'!#REF!="Media",'Mapa final'!#REF!="Mayor"),CONCATENATE("R3C",'Mapa final'!#REF!),"")</f>
        <v>#REF!</v>
      </c>
      <c r="AH28" s="52" t="str">
        <f>IF(AND('Mapa final'!$AI$16="Media",'Mapa final'!$AK$16="Catastrófico"),CONCATENATE("R3C",'Mapa final'!$Y$16),"")</f>
        <v/>
      </c>
      <c r="AI28" s="53" t="e">
        <f>IF(AND('Mapa final'!#REF!="Media",'Mapa final'!#REF!="Catastrófico"),CONCATENATE("R3C",'Mapa final'!#REF!),"")</f>
        <v>#REF!</v>
      </c>
      <c r="AJ28" s="53" t="e">
        <f>IF(AND('Mapa final'!#REF!="Media",'Mapa final'!#REF!="Catastrófico"),CONCATENATE("R3C",'Mapa final'!#REF!),"")</f>
        <v>#REF!</v>
      </c>
      <c r="AK28" s="53" t="e">
        <f>IF(AND('Mapa final'!#REF!="Media",'Mapa final'!#REF!="Catastrófico"),CONCATENATE("R3C",'Mapa final'!#REF!),"")</f>
        <v>#REF!</v>
      </c>
      <c r="AL28" s="53" t="e">
        <f>IF(AND('Mapa final'!#REF!="Media",'Mapa final'!#REF!="Catastrófico"),CONCATENATE("R3C",'Mapa final'!#REF!),"")</f>
        <v>#REF!</v>
      </c>
      <c r="AM28" s="54" t="e">
        <f>IF(AND('Mapa final'!#REF!="Media",'Mapa final'!#REF!="Catastrófico"),CONCATENATE("R3C",'Mapa final'!#REF!),"")</f>
        <v>#REF!</v>
      </c>
      <c r="AN28" s="80"/>
      <c r="AO28" s="466"/>
      <c r="AP28" s="467"/>
      <c r="AQ28" s="467"/>
      <c r="AR28" s="467"/>
      <c r="AS28" s="467"/>
      <c r="AT28" s="468"/>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385"/>
      <c r="C29" s="385"/>
      <c r="D29" s="386"/>
      <c r="E29" s="426"/>
      <c r="F29" s="427"/>
      <c r="G29" s="427"/>
      <c r="H29" s="427"/>
      <c r="I29" s="428"/>
      <c r="J29" s="64" t="str">
        <f>IF(AND('Mapa final'!$AI$17="Media",'Mapa final'!$AK$17="Leve"),CONCATENATE("R4C",'Mapa final'!$Y$17),"")</f>
        <v/>
      </c>
      <c r="K29" s="65" t="str">
        <f>IF(AND('Mapa final'!$AI$18="Media",'Mapa final'!$AK$18="Leve"),CONCATENATE("R4C",'Mapa final'!$Y$18),"")</f>
        <v/>
      </c>
      <c r="L29" s="65" t="str">
        <f>IF(AND('Mapa final'!$AI$19="Media",'Mapa final'!$AK$19="Leve"),CONCATENATE("R4C",'Mapa final'!$Y$19),"")</f>
        <v/>
      </c>
      <c r="M29" s="65" t="str">
        <f>IF(AND('Mapa final'!$AI$20="Media",'Mapa final'!$AK$20="Leve"),CONCATENATE("R4C",'Mapa final'!$Y$20),"")</f>
        <v/>
      </c>
      <c r="N29" s="65" t="str">
        <f>IF(AND('Mapa final'!$AI$21="Media",'Mapa final'!$AK$21="Leve"),CONCATENATE("R4C",'Mapa final'!$Y$21),"")</f>
        <v/>
      </c>
      <c r="O29" s="66" t="str">
        <f>IF(AND('Mapa final'!$AI$22="Media",'Mapa final'!$AK$22="Leve"),CONCATENATE("R4C",'Mapa final'!$Y$22),"")</f>
        <v/>
      </c>
      <c r="P29" s="64" t="str">
        <f>IF(AND('Mapa final'!$AI$17="Media",'Mapa final'!$AK$17="Menor"),CONCATENATE("R4C",'Mapa final'!$Y$17),"")</f>
        <v/>
      </c>
      <c r="Q29" s="65" t="str">
        <f>IF(AND('Mapa final'!$AI$18="Media",'Mapa final'!$AK$18="Menor"),CONCATENATE("R4C",'Mapa final'!$Y$18),"")</f>
        <v/>
      </c>
      <c r="R29" s="65" t="str">
        <f>IF(AND('Mapa final'!$AI$19="Media",'Mapa final'!$AK$19="Menor"),CONCATENATE("R4C",'Mapa final'!$Y$19),"")</f>
        <v/>
      </c>
      <c r="S29" s="65" t="str">
        <f>IF(AND('Mapa final'!$AI$20="Media",'Mapa final'!$AK$20="Menor"),CONCATENATE("R4C",'Mapa final'!$Y$20),"")</f>
        <v/>
      </c>
      <c r="T29" s="65" t="str">
        <f>IF(AND('Mapa final'!$AI$21="Media",'Mapa final'!$AK$21="Menor"),CONCATENATE("R4C",'Mapa final'!$Y$21),"")</f>
        <v/>
      </c>
      <c r="U29" s="66" t="str">
        <f>IF(AND('Mapa final'!$AI$22="Media",'Mapa final'!$AK$22="Menor"),CONCATENATE("R4C",'Mapa final'!$Y$22),"")</f>
        <v/>
      </c>
      <c r="V29" s="64" t="str">
        <f>IF(AND('Mapa final'!$AI$17="Media",'Mapa final'!$AK$17="Moderado"),CONCATENATE("R4C",'Mapa final'!$Y$17),"")</f>
        <v/>
      </c>
      <c r="W29" s="65" t="str">
        <f>IF(AND('Mapa final'!$AI$18="Media",'Mapa final'!$AK$18="Moderado"),CONCATENATE("R4C",'Mapa final'!$Y$18),"")</f>
        <v/>
      </c>
      <c r="X29" s="65" t="str">
        <f>IF(AND('Mapa final'!$AI$19="Media",'Mapa final'!$AK$19="Moderado"),CONCATENATE("R4C",'Mapa final'!$Y$19),"")</f>
        <v/>
      </c>
      <c r="Y29" s="65" t="str">
        <f>IF(AND('Mapa final'!$AI$20="Media",'Mapa final'!$AK$20="Moderado"),CONCATENATE("R4C",'Mapa final'!$Y$20),"")</f>
        <v/>
      </c>
      <c r="Z29" s="65" t="str">
        <f>IF(AND('Mapa final'!$AI$21="Media",'Mapa final'!$AK$21="Moderado"),CONCATENATE("R4C",'Mapa final'!$Y$21),"")</f>
        <v/>
      </c>
      <c r="AA29" s="66" t="str">
        <f>IF(AND('Mapa final'!$AI$22="Media",'Mapa final'!$AK$22="Moderado"),CONCATENATE("R4C",'Mapa final'!$Y$22),"")</f>
        <v/>
      </c>
      <c r="AB29" s="49" t="str">
        <f>IF(AND('Mapa final'!$AI$17="Media",'Mapa final'!$AK$17="Mayor"),CONCATENATE("R4C",'Mapa final'!$Y$17),"")</f>
        <v/>
      </c>
      <c r="AC29" s="50" t="str">
        <f>IF(AND('Mapa final'!$AI$18="Media",'Mapa final'!$AK$18="Mayor"),CONCATENATE("R4C",'Mapa final'!$Y$18),"")</f>
        <v/>
      </c>
      <c r="AD29" s="50" t="str">
        <f>IF(AND('Mapa final'!$AI$19="Media",'Mapa final'!$AK$19="Mayor"),CONCATENATE("R4C",'Mapa final'!$Y$19),"")</f>
        <v/>
      </c>
      <c r="AE29" s="50" t="str">
        <f>IF(AND('Mapa final'!$AI$20="Media",'Mapa final'!$AK$20="Mayor"),CONCATENATE("R4C",'Mapa final'!$Y$20),"")</f>
        <v/>
      </c>
      <c r="AF29" s="50" t="str">
        <f>IF(AND('Mapa final'!$AI$21="Media",'Mapa final'!$AK$21="Mayor"),CONCATENATE("R4C",'Mapa final'!$Y$21),"")</f>
        <v/>
      </c>
      <c r="AG29" s="51" t="str">
        <f>IF(AND('Mapa final'!$AI$22="Media",'Mapa final'!$AK$22="Mayor"),CONCATENATE("R4C",'Mapa final'!$Y$22),"")</f>
        <v/>
      </c>
      <c r="AH29" s="52" t="str">
        <f>IF(AND('Mapa final'!$AI$17="Media",'Mapa final'!$AK$17="Catastrófico"),CONCATENATE("R4C",'Mapa final'!$Y$17),"")</f>
        <v/>
      </c>
      <c r="AI29" s="53" t="str">
        <f>IF(AND('Mapa final'!$AI$18="Media",'Mapa final'!$AK$18="Catastrófico"),CONCATENATE("R4C",'Mapa final'!$Y$18),"")</f>
        <v/>
      </c>
      <c r="AJ29" s="53" t="str">
        <f>IF(AND('Mapa final'!$AI$19="Media",'Mapa final'!$AK$19="Catastrófico"),CONCATENATE("R4C",'Mapa final'!$Y$19),"")</f>
        <v/>
      </c>
      <c r="AK29" s="53" t="str">
        <f>IF(AND('Mapa final'!$AI$20="Media",'Mapa final'!$AK$20="Catastrófico"),CONCATENATE("R4C",'Mapa final'!$Y$20),"")</f>
        <v/>
      </c>
      <c r="AL29" s="53" t="str">
        <f>IF(AND('Mapa final'!$AI$21="Media",'Mapa final'!$AK$21="Catastrófico"),CONCATENATE("R4C",'Mapa final'!$Y$21),"")</f>
        <v/>
      </c>
      <c r="AM29" s="54" t="str">
        <f>IF(AND('Mapa final'!$AI$22="Media",'Mapa final'!$AK$22="Catastrófico"),CONCATENATE("R4C",'Mapa final'!$Y$22),"")</f>
        <v/>
      </c>
      <c r="AN29" s="80"/>
      <c r="AO29" s="466"/>
      <c r="AP29" s="467"/>
      <c r="AQ29" s="467"/>
      <c r="AR29" s="467"/>
      <c r="AS29" s="467"/>
      <c r="AT29" s="468"/>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385"/>
      <c r="C30" s="385"/>
      <c r="D30" s="386"/>
      <c r="E30" s="426"/>
      <c r="F30" s="427"/>
      <c r="G30" s="427"/>
      <c r="H30" s="427"/>
      <c r="I30" s="428"/>
      <c r="J30" s="64" t="str">
        <f>IF(AND('Mapa final'!$AI$23="Media",'Mapa final'!$AK$23="Leve"),CONCATENATE("R5C",'Mapa final'!$Y$23),"")</f>
        <v/>
      </c>
      <c r="K30" s="65" t="str">
        <f>IF(AND('Mapa final'!$AI$24="Media",'Mapa final'!$AK$24="Leve"),CONCATENATE("R5C",'Mapa final'!$Y$24),"")</f>
        <v/>
      </c>
      <c r="L30" s="65" t="str">
        <f>IF(AND('Mapa final'!$AI$25="Media",'Mapa final'!$AK$25="Leve"),CONCATENATE("R5C",'Mapa final'!$Y$25),"")</f>
        <v/>
      </c>
      <c r="M30" s="65" t="str">
        <f>IF(AND('Mapa final'!$AI$26="Media",'Mapa final'!$AK$26="Leve"),CONCATENATE("R5C",'Mapa final'!$Y$26),"")</f>
        <v/>
      </c>
      <c r="N30" s="65" t="str">
        <f>IF(AND('Mapa final'!$AI$27="Media",'Mapa final'!$AK$27="Leve"),CONCATENATE("R5C",'Mapa final'!$Y$27),"")</f>
        <v/>
      </c>
      <c r="O30" s="66" t="str">
        <f>IF(AND('Mapa final'!$AI$28="Media",'Mapa final'!$AK$28="Leve"),CONCATENATE("R5C",'Mapa final'!$Y$28),"")</f>
        <v/>
      </c>
      <c r="P30" s="64" t="str">
        <f>IF(AND('Mapa final'!$AI$23="Media",'Mapa final'!$AK$23="Menor"),CONCATENATE("R5C",'Mapa final'!$Y$23),"")</f>
        <v/>
      </c>
      <c r="Q30" s="65" t="str">
        <f>IF(AND('Mapa final'!$AI$24="Media",'Mapa final'!$AK$24="Menor"),CONCATENATE("R5C",'Mapa final'!$Y$24),"")</f>
        <v/>
      </c>
      <c r="R30" s="65" t="str">
        <f>IF(AND('Mapa final'!$AI$25="Media",'Mapa final'!$AK$25="Menor"),CONCATENATE("R5C",'Mapa final'!$Y$25),"")</f>
        <v/>
      </c>
      <c r="S30" s="65" t="str">
        <f>IF(AND('Mapa final'!$AI$26="Media",'Mapa final'!$AK$26="Menor"),CONCATENATE("R5C",'Mapa final'!$Y$26),"")</f>
        <v/>
      </c>
      <c r="T30" s="65" t="str">
        <f>IF(AND('Mapa final'!$AI$27="Media",'Mapa final'!$AK$27="Menor"),CONCATENATE("R5C",'Mapa final'!$Y$27),"")</f>
        <v/>
      </c>
      <c r="U30" s="66" t="str">
        <f>IF(AND('Mapa final'!$AI$28="Media",'Mapa final'!$AK$28="Menor"),CONCATENATE("R5C",'Mapa final'!$Y$28),"")</f>
        <v/>
      </c>
      <c r="V30" s="64" t="str">
        <f>IF(AND('Mapa final'!$AI$23="Media",'Mapa final'!$AK$23="Moderado"),CONCATENATE("R5C",'Mapa final'!$Y$23),"")</f>
        <v/>
      </c>
      <c r="W30" s="65" t="str">
        <f>IF(AND('Mapa final'!$AI$24="Media",'Mapa final'!$AK$24="Moderado"),CONCATENATE("R5C",'Mapa final'!$Y$24),"")</f>
        <v/>
      </c>
      <c r="X30" s="65" t="str">
        <f>IF(AND('Mapa final'!$AI$25="Media",'Mapa final'!$AK$25="Moderado"),CONCATENATE("R5C",'Mapa final'!$Y$25),"")</f>
        <v/>
      </c>
      <c r="Y30" s="65" t="str">
        <f>IF(AND('Mapa final'!$AI$26="Media",'Mapa final'!$AK$26="Moderado"),CONCATENATE("R5C",'Mapa final'!$Y$26),"")</f>
        <v/>
      </c>
      <c r="Z30" s="65" t="str">
        <f>IF(AND('Mapa final'!$AI$27="Media",'Mapa final'!$AK$27="Moderado"),CONCATENATE("R5C",'Mapa final'!$Y$27),"")</f>
        <v/>
      </c>
      <c r="AA30" s="66" t="str">
        <f>IF(AND('Mapa final'!$AI$28="Media",'Mapa final'!$AK$28="Moderado"),CONCATENATE("R5C",'Mapa final'!$Y$28),"")</f>
        <v/>
      </c>
      <c r="AB30" s="49" t="str">
        <f>IF(AND('Mapa final'!$AI$23="Media",'Mapa final'!$AK$23="Mayor"),CONCATENATE("R5C",'Mapa final'!$Y$23),"")</f>
        <v/>
      </c>
      <c r="AC30" s="50" t="str">
        <f>IF(AND('Mapa final'!$AI$24="Media",'Mapa final'!$AK$24="Mayor"),CONCATENATE("R5C",'Mapa final'!$Y$24),"")</f>
        <v/>
      </c>
      <c r="AD30" s="50" t="str">
        <f>IF(AND('Mapa final'!$AI$25="Media",'Mapa final'!$AK$25="Mayor"),CONCATENATE("R5C",'Mapa final'!$Y$25),"")</f>
        <v/>
      </c>
      <c r="AE30" s="50" t="str">
        <f>IF(AND('Mapa final'!$AI$26="Media",'Mapa final'!$AK$26="Mayor"),CONCATENATE("R5C",'Mapa final'!$Y$26),"")</f>
        <v/>
      </c>
      <c r="AF30" s="50" t="str">
        <f>IF(AND('Mapa final'!$AI$27="Media",'Mapa final'!$AK$27="Mayor"),CONCATENATE("R5C",'Mapa final'!$Y$27),"")</f>
        <v/>
      </c>
      <c r="AG30" s="51" t="str">
        <f>IF(AND('Mapa final'!$AI$28="Media",'Mapa final'!$AK$28="Mayor"),CONCATENATE("R5C",'Mapa final'!$Y$28),"")</f>
        <v/>
      </c>
      <c r="AH30" s="52" t="str">
        <f>IF(AND('Mapa final'!$AI$23="Media",'Mapa final'!$AK$23="Catastrófico"),CONCATENATE("R5C",'Mapa final'!$Y$23),"")</f>
        <v/>
      </c>
      <c r="AI30" s="53" t="str">
        <f>IF(AND('Mapa final'!$AI$24="Media",'Mapa final'!$AK$24="Catastrófico"),CONCATENATE("R5C",'Mapa final'!$Y$24),"")</f>
        <v/>
      </c>
      <c r="AJ30" s="53" t="str">
        <f>IF(AND('Mapa final'!$AI$25="Media",'Mapa final'!$AK$25="Catastrófico"),CONCATENATE("R5C",'Mapa final'!$Y$25),"")</f>
        <v/>
      </c>
      <c r="AK30" s="53" t="str">
        <f>IF(AND('Mapa final'!$AI$26="Media",'Mapa final'!$AK$26="Catastrófico"),CONCATENATE("R5C",'Mapa final'!$Y$26),"")</f>
        <v/>
      </c>
      <c r="AL30" s="53" t="str">
        <f>IF(AND('Mapa final'!$AI$27="Media",'Mapa final'!$AK$27="Catastrófico"),CONCATENATE("R5C",'Mapa final'!$Y$27),"")</f>
        <v/>
      </c>
      <c r="AM30" s="54" t="str">
        <f>IF(AND('Mapa final'!$AI$28="Media",'Mapa final'!$AK$28="Catastrófico"),CONCATENATE("R5C",'Mapa final'!$Y$28),"")</f>
        <v/>
      </c>
      <c r="AN30" s="80"/>
      <c r="AO30" s="466"/>
      <c r="AP30" s="467"/>
      <c r="AQ30" s="467"/>
      <c r="AR30" s="467"/>
      <c r="AS30" s="467"/>
      <c r="AT30" s="468"/>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385"/>
      <c r="C31" s="385"/>
      <c r="D31" s="386"/>
      <c r="E31" s="426"/>
      <c r="F31" s="427"/>
      <c r="G31" s="427"/>
      <c r="H31" s="427"/>
      <c r="I31" s="428"/>
      <c r="J31" s="64" t="str">
        <f>IF(AND('Mapa final'!$AI$29="Media",'Mapa final'!$AK$29="Leve"),CONCATENATE("R6C",'Mapa final'!$Y$29),"")</f>
        <v/>
      </c>
      <c r="K31" s="65" t="str">
        <f>IF(AND('Mapa final'!$AI$30="Media",'Mapa final'!$AK$30="Leve"),CONCATENATE("R6C",'Mapa final'!$Y$30),"")</f>
        <v/>
      </c>
      <c r="L31" s="65" t="str">
        <f>IF(AND('Mapa final'!$AI$31="Media",'Mapa final'!$AK$31="Leve"),CONCATENATE("R6C",'Mapa final'!$Y$31),"")</f>
        <v/>
      </c>
      <c r="M31" s="65" t="str">
        <f>IF(AND('Mapa final'!$AI$32="Media",'Mapa final'!$AK$32="Leve"),CONCATENATE("R6C",'Mapa final'!$Y$32),"")</f>
        <v/>
      </c>
      <c r="N31" s="65" t="str">
        <f>IF(AND('Mapa final'!$AI$33="Media",'Mapa final'!$AK$33="Leve"),CONCATENATE("R6C",'Mapa final'!$Y$33),"")</f>
        <v/>
      </c>
      <c r="O31" s="66" t="str">
        <f>IF(AND('Mapa final'!$AI$34="Media",'Mapa final'!$AK$34="Leve"),CONCATENATE("R6C",'Mapa final'!$Y$34),"")</f>
        <v/>
      </c>
      <c r="P31" s="64" t="str">
        <f>IF(AND('Mapa final'!$AI$29="Media",'Mapa final'!$AK$29="Menor"),CONCATENATE("R6C",'Mapa final'!$Y$29),"")</f>
        <v/>
      </c>
      <c r="Q31" s="65" t="str">
        <f>IF(AND('Mapa final'!$AI$30="Media",'Mapa final'!$AK$30="Menor"),CONCATENATE("R6C",'Mapa final'!$Y$30),"")</f>
        <v/>
      </c>
      <c r="R31" s="65" t="str">
        <f>IF(AND('Mapa final'!$AI$31="Media",'Mapa final'!$AK$31="Menor"),CONCATENATE("R6C",'Mapa final'!$Y$31),"")</f>
        <v/>
      </c>
      <c r="S31" s="65" t="str">
        <f>IF(AND('Mapa final'!$AI$32="Media",'Mapa final'!$AK$32="Menor"),CONCATENATE("R6C",'Mapa final'!$Y$32),"")</f>
        <v/>
      </c>
      <c r="T31" s="65" t="str">
        <f>IF(AND('Mapa final'!$AI$33="Media",'Mapa final'!$AK$33="Menor"),CONCATENATE("R6C",'Mapa final'!$Y$33),"")</f>
        <v/>
      </c>
      <c r="U31" s="66" t="str">
        <f>IF(AND('Mapa final'!$AI$34="Media",'Mapa final'!$AK$34="Menor"),CONCATENATE("R6C",'Mapa final'!$Y$34),"")</f>
        <v/>
      </c>
      <c r="V31" s="64" t="str">
        <f>IF(AND('Mapa final'!$AI$29="Media",'Mapa final'!$AK$29="Moderado"),CONCATENATE("R6C",'Mapa final'!$Y$29),"")</f>
        <v/>
      </c>
      <c r="W31" s="65" t="str">
        <f>IF(AND('Mapa final'!$AI$30="Media",'Mapa final'!$AK$30="Moderado"),CONCATENATE("R6C",'Mapa final'!$Y$30),"")</f>
        <v/>
      </c>
      <c r="X31" s="65" t="str">
        <f>IF(AND('Mapa final'!$AI$31="Media",'Mapa final'!$AK$31="Moderado"),CONCATENATE("R6C",'Mapa final'!$Y$31),"")</f>
        <v/>
      </c>
      <c r="Y31" s="65" t="str">
        <f>IF(AND('Mapa final'!$AI$32="Media",'Mapa final'!$AK$32="Moderado"),CONCATENATE("R6C",'Mapa final'!$Y$32),"")</f>
        <v/>
      </c>
      <c r="Z31" s="65" t="str">
        <f>IF(AND('Mapa final'!$AI$33="Media",'Mapa final'!$AK$33="Moderado"),CONCATENATE("R6C",'Mapa final'!$Y$33),"")</f>
        <v/>
      </c>
      <c r="AA31" s="66" t="str">
        <f>IF(AND('Mapa final'!$AI$34="Media",'Mapa final'!$AK$34="Moderado"),CONCATENATE("R6C",'Mapa final'!$Y$34),"")</f>
        <v/>
      </c>
      <c r="AB31" s="49" t="str">
        <f>IF(AND('Mapa final'!$AI$29="Media",'Mapa final'!$AK$29="Mayor"),CONCATENATE("R6C",'Mapa final'!$Y$29),"")</f>
        <v/>
      </c>
      <c r="AC31" s="50" t="str">
        <f>IF(AND('Mapa final'!$AI$30="Media",'Mapa final'!$AK$30="Mayor"),CONCATENATE("R6C",'Mapa final'!$Y$30),"")</f>
        <v/>
      </c>
      <c r="AD31" s="50" t="str">
        <f>IF(AND('Mapa final'!$AI$31="Media",'Mapa final'!$AK$31="Mayor"),CONCATENATE("R6C",'Mapa final'!$Y$31),"")</f>
        <v/>
      </c>
      <c r="AE31" s="50" t="str">
        <f>IF(AND('Mapa final'!$AI$32="Media",'Mapa final'!$AK$32="Mayor"),CONCATENATE("R6C",'Mapa final'!$Y$32),"")</f>
        <v/>
      </c>
      <c r="AF31" s="50" t="str">
        <f>IF(AND('Mapa final'!$AI$33="Media",'Mapa final'!$AK$33="Mayor"),CONCATENATE("R6C",'Mapa final'!$Y$33),"")</f>
        <v/>
      </c>
      <c r="AG31" s="51" t="str">
        <f>IF(AND('Mapa final'!$AI$34="Media",'Mapa final'!$AK$34="Mayor"),CONCATENATE("R6C",'Mapa final'!$Y$34),"")</f>
        <v/>
      </c>
      <c r="AH31" s="52" t="str">
        <f>IF(AND('Mapa final'!$AI$29="Media",'Mapa final'!$AK$29="Catastrófico"),CONCATENATE("R6C",'Mapa final'!$Y$29),"")</f>
        <v/>
      </c>
      <c r="AI31" s="53" t="str">
        <f>IF(AND('Mapa final'!$AI$30="Media",'Mapa final'!$AK$30="Catastrófico"),CONCATENATE("R6C",'Mapa final'!$Y$30),"")</f>
        <v/>
      </c>
      <c r="AJ31" s="53" t="str">
        <f>IF(AND('Mapa final'!$AI$31="Media",'Mapa final'!$AK$31="Catastrófico"),CONCATENATE("R6C",'Mapa final'!$Y$31),"")</f>
        <v/>
      </c>
      <c r="AK31" s="53" t="str">
        <f>IF(AND('Mapa final'!$AI$32="Media",'Mapa final'!$AK$32="Catastrófico"),CONCATENATE("R6C",'Mapa final'!$Y$32),"")</f>
        <v/>
      </c>
      <c r="AL31" s="53" t="str">
        <f>IF(AND('Mapa final'!$AI$33="Media",'Mapa final'!$AK$33="Catastrófico"),CONCATENATE("R6C",'Mapa final'!$Y$33),"")</f>
        <v/>
      </c>
      <c r="AM31" s="54" t="str">
        <f>IF(AND('Mapa final'!$AI$34="Media",'Mapa final'!$AK$34="Catastrófico"),CONCATENATE("R6C",'Mapa final'!$Y$34),"")</f>
        <v/>
      </c>
      <c r="AN31" s="80"/>
      <c r="AO31" s="466"/>
      <c r="AP31" s="467"/>
      <c r="AQ31" s="467"/>
      <c r="AR31" s="467"/>
      <c r="AS31" s="467"/>
      <c r="AT31" s="468"/>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385"/>
      <c r="C32" s="385"/>
      <c r="D32" s="386"/>
      <c r="E32" s="426"/>
      <c r="F32" s="427"/>
      <c r="G32" s="427"/>
      <c r="H32" s="427"/>
      <c r="I32" s="428"/>
      <c r="J32" s="64" t="str">
        <f>IF(AND('Mapa final'!$AI$35="Media",'Mapa final'!$AK$35="Leve"),CONCATENATE("R7C",'Mapa final'!$Y$35),"")</f>
        <v/>
      </c>
      <c r="K32" s="65" t="str">
        <f>IF(AND('Mapa final'!$AI$36="Media",'Mapa final'!$AK$36="Leve"),CONCATENATE("R7C",'Mapa final'!$Y$36),"")</f>
        <v/>
      </c>
      <c r="L32" s="65" t="str">
        <f>IF(AND('Mapa final'!$AI$37="Media",'Mapa final'!$AK$37="Leve"),CONCATENATE("R7C",'Mapa final'!$Y$37),"")</f>
        <v/>
      </c>
      <c r="M32" s="65" t="str">
        <f>IF(AND('Mapa final'!$AI$38="Media",'Mapa final'!$AK$38="Leve"),CONCATENATE("R7C",'Mapa final'!$Y$38),"")</f>
        <v/>
      </c>
      <c r="N32" s="65" t="str">
        <f>IF(AND('Mapa final'!$AI$39="Media",'Mapa final'!$AK$39="Leve"),CONCATENATE("R7C",'Mapa final'!$Y$39),"")</f>
        <v/>
      </c>
      <c r="O32" s="66" t="str">
        <f>IF(AND('Mapa final'!$AI$40="Media",'Mapa final'!$AK$40="Leve"),CONCATENATE("R7C",'Mapa final'!$Y$40),"")</f>
        <v/>
      </c>
      <c r="P32" s="64" t="str">
        <f>IF(AND('Mapa final'!$AI$35="Media",'Mapa final'!$AK$35="Menor"),CONCATENATE("R7C",'Mapa final'!$Y$35),"")</f>
        <v/>
      </c>
      <c r="Q32" s="65" t="str">
        <f>IF(AND('Mapa final'!$AI$36="Media",'Mapa final'!$AK$36="Menor"),CONCATENATE("R7C",'Mapa final'!$Y$36),"")</f>
        <v/>
      </c>
      <c r="R32" s="65" t="str">
        <f>IF(AND('Mapa final'!$AI$37="Media",'Mapa final'!$AK$37="Menor"),CONCATENATE("R7C",'Mapa final'!$Y$37),"")</f>
        <v/>
      </c>
      <c r="S32" s="65" t="str">
        <f>IF(AND('Mapa final'!$AI$38="Media",'Mapa final'!$AK$38="Menor"),CONCATENATE("R7C",'Mapa final'!$Y$38),"")</f>
        <v/>
      </c>
      <c r="T32" s="65" t="str">
        <f>IF(AND('Mapa final'!$AI$39="Media",'Mapa final'!$AK$39="Menor"),CONCATENATE("R7C",'Mapa final'!$Y$39),"")</f>
        <v/>
      </c>
      <c r="U32" s="66" t="str">
        <f>IF(AND('Mapa final'!$AI$40="Media",'Mapa final'!$AK$40="Menor"),CONCATENATE("R7C",'Mapa final'!$Y$40),"")</f>
        <v/>
      </c>
      <c r="V32" s="64" t="str">
        <f>IF(AND('Mapa final'!$AI$35="Media",'Mapa final'!$AK$35="Moderado"),CONCATENATE("R7C",'Mapa final'!$Y$35),"")</f>
        <v/>
      </c>
      <c r="W32" s="65" t="str">
        <f>IF(AND('Mapa final'!$AI$36="Media",'Mapa final'!$AK$36="Moderado"),CONCATENATE("R7C",'Mapa final'!$Y$36),"")</f>
        <v/>
      </c>
      <c r="X32" s="65" t="str">
        <f>IF(AND('Mapa final'!$AI$37="Media",'Mapa final'!$AK$37="Moderado"),CONCATENATE("R7C",'Mapa final'!$Y$37),"")</f>
        <v/>
      </c>
      <c r="Y32" s="65" t="str">
        <f>IF(AND('Mapa final'!$AI$38="Media",'Mapa final'!$AK$38="Moderado"),CONCATENATE("R7C",'Mapa final'!$Y$38),"")</f>
        <v/>
      </c>
      <c r="Z32" s="65" t="str">
        <f>IF(AND('Mapa final'!$AI$39="Media",'Mapa final'!$AK$39="Moderado"),CONCATENATE("R7C",'Mapa final'!$Y$39),"")</f>
        <v/>
      </c>
      <c r="AA32" s="66" t="str">
        <f>IF(AND('Mapa final'!$AI$40="Media",'Mapa final'!$AK$40="Moderado"),CONCATENATE("R7C",'Mapa final'!$Y$40),"")</f>
        <v/>
      </c>
      <c r="AB32" s="49" t="str">
        <f>IF(AND('Mapa final'!$AI$35="Media",'Mapa final'!$AK$35="Mayor"),CONCATENATE("R7C",'Mapa final'!$Y$35),"")</f>
        <v/>
      </c>
      <c r="AC32" s="50" t="str">
        <f>IF(AND('Mapa final'!$AI$36="Media",'Mapa final'!$AK$36="Mayor"),CONCATENATE("R7C",'Mapa final'!$Y$36),"")</f>
        <v/>
      </c>
      <c r="AD32" s="50" t="str">
        <f>IF(AND('Mapa final'!$AI$37="Media",'Mapa final'!$AK$37="Mayor"),CONCATENATE("R7C",'Mapa final'!$Y$37),"")</f>
        <v/>
      </c>
      <c r="AE32" s="50" t="str">
        <f>IF(AND('Mapa final'!$AI$38="Media",'Mapa final'!$AK$38="Mayor"),CONCATENATE("R7C",'Mapa final'!$Y$38),"")</f>
        <v/>
      </c>
      <c r="AF32" s="50" t="str">
        <f>IF(AND('Mapa final'!$AI$39="Media",'Mapa final'!$AK$39="Mayor"),CONCATENATE("R7C",'Mapa final'!$Y$39),"")</f>
        <v/>
      </c>
      <c r="AG32" s="51" t="str">
        <f>IF(AND('Mapa final'!$AI$40="Media",'Mapa final'!$AK$40="Mayor"),CONCATENATE("R7C",'Mapa final'!$Y$40),"")</f>
        <v/>
      </c>
      <c r="AH32" s="52" t="str">
        <f>IF(AND('Mapa final'!$AI$35="Media",'Mapa final'!$AK$35="Catastrófico"),CONCATENATE("R7C",'Mapa final'!$Y$35),"")</f>
        <v/>
      </c>
      <c r="AI32" s="53" t="str">
        <f>IF(AND('Mapa final'!$AI$36="Media",'Mapa final'!$AK$36="Catastrófico"),CONCATENATE("R7C",'Mapa final'!$Y$36),"")</f>
        <v/>
      </c>
      <c r="AJ32" s="53" t="str">
        <f>IF(AND('Mapa final'!$AI$37="Media",'Mapa final'!$AK$37="Catastrófico"),CONCATENATE("R7C",'Mapa final'!$Y$37),"")</f>
        <v/>
      </c>
      <c r="AK32" s="53" t="str">
        <f>IF(AND('Mapa final'!$AI$38="Media",'Mapa final'!$AK$38="Catastrófico"),CONCATENATE("R7C",'Mapa final'!$Y$38),"")</f>
        <v/>
      </c>
      <c r="AL32" s="53" t="str">
        <f>IF(AND('Mapa final'!$AI$39="Media",'Mapa final'!$AK$39="Catastrófico"),CONCATENATE("R7C",'Mapa final'!$Y$39),"")</f>
        <v/>
      </c>
      <c r="AM32" s="54" t="str">
        <f>IF(AND('Mapa final'!$AI$40="Media",'Mapa final'!$AK$40="Catastrófico"),CONCATENATE("R7C",'Mapa final'!$Y$40),"")</f>
        <v/>
      </c>
      <c r="AN32" s="80"/>
      <c r="AO32" s="466"/>
      <c r="AP32" s="467"/>
      <c r="AQ32" s="467"/>
      <c r="AR32" s="467"/>
      <c r="AS32" s="467"/>
      <c r="AT32" s="468"/>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385"/>
      <c r="C33" s="385"/>
      <c r="D33" s="386"/>
      <c r="E33" s="426"/>
      <c r="F33" s="427"/>
      <c r="G33" s="427"/>
      <c r="H33" s="427"/>
      <c r="I33" s="428"/>
      <c r="J33" s="64" t="str">
        <f>IF(AND('Mapa final'!$AI$41="Media",'Mapa final'!$AK$41="Leve"),CONCATENATE("R8C",'Mapa final'!$Y$41),"")</f>
        <v/>
      </c>
      <c r="K33" s="65" t="str">
        <f>IF(AND('Mapa final'!$AI$42="Media",'Mapa final'!$AK$42="Leve"),CONCATENATE("R8C",'Mapa final'!$Y$42),"")</f>
        <v/>
      </c>
      <c r="L33" s="65" t="str">
        <f>IF(AND('Mapa final'!$AI$43="Media",'Mapa final'!$AK$43="Leve"),CONCATENATE("R8C",'Mapa final'!$Y$43),"")</f>
        <v/>
      </c>
      <c r="M33" s="65" t="str">
        <f>IF(AND('Mapa final'!$AI$44="Media",'Mapa final'!$AK$44="Leve"),CONCATENATE("R8C",'Mapa final'!$Y$44),"")</f>
        <v/>
      </c>
      <c r="N33" s="65" t="str">
        <f>IF(AND('Mapa final'!$AI$45="Media",'Mapa final'!$AK$45="Leve"),CONCATENATE("R8C",'Mapa final'!$Y$45),"")</f>
        <v/>
      </c>
      <c r="O33" s="66" t="str">
        <f>IF(AND('Mapa final'!$AI$46="Media",'Mapa final'!$AK$46="Leve"),CONCATENATE("R8C",'Mapa final'!$Y$46),"")</f>
        <v/>
      </c>
      <c r="P33" s="64" t="str">
        <f>IF(AND('Mapa final'!$AI$41="Media",'Mapa final'!$AK$41="Menor"),CONCATENATE("R8C",'Mapa final'!$Y$41),"")</f>
        <v/>
      </c>
      <c r="Q33" s="65" t="str">
        <f>IF(AND('Mapa final'!$AI$42="Media",'Mapa final'!$AK$42="Menor"),CONCATENATE("R8C",'Mapa final'!$Y$42),"")</f>
        <v/>
      </c>
      <c r="R33" s="65" t="str">
        <f>IF(AND('Mapa final'!$AI$43="Media",'Mapa final'!$AK$43="Menor"),CONCATENATE("R8C",'Mapa final'!$Y$43),"")</f>
        <v/>
      </c>
      <c r="S33" s="65" t="str">
        <f>IF(AND('Mapa final'!$AI$44="Media",'Mapa final'!$AK$44="Menor"),CONCATENATE("R8C",'Mapa final'!$Y$44),"")</f>
        <v/>
      </c>
      <c r="T33" s="65" t="str">
        <f>IF(AND('Mapa final'!$AI$45="Media",'Mapa final'!$AK$45="Menor"),CONCATENATE("R8C",'Mapa final'!$Y$45),"")</f>
        <v/>
      </c>
      <c r="U33" s="66" t="str">
        <f>IF(AND('Mapa final'!$AI$46="Media",'Mapa final'!$AK$46="Menor"),CONCATENATE("R8C",'Mapa final'!$Y$46),"")</f>
        <v/>
      </c>
      <c r="V33" s="64" t="str">
        <f>IF(AND('Mapa final'!$AI$41="Media",'Mapa final'!$AK$41="Moderado"),CONCATENATE("R8C",'Mapa final'!$Y$41),"")</f>
        <v/>
      </c>
      <c r="W33" s="65" t="str">
        <f>IF(AND('Mapa final'!$AI$42="Media",'Mapa final'!$AK$42="Moderado"),CONCATENATE("R8C",'Mapa final'!$Y$42),"")</f>
        <v/>
      </c>
      <c r="X33" s="65" t="str">
        <f>IF(AND('Mapa final'!$AI$43="Media",'Mapa final'!$AK$43="Moderado"),CONCATENATE("R8C",'Mapa final'!$Y$43),"")</f>
        <v/>
      </c>
      <c r="Y33" s="65" t="str">
        <f>IF(AND('Mapa final'!$AI$44="Media",'Mapa final'!$AK$44="Moderado"),CONCATENATE("R8C",'Mapa final'!$Y$44),"")</f>
        <v/>
      </c>
      <c r="Z33" s="65" t="str">
        <f>IF(AND('Mapa final'!$AI$45="Media",'Mapa final'!$AK$45="Moderado"),CONCATENATE("R8C",'Mapa final'!$Y$45),"")</f>
        <v/>
      </c>
      <c r="AA33" s="66" t="str">
        <f>IF(AND('Mapa final'!$AI$46="Media",'Mapa final'!$AK$46="Moderado"),CONCATENATE("R8C",'Mapa final'!$Y$46),"")</f>
        <v/>
      </c>
      <c r="AB33" s="49" t="str">
        <f>IF(AND('Mapa final'!$AI$41="Media",'Mapa final'!$AK$41="Mayor"),CONCATENATE("R8C",'Mapa final'!$Y$41),"")</f>
        <v/>
      </c>
      <c r="AC33" s="50" t="str">
        <f>IF(AND('Mapa final'!$AI$42="Media",'Mapa final'!$AK$42="Mayor"),CONCATENATE("R8C",'Mapa final'!$Y$42),"")</f>
        <v/>
      </c>
      <c r="AD33" s="50" t="str">
        <f>IF(AND('Mapa final'!$AI$43="Media",'Mapa final'!$AK$43="Mayor"),CONCATENATE("R8C",'Mapa final'!$Y$43),"")</f>
        <v/>
      </c>
      <c r="AE33" s="50" t="str">
        <f>IF(AND('Mapa final'!$AI$44="Media",'Mapa final'!$AK$44="Mayor"),CONCATENATE("R8C",'Mapa final'!$Y$44),"")</f>
        <v/>
      </c>
      <c r="AF33" s="50" t="str">
        <f>IF(AND('Mapa final'!$AI$45="Media",'Mapa final'!$AK$45="Mayor"),CONCATENATE("R8C",'Mapa final'!$Y$45),"")</f>
        <v/>
      </c>
      <c r="AG33" s="51" t="str">
        <f>IF(AND('Mapa final'!$AI$46="Media",'Mapa final'!$AK$46="Mayor"),CONCATENATE("R8C",'Mapa final'!$Y$46),"")</f>
        <v/>
      </c>
      <c r="AH33" s="52" t="str">
        <f>IF(AND('Mapa final'!$AI$41="Media",'Mapa final'!$AK$41="Catastrófico"),CONCATENATE("R8C",'Mapa final'!$Y$41),"")</f>
        <v/>
      </c>
      <c r="AI33" s="53" t="str">
        <f>IF(AND('Mapa final'!$AI$42="Media",'Mapa final'!$AK$42="Catastrófico"),CONCATENATE("R8C",'Mapa final'!$Y$42),"")</f>
        <v/>
      </c>
      <c r="AJ33" s="53" t="str">
        <f>IF(AND('Mapa final'!$AI$43="Media",'Mapa final'!$AK$43="Catastrófico"),CONCATENATE("R8C",'Mapa final'!$Y$43),"")</f>
        <v/>
      </c>
      <c r="AK33" s="53" t="str">
        <f>IF(AND('Mapa final'!$AI$44="Media",'Mapa final'!$AK$44="Catastrófico"),CONCATENATE("R8C",'Mapa final'!$Y$44),"")</f>
        <v/>
      </c>
      <c r="AL33" s="53" t="str">
        <f>IF(AND('Mapa final'!$AI$45="Media",'Mapa final'!$AK$45="Catastrófico"),CONCATENATE("R8C",'Mapa final'!$Y$45),"")</f>
        <v/>
      </c>
      <c r="AM33" s="54" t="str">
        <f>IF(AND('Mapa final'!$AI$46="Media",'Mapa final'!$AK$46="Catastrófico"),CONCATENATE("R8C",'Mapa final'!$Y$46),"")</f>
        <v/>
      </c>
      <c r="AN33" s="80"/>
      <c r="AO33" s="466"/>
      <c r="AP33" s="467"/>
      <c r="AQ33" s="467"/>
      <c r="AR33" s="467"/>
      <c r="AS33" s="467"/>
      <c r="AT33" s="468"/>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385"/>
      <c r="C34" s="385"/>
      <c r="D34" s="386"/>
      <c r="E34" s="426"/>
      <c r="F34" s="427"/>
      <c r="G34" s="427"/>
      <c r="H34" s="427"/>
      <c r="I34" s="428"/>
      <c r="J34" s="64" t="str">
        <f>IF(AND('Mapa final'!$AI$47="Media",'Mapa final'!$AK$47="Leve"),CONCATENATE("R9C",'Mapa final'!$Y$47),"")</f>
        <v/>
      </c>
      <c r="K34" s="65" t="str">
        <f>IF(AND('Mapa final'!$AI$48="Media",'Mapa final'!$AK$48="Leve"),CONCATENATE("R9C",'Mapa final'!$Y$48),"")</f>
        <v/>
      </c>
      <c r="L34" s="65" t="str">
        <f>IF(AND('Mapa final'!$AI$49="Media",'Mapa final'!$AK$49="Leve"),CONCATENATE("R9C",'Mapa final'!$Y$49),"")</f>
        <v/>
      </c>
      <c r="M34" s="65" t="str">
        <f>IF(AND('Mapa final'!$AI$50="Media",'Mapa final'!$AK$50="Leve"),CONCATENATE("R9C",'Mapa final'!$Y$50),"")</f>
        <v/>
      </c>
      <c r="N34" s="65" t="str">
        <f>IF(AND('Mapa final'!$AI$51="Media",'Mapa final'!$AK$51="Leve"),CONCATENATE("R9C",'Mapa final'!$Y$51),"")</f>
        <v/>
      </c>
      <c r="O34" s="66" t="str">
        <f>IF(AND('Mapa final'!$AI$52="Media",'Mapa final'!$AK$52="Leve"),CONCATENATE("R9C",'Mapa final'!$Y$52),"")</f>
        <v/>
      </c>
      <c r="P34" s="64" t="str">
        <f>IF(AND('Mapa final'!$AI$47="Media",'Mapa final'!$AK$47="Menor"),CONCATENATE("R9C",'Mapa final'!$Y$47),"")</f>
        <v/>
      </c>
      <c r="Q34" s="65" t="str">
        <f>IF(AND('Mapa final'!$AI$48="Media",'Mapa final'!$AK$48="Menor"),CONCATENATE("R9C",'Mapa final'!$Y$48),"")</f>
        <v/>
      </c>
      <c r="R34" s="65" t="str">
        <f>IF(AND('Mapa final'!$AI$49="Media",'Mapa final'!$AK$49="Menor"),CONCATENATE("R9C",'Mapa final'!$Y$49),"")</f>
        <v/>
      </c>
      <c r="S34" s="65" t="str">
        <f>IF(AND('Mapa final'!$AI$50="Media",'Mapa final'!$AK$50="Menor"),CONCATENATE("R9C",'Mapa final'!$Y$50),"")</f>
        <v/>
      </c>
      <c r="T34" s="65" t="str">
        <f>IF(AND('Mapa final'!$AI$51="Media",'Mapa final'!$AK$51="Menor"),CONCATENATE("R9C",'Mapa final'!$Y$51),"")</f>
        <v/>
      </c>
      <c r="U34" s="66" t="str">
        <f>IF(AND('Mapa final'!$AI$52="Media",'Mapa final'!$AK$52="Menor"),CONCATENATE("R9C",'Mapa final'!$Y$52),"")</f>
        <v/>
      </c>
      <c r="V34" s="64" t="str">
        <f>IF(AND('Mapa final'!$AI$47="Media",'Mapa final'!$AK$47="Moderado"),CONCATENATE("R9C",'Mapa final'!$Y$47),"")</f>
        <v/>
      </c>
      <c r="W34" s="65" t="str">
        <f>IF(AND('Mapa final'!$AI$48="Media",'Mapa final'!$AK$48="Moderado"),CONCATENATE("R9C",'Mapa final'!$Y$48),"")</f>
        <v/>
      </c>
      <c r="X34" s="65" t="str">
        <f>IF(AND('Mapa final'!$AI$49="Media",'Mapa final'!$AK$49="Moderado"),CONCATENATE("R9C",'Mapa final'!$Y$49),"")</f>
        <v/>
      </c>
      <c r="Y34" s="65" t="str">
        <f>IF(AND('Mapa final'!$AI$50="Media",'Mapa final'!$AK$50="Moderado"),CONCATENATE("R9C",'Mapa final'!$Y$50),"")</f>
        <v/>
      </c>
      <c r="Z34" s="65" t="str">
        <f>IF(AND('Mapa final'!$AI$51="Media",'Mapa final'!$AK$51="Moderado"),CONCATENATE("R9C",'Mapa final'!$Y$51),"")</f>
        <v/>
      </c>
      <c r="AA34" s="66" t="str">
        <f>IF(AND('Mapa final'!$AI$52="Media",'Mapa final'!$AK$52="Moderado"),CONCATENATE("R9C",'Mapa final'!$Y$52),"")</f>
        <v/>
      </c>
      <c r="AB34" s="49" t="str">
        <f>IF(AND('Mapa final'!$AI$47="Media",'Mapa final'!$AK$47="Mayor"),CONCATENATE("R9C",'Mapa final'!$Y$47),"")</f>
        <v/>
      </c>
      <c r="AC34" s="50" t="str">
        <f>IF(AND('Mapa final'!$AI$48="Media",'Mapa final'!$AK$48="Mayor"),CONCATENATE("R9C",'Mapa final'!$Y$48),"")</f>
        <v/>
      </c>
      <c r="AD34" s="50" t="str">
        <f>IF(AND('Mapa final'!$AI$49="Media",'Mapa final'!$AK$49="Mayor"),CONCATENATE("R9C",'Mapa final'!$Y$49),"")</f>
        <v/>
      </c>
      <c r="AE34" s="50" t="str">
        <f>IF(AND('Mapa final'!$AI$50="Media",'Mapa final'!$AK$50="Mayor"),CONCATENATE("R9C",'Mapa final'!$Y$50),"")</f>
        <v/>
      </c>
      <c r="AF34" s="50" t="str">
        <f>IF(AND('Mapa final'!$AI$51="Media",'Mapa final'!$AK$51="Mayor"),CONCATENATE("R9C",'Mapa final'!$Y$51),"")</f>
        <v/>
      </c>
      <c r="AG34" s="51" t="str">
        <f>IF(AND('Mapa final'!$AI$52="Media",'Mapa final'!$AK$52="Mayor"),CONCATENATE("R9C",'Mapa final'!$Y$52),"")</f>
        <v/>
      </c>
      <c r="AH34" s="52" t="str">
        <f>IF(AND('Mapa final'!$AI$47="Media",'Mapa final'!$AK$47="Catastrófico"),CONCATENATE("R9C",'Mapa final'!$Y$47),"")</f>
        <v/>
      </c>
      <c r="AI34" s="53" t="str">
        <f>IF(AND('Mapa final'!$AI$48="Media",'Mapa final'!$AK$48="Catastrófico"),CONCATENATE("R9C",'Mapa final'!$Y$48),"")</f>
        <v/>
      </c>
      <c r="AJ34" s="53" t="str">
        <f>IF(AND('Mapa final'!$AI$49="Media",'Mapa final'!$AK$49="Catastrófico"),CONCATENATE("R9C",'Mapa final'!$Y$49),"")</f>
        <v/>
      </c>
      <c r="AK34" s="53" t="str">
        <f>IF(AND('Mapa final'!$AI$50="Media",'Mapa final'!$AK$50="Catastrófico"),CONCATENATE("R9C",'Mapa final'!$Y$50),"")</f>
        <v/>
      </c>
      <c r="AL34" s="53" t="str">
        <f>IF(AND('Mapa final'!$AI$51="Media",'Mapa final'!$AK$51="Catastrófico"),CONCATENATE("R9C",'Mapa final'!$Y$51),"")</f>
        <v/>
      </c>
      <c r="AM34" s="54" t="str">
        <f>IF(AND('Mapa final'!$AI$52="Media",'Mapa final'!$AK$52="Catastrófico"),CONCATENATE("R9C",'Mapa final'!$Y$52),"")</f>
        <v/>
      </c>
      <c r="AN34" s="80"/>
      <c r="AO34" s="466"/>
      <c r="AP34" s="467"/>
      <c r="AQ34" s="467"/>
      <c r="AR34" s="467"/>
      <c r="AS34" s="467"/>
      <c r="AT34" s="468"/>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385"/>
      <c r="C35" s="385"/>
      <c r="D35" s="386"/>
      <c r="E35" s="429"/>
      <c r="F35" s="430"/>
      <c r="G35" s="430"/>
      <c r="H35" s="430"/>
      <c r="I35" s="431"/>
      <c r="J35" s="64" t="str">
        <f>IF(AND('Mapa final'!$AI$53="Media",'Mapa final'!$AK$53="Leve"),CONCATENATE("R10C",'Mapa final'!$Y$53),"")</f>
        <v/>
      </c>
      <c r="K35" s="65" t="str">
        <f>IF(AND('Mapa final'!$AI$54="Media",'Mapa final'!$AK$54="Leve"),CONCATENATE("R10C",'Mapa final'!$Y$54),"")</f>
        <v/>
      </c>
      <c r="L35" s="65" t="str">
        <f>IF(AND('Mapa final'!$AI$55="Media",'Mapa final'!$AK$55="Leve"),CONCATENATE("R10C",'Mapa final'!$Y$55),"")</f>
        <v/>
      </c>
      <c r="M35" s="65" t="str">
        <f>IF(AND('Mapa final'!$AI$56="Media",'Mapa final'!$AK$56="Leve"),CONCATENATE("R10C",'Mapa final'!$Y$56),"")</f>
        <v/>
      </c>
      <c r="N35" s="65" t="str">
        <f>IF(AND('Mapa final'!$AI$57="Media",'Mapa final'!$AK$57="Leve"),CONCATENATE("R10C",'Mapa final'!$Y$57),"")</f>
        <v/>
      </c>
      <c r="O35" s="66" t="str">
        <f>IF(AND('Mapa final'!$AI$58="Media",'Mapa final'!$AK$58="Leve"),CONCATENATE("R10C",'Mapa final'!$Y$58),"")</f>
        <v/>
      </c>
      <c r="P35" s="64" t="str">
        <f>IF(AND('Mapa final'!$AI$53="Media",'Mapa final'!$AK$53="Menor"),CONCATENATE("R10C",'Mapa final'!$Y$53),"")</f>
        <v/>
      </c>
      <c r="Q35" s="65" t="str">
        <f>IF(AND('Mapa final'!$AI$54="Media",'Mapa final'!$AK$54="Menor"),CONCATENATE("R10C",'Mapa final'!$Y$54),"")</f>
        <v/>
      </c>
      <c r="R35" s="65" t="str">
        <f>IF(AND('Mapa final'!$AI$55="Media",'Mapa final'!$AK$55="Menor"),CONCATENATE("R10C",'Mapa final'!$Y$55),"")</f>
        <v/>
      </c>
      <c r="S35" s="65" t="str">
        <f>IF(AND('Mapa final'!$AI$56="Media",'Mapa final'!$AK$56="Menor"),CONCATENATE("R10C",'Mapa final'!$Y$56),"")</f>
        <v/>
      </c>
      <c r="T35" s="65" t="str">
        <f>IF(AND('Mapa final'!$AI$57="Media",'Mapa final'!$AK$57="Menor"),CONCATENATE("R10C",'Mapa final'!$Y$57),"")</f>
        <v/>
      </c>
      <c r="U35" s="66" t="str">
        <f>IF(AND('Mapa final'!$AI$58="Media",'Mapa final'!$AK$58="Menor"),CONCATENATE("R10C",'Mapa final'!$Y$58),"")</f>
        <v/>
      </c>
      <c r="V35" s="64" t="str">
        <f>IF(AND('Mapa final'!$AI$53="Media",'Mapa final'!$AK$53="Moderado"),CONCATENATE("R10C",'Mapa final'!$Y$53),"")</f>
        <v/>
      </c>
      <c r="W35" s="65" t="str">
        <f>IF(AND('Mapa final'!$AI$54="Media",'Mapa final'!$AK$54="Moderado"),CONCATENATE("R10C",'Mapa final'!$Y$54),"")</f>
        <v/>
      </c>
      <c r="X35" s="65" t="str">
        <f>IF(AND('Mapa final'!$AI$55="Media",'Mapa final'!$AK$55="Moderado"),CONCATENATE("R10C",'Mapa final'!$Y$55),"")</f>
        <v/>
      </c>
      <c r="Y35" s="65" t="str">
        <f>IF(AND('Mapa final'!$AI$56="Media",'Mapa final'!$AK$56="Moderado"),CONCATENATE("R10C",'Mapa final'!$Y$56),"")</f>
        <v/>
      </c>
      <c r="Z35" s="65" t="str">
        <f>IF(AND('Mapa final'!$AI$57="Media",'Mapa final'!$AK$57="Moderado"),CONCATENATE("R10C",'Mapa final'!$Y$57),"")</f>
        <v/>
      </c>
      <c r="AA35" s="66" t="str">
        <f>IF(AND('Mapa final'!$AI$58="Media",'Mapa final'!$AK$58="Moderado"),CONCATENATE("R10C",'Mapa final'!$Y$58),"")</f>
        <v/>
      </c>
      <c r="AB35" s="55" t="str">
        <f>IF(AND('Mapa final'!$AI$53="Media",'Mapa final'!$AK$53="Mayor"),CONCATENATE("R10C",'Mapa final'!$Y$53),"")</f>
        <v/>
      </c>
      <c r="AC35" s="56" t="str">
        <f>IF(AND('Mapa final'!$AI$54="Media",'Mapa final'!$AK$54="Mayor"),CONCATENATE("R10C",'Mapa final'!$Y$54),"")</f>
        <v/>
      </c>
      <c r="AD35" s="56" t="str">
        <f>IF(AND('Mapa final'!$AI$55="Media",'Mapa final'!$AK$55="Mayor"),CONCATENATE("R10C",'Mapa final'!$Y$55),"")</f>
        <v/>
      </c>
      <c r="AE35" s="56" t="str">
        <f>IF(AND('Mapa final'!$AI$56="Media",'Mapa final'!$AK$56="Mayor"),CONCATENATE("R10C",'Mapa final'!$Y$56),"")</f>
        <v/>
      </c>
      <c r="AF35" s="56" t="str">
        <f>IF(AND('Mapa final'!$AI$57="Media",'Mapa final'!$AK$57="Mayor"),CONCATENATE("R10C",'Mapa final'!$Y$57),"")</f>
        <v/>
      </c>
      <c r="AG35" s="57" t="str">
        <f>IF(AND('Mapa final'!$AI$58="Media",'Mapa final'!$AK$58="Mayor"),CONCATENATE("R10C",'Mapa final'!$Y$58),"")</f>
        <v/>
      </c>
      <c r="AH35" s="58" t="str">
        <f>IF(AND('Mapa final'!$AI$53="Media",'Mapa final'!$AK$53="Catastrófico"),CONCATENATE("R10C",'Mapa final'!$Y$53),"")</f>
        <v/>
      </c>
      <c r="AI35" s="59" t="str">
        <f>IF(AND('Mapa final'!$AI$54="Media",'Mapa final'!$AK$54="Catastrófico"),CONCATENATE("R10C",'Mapa final'!$Y$54),"")</f>
        <v/>
      </c>
      <c r="AJ35" s="59" t="str">
        <f>IF(AND('Mapa final'!$AI$55="Media",'Mapa final'!$AK$55="Catastrófico"),CONCATENATE("R10C",'Mapa final'!$Y$55),"")</f>
        <v/>
      </c>
      <c r="AK35" s="59" t="str">
        <f>IF(AND('Mapa final'!$AI$56="Media",'Mapa final'!$AK$56="Catastrófico"),CONCATENATE("R10C",'Mapa final'!$Y$56),"")</f>
        <v/>
      </c>
      <c r="AL35" s="59" t="str">
        <f>IF(AND('Mapa final'!$AI$57="Media",'Mapa final'!$AK$57="Catastrófico"),CONCATENATE("R10C",'Mapa final'!$Y$57),"")</f>
        <v/>
      </c>
      <c r="AM35" s="60" t="str">
        <f>IF(AND('Mapa final'!$AI$58="Media",'Mapa final'!$AK$58="Catastrófico"),CONCATENATE("R10C",'Mapa final'!$Y$58),"")</f>
        <v/>
      </c>
      <c r="AN35" s="80"/>
      <c r="AO35" s="469"/>
      <c r="AP35" s="470"/>
      <c r="AQ35" s="470"/>
      <c r="AR35" s="470"/>
      <c r="AS35" s="470"/>
      <c r="AT35" s="471"/>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385"/>
      <c r="C36" s="385"/>
      <c r="D36" s="386"/>
      <c r="E36" s="423" t="s">
        <v>178</v>
      </c>
      <c r="F36" s="424"/>
      <c r="G36" s="424"/>
      <c r="H36" s="424"/>
      <c r="I36" s="424"/>
      <c r="J36" s="70" t="str">
        <f>IF(AND('Mapa final'!$AI$11="Baja",'Mapa final'!$AK$11="Leve"),CONCATENATE("R1C",'Mapa final'!$Y$11),"")</f>
        <v/>
      </c>
      <c r="K36" s="71" t="str">
        <f>IF(AND('Mapa final'!$AI$12="Baja",'Mapa final'!$AK$12="Leve"),CONCATENATE("R1C",'Mapa final'!$Y$12),"")</f>
        <v/>
      </c>
      <c r="L36" s="71" t="str">
        <f>IF(AND('Mapa final'!$AI$13="Baja",'Mapa final'!$AK$13="Leve"),CONCATENATE("R1C",'Mapa final'!$Y$13),"")</f>
        <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str">
        <f>IF(AND('Mapa final'!$AI$12="Baja",'Mapa final'!$AK$12="Menor"),CONCATENATE("R1C",'Mapa final'!$Y$12),"")</f>
        <v/>
      </c>
      <c r="R36" s="62" t="str">
        <f>IF(AND('Mapa final'!$AI$13="Baja",'Mapa final'!$AK$13="Menor"),CONCATENATE("R1C",'Mapa final'!$Y$13),"")</f>
        <v>R1C3</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str">
        <f>IF(AND('Mapa final'!$AI$12="Baja",'Mapa final'!$AK$12="Moderado"),CONCATENATE("R1C",'Mapa final'!$Y$12),"")</f>
        <v/>
      </c>
      <c r="X36" s="62" t="str">
        <f>IF(AND('Mapa final'!$AI$13="Baja",'Mapa final'!$AK$13="Moderado"),CONCATENATE("R1C",'Mapa final'!$Y$13),"")</f>
        <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
      </c>
      <c r="AC36" s="44" t="str">
        <f>IF(AND('Mapa final'!$AI$12="Baja",'Mapa final'!$AK$12="Mayor"),CONCATENATE("R1C",'Mapa final'!$Y$12),"")</f>
        <v/>
      </c>
      <c r="AD36" s="44" t="str">
        <f>IF(AND('Mapa final'!$AI$13="Baja",'Mapa final'!$AK$13="Mayor"),CONCATENATE("R1C",'Mapa final'!$Y$13),"")</f>
        <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str">
        <f>IF(AND('Mapa final'!$AI$12="Baja",'Mapa final'!$AK$12="Catastrófico"),CONCATENATE("R1C",'Mapa final'!$Y$12),"")</f>
        <v/>
      </c>
      <c r="AJ36" s="47" t="str">
        <f>IF(AND('Mapa final'!$AI$13="Baja",'Mapa final'!$AK$13="Catastrófico"),CONCATENATE("R1C",'Mapa final'!$Y$13),"")</f>
        <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54" t="s">
        <v>179</v>
      </c>
      <c r="AP36" s="455"/>
      <c r="AQ36" s="455"/>
      <c r="AR36" s="455"/>
      <c r="AS36" s="455"/>
      <c r="AT36" s="456"/>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385"/>
      <c r="C37" s="385"/>
      <c r="D37" s="386"/>
      <c r="E37" s="442"/>
      <c r="F37" s="427"/>
      <c r="G37" s="427"/>
      <c r="H37" s="427"/>
      <c r="I37" s="427"/>
      <c r="J37" s="73" t="str">
        <f>IF(AND('Mapa final'!$AI$14="Baja",'Mapa final'!$AK$14="Leve"),CONCATENATE("R2C",'Mapa final'!$Y$14),"")</f>
        <v/>
      </c>
      <c r="K37" s="74" t="str">
        <f>IF(AND('Mapa final'!$AI$15="Baja",'Mapa final'!$AK$15="Leve"),CONCATENATE("R2C",'Mapa final'!$Y$15),"")</f>
        <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final'!$AI$14="Baja",'Mapa final'!$AK$14="Menor"),CONCATENATE("R2C",'Mapa final'!$Y$14),"")</f>
        <v/>
      </c>
      <c r="Q37" s="65" t="str">
        <f>IF(AND('Mapa final'!$AI$15="Baja",'Mapa final'!$AK$15="Menor"),CONCATENATE("R2C",'Mapa final'!$Y$15),"")</f>
        <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final'!$AI$14="Baja",'Mapa final'!$AK$14="Moderado"),CONCATENATE("R2C",'Mapa final'!$Y$14),"")</f>
        <v/>
      </c>
      <c r="W37" s="65" t="str">
        <f>IF(AND('Mapa final'!$AI$15="Baja",'Mapa final'!$AK$15="Moderado"),CONCATENATE("R2C",'Mapa final'!$Y$15),"")</f>
        <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final'!$AI$14="Baja",'Mapa final'!$AK$14="Mayor"),CONCATENATE("R2C",'Mapa final'!$Y$14),"")</f>
        <v/>
      </c>
      <c r="AC37" s="50" t="str">
        <f>IF(AND('Mapa final'!$AI$15="Baja",'Mapa final'!$AK$15="Mayor"),CONCATENATE("R2C",'Mapa final'!$Y$15),"")</f>
        <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final'!$AI$14="Baja",'Mapa final'!$AK$14="Catastrófico"),CONCATENATE("R2C",'Mapa final'!$Y$14),"")</f>
        <v/>
      </c>
      <c r="AI37" s="53" t="str">
        <f>IF(AND('Mapa final'!$AI$15="Baja",'Mapa final'!$AK$15="Catastrófico"),CONCATENATE("R2C",'Mapa final'!$Y$15),"")</f>
        <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57"/>
      <c r="AP37" s="458"/>
      <c r="AQ37" s="458"/>
      <c r="AR37" s="458"/>
      <c r="AS37" s="458"/>
      <c r="AT37" s="459"/>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385"/>
      <c r="C38" s="385"/>
      <c r="D38" s="386"/>
      <c r="E38" s="426"/>
      <c r="F38" s="427"/>
      <c r="G38" s="427"/>
      <c r="H38" s="427"/>
      <c r="I38" s="427"/>
      <c r="J38" s="73" t="str">
        <f>IF(AND('Mapa final'!$AI$16="Baja",'Mapa final'!$AK$16="Leve"),CONCATENATE("R3C",'Mapa final'!$Y$16),"")</f>
        <v/>
      </c>
      <c r="K38" s="74" t="e">
        <f>IF(AND('Mapa final'!#REF!="Baja",'Mapa final'!#REF!="Leve"),CONCATENATE("R3C",'Mapa final'!#REF!),"")</f>
        <v>#REF!</v>
      </c>
      <c r="L38" s="74" t="e">
        <f>IF(AND('Mapa final'!#REF!="Baja",'Mapa final'!#REF!="Leve"),CONCATENATE("R3C",'Mapa final'!#REF!),"")</f>
        <v>#REF!</v>
      </c>
      <c r="M38" s="74" t="e">
        <f>IF(AND('Mapa final'!#REF!="Baja",'Mapa final'!#REF!="Leve"),CONCATENATE("R3C",'Mapa final'!#REF!),"")</f>
        <v>#REF!</v>
      </c>
      <c r="N38" s="74" t="e">
        <f>IF(AND('Mapa final'!#REF!="Baja",'Mapa final'!#REF!="Leve"),CONCATENATE("R3C",'Mapa final'!#REF!),"")</f>
        <v>#REF!</v>
      </c>
      <c r="O38" s="75" t="e">
        <f>IF(AND('Mapa final'!#REF!="Baja",'Mapa final'!#REF!="Leve"),CONCATENATE("R3C",'Mapa final'!#REF!),"")</f>
        <v>#REF!</v>
      </c>
      <c r="P38" s="64" t="str">
        <f>IF(AND('Mapa final'!$AI$16="Baja",'Mapa final'!$AK$16="Menor"),CONCATENATE("R3C",'Mapa final'!$Y$16),"")</f>
        <v/>
      </c>
      <c r="Q38" s="65" t="e">
        <f>IF(AND('Mapa final'!#REF!="Baja",'Mapa final'!#REF!="Menor"),CONCATENATE("R3C",'Mapa final'!#REF!),"")</f>
        <v>#REF!</v>
      </c>
      <c r="R38" s="65" t="e">
        <f>IF(AND('Mapa final'!#REF!="Baja",'Mapa final'!#REF!="Menor"),CONCATENATE("R3C",'Mapa final'!#REF!),"")</f>
        <v>#REF!</v>
      </c>
      <c r="S38" s="65" t="e">
        <f>IF(AND('Mapa final'!#REF!="Baja",'Mapa final'!#REF!="Menor"),CONCATENATE("R3C",'Mapa final'!#REF!),"")</f>
        <v>#REF!</v>
      </c>
      <c r="T38" s="65" t="e">
        <f>IF(AND('Mapa final'!#REF!="Baja",'Mapa final'!#REF!="Menor"),CONCATENATE("R3C",'Mapa final'!#REF!),"")</f>
        <v>#REF!</v>
      </c>
      <c r="U38" s="66" t="e">
        <f>IF(AND('Mapa final'!#REF!="Baja",'Mapa final'!#REF!="Menor"),CONCATENATE("R3C",'Mapa final'!#REF!),"")</f>
        <v>#REF!</v>
      </c>
      <c r="V38" s="64" t="str">
        <f>IF(AND('Mapa final'!$AI$16="Baja",'Mapa final'!$AK$16="Moderado"),CONCATENATE("R3C",'Mapa final'!$Y$16),"")</f>
        <v/>
      </c>
      <c r="W38" s="65" t="e">
        <f>IF(AND('Mapa final'!#REF!="Baja",'Mapa final'!#REF!="Moderado"),CONCATENATE("R3C",'Mapa final'!#REF!),"")</f>
        <v>#REF!</v>
      </c>
      <c r="X38" s="65" t="e">
        <f>IF(AND('Mapa final'!#REF!="Baja",'Mapa final'!#REF!="Moderado"),CONCATENATE("R3C",'Mapa final'!#REF!),"")</f>
        <v>#REF!</v>
      </c>
      <c r="Y38" s="65" t="e">
        <f>IF(AND('Mapa final'!#REF!="Baja",'Mapa final'!#REF!="Moderado"),CONCATENATE("R3C",'Mapa final'!#REF!),"")</f>
        <v>#REF!</v>
      </c>
      <c r="Z38" s="65" t="e">
        <f>IF(AND('Mapa final'!#REF!="Baja",'Mapa final'!#REF!="Moderado"),CONCATENATE("R3C",'Mapa final'!#REF!),"")</f>
        <v>#REF!</v>
      </c>
      <c r="AA38" s="66" t="e">
        <f>IF(AND('Mapa final'!#REF!="Baja",'Mapa final'!#REF!="Moderado"),CONCATENATE("R3C",'Mapa final'!#REF!),"")</f>
        <v>#REF!</v>
      </c>
      <c r="AB38" s="49" t="str">
        <f>IF(AND('Mapa final'!$AI$16="Baja",'Mapa final'!$AK$16="Mayor"),CONCATENATE("R3C",'Mapa final'!$Y$16),"")</f>
        <v/>
      </c>
      <c r="AC38" s="50" t="e">
        <f>IF(AND('Mapa final'!#REF!="Baja",'Mapa final'!#REF!="Mayor"),CONCATENATE("R3C",'Mapa final'!#REF!),"")</f>
        <v>#REF!</v>
      </c>
      <c r="AD38" s="50" t="e">
        <f>IF(AND('Mapa final'!#REF!="Baja",'Mapa final'!#REF!="Mayor"),CONCATENATE("R3C",'Mapa final'!#REF!),"")</f>
        <v>#REF!</v>
      </c>
      <c r="AE38" s="50" t="e">
        <f>IF(AND('Mapa final'!#REF!="Baja",'Mapa final'!#REF!="Mayor"),CONCATENATE("R3C",'Mapa final'!#REF!),"")</f>
        <v>#REF!</v>
      </c>
      <c r="AF38" s="50" t="e">
        <f>IF(AND('Mapa final'!#REF!="Baja",'Mapa final'!#REF!="Mayor"),CONCATENATE("R3C",'Mapa final'!#REF!),"")</f>
        <v>#REF!</v>
      </c>
      <c r="AG38" s="51" t="e">
        <f>IF(AND('Mapa final'!#REF!="Baja",'Mapa final'!#REF!="Mayor"),CONCATENATE("R3C",'Mapa final'!#REF!),"")</f>
        <v>#REF!</v>
      </c>
      <c r="AH38" s="52" t="str">
        <f>IF(AND('Mapa final'!$AI$16="Baja",'Mapa final'!$AK$16="Catastrófico"),CONCATENATE("R3C",'Mapa final'!$Y$16),"")</f>
        <v/>
      </c>
      <c r="AI38" s="53" t="e">
        <f>IF(AND('Mapa final'!#REF!="Baja",'Mapa final'!#REF!="Catastrófico"),CONCATENATE("R3C",'Mapa final'!#REF!),"")</f>
        <v>#REF!</v>
      </c>
      <c r="AJ38" s="53" t="e">
        <f>IF(AND('Mapa final'!#REF!="Baja",'Mapa final'!#REF!="Catastrófico"),CONCATENATE("R3C",'Mapa final'!#REF!),"")</f>
        <v>#REF!</v>
      </c>
      <c r="AK38" s="53" t="e">
        <f>IF(AND('Mapa final'!#REF!="Baja",'Mapa final'!#REF!="Catastrófico"),CONCATENATE("R3C",'Mapa final'!#REF!),"")</f>
        <v>#REF!</v>
      </c>
      <c r="AL38" s="53" t="e">
        <f>IF(AND('Mapa final'!#REF!="Baja",'Mapa final'!#REF!="Catastrófico"),CONCATENATE("R3C",'Mapa final'!#REF!),"")</f>
        <v>#REF!</v>
      </c>
      <c r="AM38" s="54" t="e">
        <f>IF(AND('Mapa final'!#REF!="Baja",'Mapa final'!#REF!="Catastrófico"),CONCATENATE("R3C",'Mapa final'!#REF!),"")</f>
        <v>#REF!</v>
      </c>
      <c r="AN38" s="80"/>
      <c r="AO38" s="457"/>
      <c r="AP38" s="458"/>
      <c r="AQ38" s="458"/>
      <c r="AR38" s="458"/>
      <c r="AS38" s="458"/>
      <c r="AT38" s="459"/>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385"/>
      <c r="C39" s="385"/>
      <c r="D39" s="386"/>
      <c r="E39" s="426"/>
      <c r="F39" s="427"/>
      <c r="G39" s="427"/>
      <c r="H39" s="427"/>
      <c r="I39" s="427"/>
      <c r="J39" s="73" t="str">
        <f>IF(AND('Mapa final'!$AI$17="Baja",'Mapa final'!$AK$17="Leve"),CONCATENATE("R4C",'Mapa final'!$Y$17),"")</f>
        <v/>
      </c>
      <c r="K39" s="74" t="str">
        <f>IF(AND('Mapa final'!$AI$18="Baja",'Mapa final'!$AK$18="Leve"),CONCATENATE("R4C",'Mapa final'!$Y$18),"")</f>
        <v/>
      </c>
      <c r="L39" s="74" t="str">
        <f>IF(AND('Mapa final'!$AI$19="Baja",'Mapa final'!$AK$19="Leve"),CONCATENATE("R4C",'Mapa final'!$Y$19),"")</f>
        <v/>
      </c>
      <c r="M39" s="74" t="str">
        <f>IF(AND('Mapa final'!$AI$20="Baja",'Mapa final'!$AK$20="Leve"),CONCATENATE("R4C",'Mapa final'!$Y$20),"")</f>
        <v/>
      </c>
      <c r="N39" s="74" t="str">
        <f>IF(AND('Mapa final'!$AI$21="Baja",'Mapa final'!$AK$21="Leve"),CONCATENATE("R4C",'Mapa final'!$Y$21),"")</f>
        <v/>
      </c>
      <c r="O39" s="75" t="str">
        <f>IF(AND('Mapa final'!$AI$22="Baja",'Mapa final'!$AK$22="Leve"),CONCATENATE("R4C",'Mapa final'!$Y$22),"")</f>
        <v/>
      </c>
      <c r="P39" s="64" t="str">
        <f>IF(AND('Mapa final'!$AI$17="Baja",'Mapa final'!$AK$17="Menor"),CONCATENATE("R4C",'Mapa final'!$Y$17),"")</f>
        <v/>
      </c>
      <c r="Q39" s="65" t="str">
        <f>IF(AND('Mapa final'!$AI$18="Baja",'Mapa final'!$AK$18="Menor"),CONCATENATE("R4C",'Mapa final'!$Y$18),"")</f>
        <v/>
      </c>
      <c r="R39" s="65" t="str">
        <f>IF(AND('Mapa final'!$AI$19="Baja",'Mapa final'!$AK$19="Menor"),CONCATENATE("R4C",'Mapa final'!$Y$19),"")</f>
        <v/>
      </c>
      <c r="S39" s="65" t="str">
        <f>IF(AND('Mapa final'!$AI$20="Baja",'Mapa final'!$AK$20="Menor"),CONCATENATE("R4C",'Mapa final'!$Y$20),"")</f>
        <v/>
      </c>
      <c r="T39" s="65" t="str">
        <f>IF(AND('Mapa final'!$AI$21="Baja",'Mapa final'!$AK$21="Menor"),CONCATENATE("R4C",'Mapa final'!$Y$21),"")</f>
        <v/>
      </c>
      <c r="U39" s="66" t="str">
        <f>IF(AND('Mapa final'!$AI$22="Baja",'Mapa final'!$AK$22="Menor"),CONCATENATE("R4C",'Mapa final'!$Y$22),"")</f>
        <v/>
      </c>
      <c r="V39" s="64" t="str">
        <f>IF(AND('Mapa final'!$AI$17="Baja",'Mapa final'!$AK$17="Moderado"),CONCATENATE("R4C",'Mapa final'!$Y$17),"")</f>
        <v/>
      </c>
      <c r="W39" s="65" t="str">
        <f>IF(AND('Mapa final'!$AI$18="Baja",'Mapa final'!$AK$18="Moderado"),CONCATENATE("R4C",'Mapa final'!$Y$18),"")</f>
        <v/>
      </c>
      <c r="X39" s="65" t="str">
        <f>IF(AND('Mapa final'!$AI$19="Baja",'Mapa final'!$AK$19="Moderado"),CONCATENATE("R4C",'Mapa final'!$Y$19),"")</f>
        <v/>
      </c>
      <c r="Y39" s="65" t="str">
        <f>IF(AND('Mapa final'!$AI$20="Baja",'Mapa final'!$AK$20="Moderado"),CONCATENATE("R4C",'Mapa final'!$Y$20),"")</f>
        <v/>
      </c>
      <c r="Z39" s="65" t="str">
        <f>IF(AND('Mapa final'!$AI$21="Baja",'Mapa final'!$AK$21="Moderado"),CONCATENATE("R4C",'Mapa final'!$Y$21),"")</f>
        <v/>
      </c>
      <c r="AA39" s="66" t="str">
        <f>IF(AND('Mapa final'!$AI$22="Baja",'Mapa final'!$AK$22="Moderado"),CONCATENATE("R4C",'Mapa final'!$Y$22),"")</f>
        <v/>
      </c>
      <c r="AB39" s="49" t="str">
        <f>IF(AND('Mapa final'!$AI$17="Baja",'Mapa final'!$AK$17="Mayor"),CONCATENATE("R4C",'Mapa final'!$Y$17),"")</f>
        <v/>
      </c>
      <c r="AC39" s="50" t="str">
        <f>IF(AND('Mapa final'!$AI$18="Baja",'Mapa final'!$AK$18="Mayor"),CONCATENATE("R4C",'Mapa final'!$Y$18),"")</f>
        <v/>
      </c>
      <c r="AD39" s="50" t="str">
        <f>IF(AND('Mapa final'!$AI$19="Baja",'Mapa final'!$AK$19="Mayor"),CONCATENATE("R4C",'Mapa final'!$Y$19),"")</f>
        <v/>
      </c>
      <c r="AE39" s="50" t="str">
        <f>IF(AND('Mapa final'!$AI$20="Baja",'Mapa final'!$AK$20="Mayor"),CONCATENATE("R4C",'Mapa final'!$Y$20),"")</f>
        <v/>
      </c>
      <c r="AF39" s="50" t="str">
        <f>IF(AND('Mapa final'!$AI$21="Baja",'Mapa final'!$AK$21="Mayor"),CONCATENATE("R4C",'Mapa final'!$Y$21),"")</f>
        <v/>
      </c>
      <c r="AG39" s="51" t="str">
        <f>IF(AND('Mapa final'!$AI$22="Baja",'Mapa final'!$AK$22="Mayor"),CONCATENATE("R4C",'Mapa final'!$Y$22),"")</f>
        <v/>
      </c>
      <c r="AH39" s="52" t="str">
        <f>IF(AND('Mapa final'!$AI$17="Baja",'Mapa final'!$AK$17="Catastrófico"),CONCATENATE("R4C",'Mapa final'!$Y$17),"")</f>
        <v/>
      </c>
      <c r="AI39" s="53" t="str">
        <f>IF(AND('Mapa final'!$AI$18="Baja",'Mapa final'!$AK$18="Catastrófico"),CONCATENATE("R4C",'Mapa final'!$Y$18),"")</f>
        <v/>
      </c>
      <c r="AJ39" s="53" t="str">
        <f>IF(AND('Mapa final'!$AI$19="Baja",'Mapa final'!$AK$19="Catastrófico"),CONCATENATE("R4C",'Mapa final'!$Y$19),"")</f>
        <v/>
      </c>
      <c r="AK39" s="53" t="str">
        <f>IF(AND('Mapa final'!$AI$20="Baja",'Mapa final'!$AK$20="Catastrófico"),CONCATENATE("R4C",'Mapa final'!$Y$20),"")</f>
        <v/>
      </c>
      <c r="AL39" s="53" t="str">
        <f>IF(AND('Mapa final'!$AI$21="Baja",'Mapa final'!$AK$21="Catastrófico"),CONCATENATE("R4C",'Mapa final'!$Y$21),"")</f>
        <v/>
      </c>
      <c r="AM39" s="54" t="str">
        <f>IF(AND('Mapa final'!$AI$22="Baja",'Mapa final'!$AK$22="Catastrófico"),CONCATENATE("R4C",'Mapa final'!$Y$22),"")</f>
        <v/>
      </c>
      <c r="AN39" s="80"/>
      <c r="AO39" s="457"/>
      <c r="AP39" s="458"/>
      <c r="AQ39" s="458"/>
      <c r="AR39" s="458"/>
      <c r="AS39" s="458"/>
      <c r="AT39" s="459"/>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385"/>
      <c r="C40" s="385"/>
      <c r="D40" s="386"/>
      <c r="E40" s="426"/>
      <c r="F40" s="427"/>
      <c r="G40" s="427"/>
      <c r="H40" s="427"/>
      <c r="I40" s="427"/>
      <c r="J40" s="73" t="str">
        <f>IF(AND('Mapa final'!$AI$23="Baja",'Mapa final'!$AK$23="Leve"),CONCATENATE("R5C",'Mapa final'!$Y$23),"")</f>
        <v/>
      </c>
      <c r="K40" s="74" t="str">
        <f>IF(AND('Mapa final'!$AI$24="Baja",'Mapa final'!$AK$24="Leve"),CONCATENATE("R5C",'Mapa final'!$Y$24),"")</f>
        <v/>
      </c>
      <c r="L40" s="74" t="str">
        <f>IF(AND('Mapa final'!$AI$25="Baja",'Mapa final'!$AK$25="Leve"),CONCATENATE("R5C",'Mapa final'!$Y$25),"")</f>
        <v/>
      </c>
      <c r="M40" s="74" t="str">
        <f>IF(AND('Mapa final'!$AI$26="Baja",'Mapa final'!$AK$26="Leve"),CONCATENATE("R5C",'Mapa final'!$Y$26),"")</f>
        <v/>
      </c>
      <c r="N40" s="74" t="str">
        <f>IF(AND('Mapa final'!$AI$27="Baja",'Mapa final'!$AK$27="Leve"),CONCATENATE("R5C",'Mapa final'!$Y$27),"")</f>
        <v/>
      </c>
      <c r="O40" s="75" t="str">
        <f>IF(AND('Mapa final'!$AI$28="Baja",'Mapa final'!$AK$28="Leve"),CONCATENATE("R5C",'Mapa final'!$Y$28),"")</f>
        <v/>
      </c>
      <c r="P40" s="64" t="str">
        <f>IF(AND('Mapa final'!$AI$23="Baja",'Mapa final'!$AK$23="Menor"),CONCATENATE("R5C",'Mapa final'!$Y$23),"")</f>
        <v/>
      </c>
      <c r="Q40" s="65" t="str">
        <f>IF(AND('Mapa final'!$AI$24="Baja",'Mapa final'!$AK$24="Menor"),CONCATENATE("R5C",'Mapa final'!$Y$24),"")</f>
        <v/>
      </c>
      <c r="R40" s="65" t="str">
        <f>IF(AND('Mapa final'!$AI$25="Baja",'Mapa final'!$AK$25="Menor"),CONCATENATE("R5C",'Mapa final'!$Y$25),"")</f>
        <v/>
      </c>
      <c r="S40" s="65" t="str">
        <f>IF(AND('Mapa final'!$AI$26="Baja",'Mapa final'!$AK$26="Menor"),CONCATENATE("R5C",'Mapa final'!$Y$26),"")</f>
        <v/>
      </c>
      <c r="T40" s="65" t="str">
        <f>IF(AND('Mapa final'!$AI$27="Baja",'Mapa final'!$AK$27="Menor"),CONCATENATE("R5C",'Mapa final'!$Y$27),"")</f>
        <v/>
      </c>
      <c r="U40" s="66" t="str">
        <f>IF(AND('Mapa final'!$AI$28="Baja",'Mapa final'!$AK$28="Menor"),CONCATENATE("R5C",'Mapa final'!$Y$28),"")</f>
        <v/>
      </c>
      <c r="V40" s="64" t="str">
        <f>IF(AND('Mapa final'!$AI$23="Baja",'Mapa final'!$AK$23="Moderado"),CONCATENATE("R5C",'Mapa final'!$Y$23),"")</f>
        <v/>
      </c>
      <c r="W40" s="65" t="str">
        <f>IF(AND('Mapa final'!$AI$24="Baja",'Mapa final'!$AK$24="Moderado"),CONCATENATE("R5C",'Mapa final'!$Y$24),"")</f>
        <v/>
      </c>
      <c r="X40" s="65" t="str">
        <f>IF(AND('Mapa final'!$AI$25="Baja",'Mapa final'!$AK$25="Moderado"),CONCATENATE("R5C",'Mapa final'!$Y$25),"")</f>
        <v/>
      </c>
      <c r="Y40" s="65" t="str">
        <f>IF(AND('Mapa final'!$AI$26="Baja",'Mapa final'!$AK$26="Moderado"),CONCATENATE("R5C",'Mapa final'!$Y$26),"")</f>
        <v/>
      </c>
      <c r="Z40" s="65" t="str">
        <f>IF(AND('Mapa final'!$AI$27="Baja",'Mapa final'!$AK$27="Moderado"),CONCATENATE("R5C",'Mapa final'!$Y$27),"")</f>
        <v/>
      </c>
      <c r="AA40" s="66" t="str">
        <f>IF(AND('Mapa final'!$AI$28="Baja",'Mapa final'!$AK$28="Moderado"),CONCATENATE("R5C",'Mapa final'!$Y$28),"")</f>
        <v/>
      </c>
      <c r="AB40" s="49" t="str">
        <f>IF(AND('Mapa final'!$AI$23="Baja",'Mapa final'!$AK$23="Mayor"),CONCATENATE("R5C",'Mapa final'!$Y$23),"")</f>
        <v/>
      </c>
      <c r="AC40" s="50" t="str">
        <f>IF(AND('Mapa final'!$AI$24="Baja",'Mapa final'!$AK$24="Mayor"),CONCATENATE("R5C",'Mapa final'!$Y$24),"")</f>
        <v/>
      </c>
      <c r="AD40" s="50" t="str">
        <f>IF(AND('Mapa final'!$AI$25="Baja",'Mapa final'!$AK$25="Mayor"),CONCATENATE("R5C",'Mapa final'!$Y$25),"")</f>
        <v/>
      </c>
      <c r="AE40" s="50" t="str">
        <f>IF(AND('Mapa final'!$AI$26="Baja",'Mapa final'!$AK$26="Mayor"),CONCATENATE("R5C",'Mapa final'!$Y$26),"")</f>
        <v/>
      </c>
      <c r="AF40" s="50" t="str">
        <f>IF(AND('Mapa final'!$AI$27="Baja",'Mapa final'!$AK$27="Mayor"),CONCATENATE("R5C",'Mapa final'!$Y$27),"")</f>
        <v/>
      </c>
      <c r="AG40" s="51" t="str">
        <f>IF(AND('Mapa final'!$AI$28="Baja",'Mapa final'!$AK$28="Mayor"),CONCATENATE("R5C",'Mapa final'!$Y$28),"")</f>
        <v/>
      </c>
      <c r="AH40" s="52" t="str">
        <f>IF(AND('Mapa final'!$AI$23="Baja",'Mapa final'!$AK$23="Catastrófico"),CONCATENATE("R5C",'Mapa final'!$Y$23),"")</f>
        <v/>
      </c>
      <c r="AI40" s="53" t="str">
        <f>IF(AND('Mapa final'!$AI$24="Baja",'Mapa final'!$AK$24="Catastrófico"),CONCATENATE("R5C",'Mapa final'!$Y$24),"")</f>
        <v/>
      </c>
      <c r="AJ40" s="53" t="str">
        <f>IF(AND('Mapa final'!$AI$25="Baja",'Mapa final'!$AK$25="Catastrófico"),CONCATENATE("R5C",'Mapa final'!$Y$25),"")</f>
        <v/>
      </c>
      <c r="AK40" s="53" t="str">
        <f>IF(AND('Mapa final'!$AI$26="Baja",'Mapa final'!$AK$26="Catastrófico"),CONCATENATE("R5C",'Mapa final'!$Y$26),"")</f>
        <v/>
      </c>
      <c r="AL40" s="53" t="str">
        <f>IF(AND('Mapa final'!$AI$27="Baja",'Mapa final'!$AK$27="Catastrófico"),CONCATENATE("R5C",'Mapa final'!$Y$27),"")</f>
        <v/>
      </c>
      <c r="AM40" s="54" t="str">
        <f>IF(AND('Mapa final'!$AI$28="Baja",'Mapa final'!$AK$28="Catastrófico"),CONCATENATE("R5C",'Mapa final'!$Y$28),"")</f>
        <v/>
      </c>
      <c r="AN40" s="80"/>
      <c r="AO40" s="457"/>
      <c r="AP40" s="458"/>
      <c r="AQ40" s="458"/>
      <c r="AR40" s="458"/>
      <c r="AS40" s="458"/>
      <c r="AT40" s="459"/>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385"/>
      <c r="C41" s="385"/>
      <c r="D41" s="386"/>
      <c r="E41" s="426"/>
      <c r="F41" s="427"/>
      <c r="G41" s="427"/>
      <c r="H41" s="427"/>
      <c r="I41" s="427"/>
      <c r="J41" s="73" t="str">
        <f>IF(AND('Mapa final'!$AI$29="Baja",'Mapa final'!$AK$29="Leve"),CONCATENATE("R6C",'Mapa final'!$Y$29),"")</f>
        <v/>
      </c>
      <c r="K41" s="74" t="str">
        <f>IF(AND('Mapa final'!$AI$30="Baja",'Mapa final'!$AK$30="Leve"),CONCATENATE("R6C",'Mapa final'!$Y$30),"")</f>
        <v/>
      </c>
      <c r="L41" s="74" t="str">
        <f>IF(AND('Mapa final'!$AI$31="Baja",'Mapa final'!$AK$31="Leve"),CONCATENATE("R6C",'Mapa final'!$Y$31),"")</f>
        <v/>
      </c>
      <c r="M41" s="74" t="str">
        <f>IF(AND('Mapa final'!$AI$32="Baja",'Mapa final'!$AK$32="Leve"),CONCATENATE("R6C",'Mapa final'!$Y$32),"")</f>
        <v/>
      </c>
      <c r="N41" s="74" t="str">
        <f>IF(AND('Mapa final'!$AI$33="Baja",'Mapa final'!$AK$33="Leve"),CONCATENATE("R6C",'Mapa final'!$Y$33),"")</f>
        <v/>
      </c>
      <c r="O41" s="75" t="str">
        <f>IF(AND('Mapa final'!$AI$34="Baja",'Mapa final'!$AK$34="Leve"),CONCATENATE("R6C",'Mapa final'!$Y$34),"")</f>
        <v/>
      </c>
      <c r="P41" s="64" t="str">
        <f>IF(AND('Mapa final'!$AI$29="Baja",'Mapa final'!$AK$29="Menor"),CONCATENATE("R6C",'Mapa final'!$Y$29),"")</f>
        <v/>
      </c>
      <c r="Q41" s="65" t="str">
        <f>IF(AND('Mapa final'!$AI$30="Baja",'Mapa final'!$AK$30="Menor"),CONCATENATE("R6C",'Mapa final'!$Y$30),"")</f>
        <v/>
      </c>
      <c r="R41" s="65" t="str">
        <f>IF(AND('Mapa final'!$AI$31="Baja",'Mapa final'!$AK$31="Menor"),CONCATENATE("R6C",'Mapa final'!$Y$31),"")</f>
        <v/>
      </c>
      <c r="S41" s="65" t="str">
        <f>IF(AND('Mapa final'!$AI$32="Baja",'Mapa final'!$AK$32="Menor"),CONCATENATE("R6C",'Mapa final'!$Y$32),"")</f>
        <v/>
      </c>
      <c r="T41" s="65" t="str">
        <f>IF(AND('Mapa final'!$AI$33="Baja",'Mapa final'!$AK$33="Menor"),CONCATENATE("R6C",'Mapa final'!$Y$33),"")</f>
        <v/>
      </c>
      <c r="U41" s="66" t="str">
        <f>IF(AND('Mapa final'!$AI$34="Baja",'Mapa final'!$AK$34="Menor"),CONCATENATE("R6C",'Mapa final'!$Y$34),"")</f>
        <v/>
      </c>
      <c r="V41" s="64" t="str">
        <f>IF(AND('Mapa final'!$AI$29="Baja",'Mapa final'!$AK$29="Moderado"),CONCATENATE("R6C",'Mapa final'!$Y$29),"")</f>
        <v/>
      </c>
      <c r="W41" s="65" t="str">
        <f>IF(AND('Mapa final'!$AI$30="Baja",'Mapa final'!$AK$30="Moderado"),CONCATENATE("R6C",'Mapa final'!$Y$30),"")</f>
        <v/>
      </c>
      <c r="X41" s="65" t="str">
        <f>IF(AND('Mapa final'!$AI$31="Baja",'Mapa final'!$AK$31="Moderado"),CONCATENATE("R6C",'Mapa final'!$Y$31),"")</f>
        <v/>
      </c>
      <c r="Y41" s="65" t="str">
        <f>IF(AND('Mapa final'!$AI$32="Baja",'Mapa final'!$AK$32="Moderado"),CONCATENATE("R6C",'Mapa final'!$Y$32),"")</f>
        <v/>
      </c>
      <c r="Z41" s="65" t="str">
        <f>IF(AND('Mapa final'!$AI$33="Baja",'Mapa final'!$AK$33="Moderado"),CONCATENATE("R6C",'Mapa final'!$Y$33),"")</f>
        <v/>
      </c>
      <c r="AA41" s="66" t="str">
        <f>IF(AND('Mapa final'!$AI$34="Baja",'Mapa final'!$AK$34="Moderado"),CONCATENATE("R6C",'Mapa final'!$Y$34),"")</f>
        <v/>
      </c>
      <c r="AB41" s="49" t="str">
        <f>IF(AND('Mapa final'!$AI$29="Baja",'Mapa final'!$AK$29="Mayor"),CONCATENATE("R6C",'Mapa final'!$Y$29),"")</f>
        <v/>
      </c>
      <c r="AC41" s="50" t="str">
        <f>IF(AND('Mapa final'!$AI$30="Baja",'Mapa final'!$AK$30="Mayor"),CONCATENATE("R6C",'Mapa final'!$Y$30),"")</f>
        <v/>
      </c>
      <c r="AD41" s="50" t="str">
        <f>IF(AND('Mapa final'!$AI$31="Baja",'Mapa final'!$AK$31="Mayor"),CONCATENATE("R6C",'Mapa final'!$Y$31),"")</f>
        <v/>
      </c>
      <c r="AE41" s="50" t="str">
        <f>IF(AND('Mapa final'!$AI$32="Baja",'Mapa final'!$AK$32="Mayor"),CONCATENATE("R6C",'Mapa final'!$Y$32),"")</f>
        <v/>
      </c>
      <c r="AF41" s="50" t="str">
        <f>IF(AND('Mapa final'!$AI$33="Baja",'Mapa final'!$AK$33="Mayor"),CONCATENATE("R6C",'Mapa final'!$Y$33),"")</f>
        <v/>
      </c>
      <c r="AG41" s="51" t="str">
        <f>IF(AND('Mapa final'!$AI$34="Baja",'Mapa final'!$AK$34="Mayor"),CONCATENATE("R6C",'Mapa final'!$Y$34),"")</f>
        <v/>
      </c>
      <c r="AH41" s="52" t="str">
        <f>IF(AND('Mapa final'!$AI$29="Baja",'Mapa final'!$AK$29="Catastrófico"),CONCATENATE("R6C",'Mapa final'!$Y$29),"")</f>
        <v/>
      </c>
      <c r="AI41" s="53" t="str">
        <f>IF(AND('Mapa final'!$AI$30="Baja",'Mapa final'!$AK$30="Catastrófico"),CONCATENATE("R6C",'Mapa final'!$Y$30),"")</f>
        <v/>
      </c>
      <c r="AJ41" s="53" t="str">
        <f>IF(AND('Mapa final'!$AI$31="Baja",'Mapa final'!$AK$31="Catastrófico"),CONCATENATE("R6C",'Mapa final'!$Y$31),"")</f>
        <v/>
      </c>
      <c r="AK41" s="53" t="str">
        <f>IF(AND('Mapa final'!$AI$32="Baja",'Mapa final'!$AK$32="Catastrófico"),CONCATENATE("R6C",'Mapa final'!$Y$32),"")</f>
        <v/>
      </c>
      <c r="AL41" s="53" t="str">
        <f>IF(AND('Mapa final'!$AI$33="Baja",'Mapa final'!$AK$33="Catastrófico"),CONCATENATE("R6C",'Mapa final'!$Y$33),"")</f>
        <v/>
      </c>
      <c r="AM41" s="54" t="str">
        <f>IF(AND('Mapa final'!$AI$34="Baja",'Mapa final'!$AK$34="Catastrófico"),CONCATENATE("R6C",'Mapa final'!$Y$34),"")</f>
        <v/>
      </c>
      <c r="AN41" s="80"/>
      <c r="AO41" s="457"/>
      <c r="AP41" s="458"/>
      <c r="AQ41" s="458"/>
      <c r="AR41" s="458"/>
      <c r="AS41" s="458"/>
      <c r="AT41" s="459"/>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385"/>
      <c r="C42" s="385"/>
      <c r="D42" s="386"/>
      <c r="E42" s="426"/>
      <c r="F42" s="427"/>
      <c r="G42" s="427"/>
      <c r="H42" s="427"/>
      <c r="I42" s="427"/>
      <c r="J42" s="73" t="str">
        <f>IF(AND('Mapa final'!$AI$35="Baja",'Mapa final'!$AK$35="Leve"),CONCATENATE("R7C",'Mapa final'!$Y$35),"")</f>
        <v/>
      </c>
      <c r="K42" s="74" t="str">
        <f>IF(AND('Mapa final'!$AI$36="Baja",'Mapa final'!$AK$36="Leve"),CONCATENATE("R7C",'Mapa final'!$Y$36),"")</f>
        <v/>
      </c>
      <c r="L42" s="74" t="str">
        <f>IF(AND('Mapa final'!$AI$37="Baja",'Mapa final'!$AK$37="Leve"),CONCATENATE("R7C",'Mapa final'!$Y$37),"")</f>
        <v/>
      </c>
      <c r="M42" s="74" t="str">
        <f>IF(AND('Mapa final'!$AI$38="Baja",'Mapa final'!$AK$38="Leve"),CONCATENATE("R7C",'Mapa final'!$Y$38),"")</f>
        <v/>
      </c>
      <c r="N42" s="74" t="str">
        <f>IF(AND('Mapa final'!$AI$39="Baja",'Mapa final'!$AK$39="Leve"),CONCATENATE("R7C",'Mapa final'!$Y$39),"")</f>
        <v/>
      </c>
      <c r="O42" s="75" t="str">
        <f>IF(AND('Mapa final'!$AI$40="Baja",'Mapa final'!$AK$40="Leve"),CONCATENATE("R7C",'Mapa final'!$Y$40),"")</f>
        <v/>
      </c>
      <c r="P42" s="64" t="str">
        <f>IF(AND('Mapa final'!$AI$35="Baja",'Mapa final'!$AK$35="Menor"),CONCATENATE("R7C",'Mapa final'!$Y$35),"")</f>
        <v/>
      </c>
      <c r="Q42" s="65" t="str">
        <f>IF(AND('Mapa final'!$AI$36="Baja",'Mapa final'!$AK$36="Menor"),CONCATENATE("R7C",'Mapa final'!$Y$36),"")</f>
        <v/>
      </c>
      <c r="R42" s="65" t="str">
        <f>IF(AND('Mapa final'!$AI$37="Baja",'Mapa final'!$AK$37="Menor"),CONCATENATE("R7C",'Mapa final'!$Y$37),"")</f>
        <v/>
      </c>
      <c r="S42" s="65" t="str">
        <f>IF(AND('Mapa final'!$AI$38="Baja",'Mapa final'!$AK$38="Menor"),CONCATENATE("R7C",'Mapa final'!$Y$38),"")</f>
        <v/>
      </c>
      <c r="T42" s="65" t="str">
        <f>IF(AND('Mapa final'!$AI$39="Baja",'Mapa final'!$AK$39="Menor"),CONCATENATE("R7C",'Mapa final'!$Y$39),"")</f>
        <v/>
      </c>
      <c r="U42" s="66" t="str">
        <f>IF(AND('Mapa final'!$AI$40="Baja",'Mapa final'!$AK$40="Menor"),CONCATENATE("R7C",'Mapa final'!$Y$40),"")</f>
        <v/>
      </c>
      <c r="V42" s="64" t="str">
        <f>IF(AND('Mapa final'!$AI$35="Baja",'Mapa final'!$AK$35="Moderado"),CONCATENATE("R7C",'Mapa final'!$Y$35),"")</f>
        <v/>
      </c>
      <c r="W42" s="65" t="str">
        <f>IF(AND('Mapa final'!$AI$36="Baja",'Mapa final'!$AK$36="Moderado"),CONCATENATE("R7C",'Mapa final'!$Y$36),"")</f>
        <v/>
      </c>
      <c r="X42" s="65" t="str">
        <f>IF(AND('Mapa final'!$AI$37="Baja",'Mapa final'!$AK$37="Moderado"),CONCATENATE("R7C",'Mapa final'!$Y$37),"")</f>
        <v/>
      </c>
      <c r="Y42" s="65" t="str">
        <f>IF(AND('Mapa final'!$AI$38="Baja",'Mapa final'!$AK$38="Moderado"),CONCATENATE("R7C",'Mapa final'!$Y$38),"")</f>
        <v/>
      </c>
      <c r="Z42" s="65" t="str">
        <f>IF(AND('Mapa final'!$AI$39="Baja",'Mapa final'!$AK$39="Moderado"),CONCATENATE("R7C",'Mapa final'!$Y$39),"")</f>
        <v/>
      </c>
      <c r="AA42" s="66" t="str">
        <f>IF(AND('Mapa final'!$AI$40="Baja",'Mapa final'!$AK$40="Moderado"),CONCATENATE("R7C",'Mapa final'!$Y$40),"")</f>
        <v/>
      </c>
      <c r="AB42" s="49" t="str">
        <f>IF(AND('Mapa final'!$AI$35="Baja",'Mapa final'!$AK$35="Mayor"),CONCATENATE("R7C",'Mapa final'!$Y$35),"")</f>
        <v/>
      </c>
      <c r="AC42" s="50" t="str">
        <f>IF(AND('Mapa final'!$AI$36="Baja",'Mapa final'!$AK$36="Mayor"),CONCATENATE("R7C",'Mapa final'!$Y$36),"")</f>
        <v/>
      </c>
      <c r="AD42" s="50" t="str">
        <f>IF(AND('Mapa final'!$AI$37="Baja",'Mapa final'!$AK$37="Mayor"),CONCATENATE("R7C",'Mapa final'!$Y$37),"")</f>
        <v/>
      </c>
      <c r="AE42" s="50" t="str">
        <f>IF(AND('Mapa final'!$AI$38="Baja",'Mapa final'!$AK$38="Mayor"),CONCATENATE("R7C",'Mapa final'!$Y$38),"")</f>
        <v/>
      </c>
      <c r="AF42" s="50" t="str">
        <f>IF(AND('Mapa final'!$AI$39="Baja",'Mapa final'!$AK$39="Mayor"),CONCATENATE("R7C",'Mapa final'!$Y$39),"")</f>
        <v/>
      </c>
      <c r="AG42" s="51" t="str">
        <f>IF(AND('Mapa final'!$AI$40="Baja",'Mapa final'!$AK$40="Mayor"),CONCATENATE("R7C",'Mapa final'!$Y$40),"")</f>
        <v/>
      </c>
      <c r="AH42" s="52" t="str">
        <f>IF(AND('Mapa final'!$AI$35="Baja",'Mapa final'!$AK$35="Catastrófico"),CONCATENATE("R7C",'Mapa final'!$Y$35),"")</f>
        <v/>
      </c>
      <c r="AI42" s="53" t="str">
        <f>IF(AND('Mapa final'!$AI$36="Baja",'Mapa final'!$AK$36="Catastrófico"),CONCATENATE("R7C",'Mapa final'!$Y$36),"")</f>
        <v/>
      </c>
      <c r="AJ42" s="53" t="str">
        <f>IF(AND('Mapa final'!$AI$37="Baja",'Mapa final'!$AK$37="Catastrófico"),CONCATENATE("R7C",'Mapa final'!$Y$37),"")</f>
        <v/>
      </c>
      <c r="AK42" s="53" t="str">
        <f>IF(AND('Mapa final'!$AI$38="Baja",'Mapa final'!$AK$38="Catastrófico"),CONCATENATE("R7C",'Mapa final'!$Y$38),"")</f>
        <v/>
      </c>
      <c r="AL42" s="53" t="str">
        <f>IF(AND('Mapa final'!$AI$39="Baja",'Mapa final'!$AK$39="Catastrófico"),CONCATENATE("R7C",'Mapa final'!$Y$39),"")</f>
        <v/>
      </c>
      <c r="AM42" s="54" t="str">
        <f>IF(AND('Mapa final'!$AI$40="Baja",'Mapa final'!$AK$40="Catastrófico"),CONCATENATE("R7C",'Mapa final'!$Y$40),"")</f>
        <v/>
      </c>
      <c r="AN42" s="80"/>
      <c r="AO42" s="457"/>
      <c r="AP42" s="458"/>
      <c r="AQ42" s="458"/>
      <c r="AR42" s="458"/>
      <c r="AS42" s="458"/>
      <c r="AT42" s="459"/>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385"/>
      <c r="C43" s="385"/>
      <c r="D43" s="386"/>
      <c r="E43" s="426"/>
      <c r="F43" s="427"/>
      <c r="G43" s="427"/>
      <c r="H43" s="427"/>
      <c r="I43" s="427"/>
      <c r="J43" s="73" t="str">
        <f>IF(AND('Mapa final'!$AI$41="Baja",'Mapa final'!$AK$41="Leve"),CONCATENATE("R8C",'Mapa final'!$Y$41),"")</f>
        <v/>
      </c>
      <c r="K43" s="74" t="str">
        <f>IF(AND('Mapa final'!$AI$42="Baja",'Mapa final'!$AK$42="Leve"),CONCATENATE("R8C",'Mapa final'!$Y$42),"")</f>
        <v/>
      </c>
      <c r="L43" s="74" t="str">
        <f>IF(AND('Mapa final'!$AI$43="Baja",'Mapa final'!$AK$43="Leve"),CONCATENATE("R8C",'Mapa final'!$Y$43),"")</f>
        <v/>
      </c>
      <c r="M43" s="74" t="str">
        <f>IF(AND('Mapa final'!$AI$44="Baja",'Mapa final'!$AK$44="Leve"),CONCATENATE("R8C",'Mapa final'!$Y$44),"")</f>
        <v/>
      </c>
      <c r="N43" s="74" t="str">
        <f>IF(AND('Mapa final'!$AI$45="Baja",'Mapa final'!$AK$45="Leve"),CONCATENATE("R8C",'Mapa final'!$Y$45),"")</f>
        <v/>
      </c>
      <c r="O43" s="75" t="str">
        <f>IF(AND('Mapa final'!$AI$46="Baja",'Mapa final'!$AK$46="Leve"),CONCATENATE("R8C",'Mapa final'!$Y$46),"")</f>
        <v/>
      </c>
      <c r="P43" s="64" t="str">
        <f>IF(AND('Mapa final'!$AI$41="Baja",'Mapa final'!$AK$41="Menor"),CONCATENATE("R8C",'Mapa final'!$Y$41),"")</f>
        <v/>
      </c>
      <c r="Q43" s="65" t="str">
        <f>IF(AND('Mapa final'!$AI$42="Baja",'Mapa final'!$AK$42="Menor"),CONCATENATE("R8C",'Mapa final'!$Y$42),"")</f>
        <v/>
      </c>
      <c r="R43" s="65" t="str">
        <f>IF(AND('Mapa final'!$AI$43="Baja",'Mapa final'!$AK$43="Menor"),CONCATENATE("R8C",'Mapa final'!$Y$43),"")</f>
        <v/>
      </c>
      <c r="S43" s="65" t="str">
        <f>IF(AND('Mapa final'!$AI$44="Baja",'Mapa final'!$AK$44="Menor"),CONCATENATE("R8C",'Mapa final'!$Y$44),"")</f>
        <v/>
      </c>
      <c r="T43" s="65" t="str">
        <f>IF(AND('Mapa final'!$AI$45="Baja",'Mapa final'!$AK$45="Menor"),CONCATENATE("R8C",'Mapa final'!$Y$45),"")</f>
        <v/>
      </c>
      <c r="U43" s="66" t="str">
        <f>IF(AND('Mapa final'!$AI$46="Baja",'Mapa final'!$AK$46="Menor"),CONCATENATE("R8C",'Mapa final'!$Y$46),"")</f>
        <v/>
      </c>
      <c r="V43" s="64" t="str">
        <f>IF(AND('Mapa final'!$AI$41="Baja",'Mapa final'!$AK$41="Moderado"),CONCATENATE("R8C",'Mapa final'!$Y$41),"")</f>
        <v/>
      </c>
      <c r="W43" s="65" t="str">
        <f>IF(AND('Mapa final'!$AI$42="Baja",'Mapa final'!$AK$42="Moderado"),CONCATENATE("R8C",'Mapa final'!$Y$42),"")</f>
        <v/>
      </c>
      <c r="X43" s="65" t="str">
        <f>IF(AND('Mapa final'!$AI$43="Baja",'Mapa final'!$AK$43="Moderado"),CONCATENATE("R8C",'Mapa final'!$Y$43),"")</f>
        <v/>
      </c>
      <c r="Y43" s="65" t="str">
        <f>IF(AND('Mapa final'!$AI$44="Baja",'Mapa final'!$AK$44="Moderado"),CONCATENATE("R8C",'Mapa final'!$Y$44),"")</f>
        <v/>
      </c>
      <c r="Z43" s="65" t="str">
        <f>IF(AND('Mapa final'!$AI$45="Baja",'Mapa final'!$AK$45="Moderado"),CONCATENATE("R8C",'Mapa final'!$Y$45),"")</f>
        <v/>
      </c>
      <c r="AA43" s="66" t="str">
        <f>IF(AND('Mapa final'!$AI$46="Baja",'Mapa final'!$AK$46="Moderado"),CONCATENATE("R8C",'Mapa final'!$Y$46),"")</f>
        <v/>
      </c>
      <c r="AB43" s="49" t="str">
        <f>IF(AND('Mapa final'!$AI$41="Baja",'Mapa final'!$AK$41="Mayor"),CONCATENATE("R8C",'Mapa final'!$Y$41),"")</f>
        <v/>
      </c>
      <c r="AC43" s="50" t="str">
        <f>IF(AND('Mapa final'!$AI$42="Baja",'Mapa final'!$AK$42="Mayor"),CONCATENATE("R8C",'Mapa final'!$Y$42),"")</f>
        <v/>
      </c>
      <c r="AD43" s="50" t="str">
        <f>IF(AND('Mapa final'!$AI$43="Baja",'Mapa final'!$AK$43="Mayor"),CONCATENATE("R8C",'Mapa final'!$Y$43),"")</f>
        <v/>
      </c>
      <c r="AE43" s="50" t="str">
        <f>IF(AND('Mapa final'!$AI$44="Baja",'Mapa final'!$AK$44="Mayor"),CONCATENATE("R8C",'Mapa final'!$Y$44),"")</f>
        <v/>
      </c>
      <c r="AF43" s="50" t="str">
        <f>IF(AND('Mapa final'!$AI$45="Baja",'Mapa final'!$AK$45="Mayor"),CONCATENATE("R8C",'Mapa final'!$Y$45),"")</f>
        <v/>
      </c>
      <c r="AG43" s="51" t="str">
        <f>IF(AND('Mapa final'!$AI$46="Baja",'Mapa final'!$AK$46="Mayor"),CONCATENATE("R8C",'Mapa final'!$Y$46),"")</f>
        <v/>
      </c>
      <c r="AH43" s="52" t="str">
        <f>IF(AND('Mapa final'!$AI$41="Baja",'Mapa final'!$AK$41="Catastrófico"),CONCATENATE("R8C",'Mapa final'!$Y$41),"")</f>
        <v/>
      </c>
      <c r="AI43" s="53" t="str">
        <f>IF(AND('Mapa final'!$AI$42="Baja",'Mapa final'!$AK$42="Catastrófico"),CONCATENATE("R8C",'Mapa final'!$Y$42),"")</f>
        <v/>
      </c>
      <c r="AJ43" s="53" t="str">
        <f>IF(AND('Mapa final'!$AI$43="Baja",'Mapa final'!$AK$43="Catastrófico"),CONCATENATE("R8C",'Mapa final'!$Y$43),"")</f>
        <v/>
      </c>
      <c r="AK43" s="53" t="str">
        <f>IF(AND('Mapa final'!$AI$44="Baja",'Mapa final'!$AK$44="Catastrófico"),CONCATENATE("R8C",'Mapa final'!$Y$44),"")</f>
        <v/>
      </c>
      <c r="AL43" s="53" t="str">
        <f>IF(AND('Mapa final'!$AI$45="Baja",'Mapa final'!$AK$45="Catastrófico"),CONCATENATE("R8C",'Mapa final'!$Y$45),"")</f>
        <v/>
      </c>
      <c r="AM43" s="54" t="str">
        <f>IF(AND('Mapa final'!$AI$46="Baja",'Mapa final'!$AK$46="Catastrófico"),CONCATENATE("R8C",'Mapa final'!$Y$46),"")</f>
        <v/>
      </c>
      <c r="AN43" s="80"/>
      <c r="AO43" s="457"/>
      <c r="AP43" s="458"/>
      <c r="AQ43" s="458"/>
      <c r="AR43" s="458"/>
      <c r="AS43" s="458"/>
      <c r="AT43" s="459"/>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385"/>
      <c r="C44" s="385"/>
      <c r="D44" s="386"/>
      <c r="E44" s="426"/>
      <c r="F44" s="427"/>
      <c r="G44" s="427"/>
      <c r="H44" s="427"/>
      <c r="I44" s="427"/>
      <c r="J44" s="73" t="str">
        <f>IF(AND('Mapa final'!$AI$47="Baja",'Mapa final'!$AK$47="Leve"),CONCATENATE("R9C",'Mapa final'!$Y$47),"")</f>
        <v/>
      </c>
      <c r="K44" s="74" t="str">
        <f>IF(AND('Mapa final'!$AI$48="Baja",'Mapa final'!$AK$48="Leve"),CONCATENATE("R9C",'Mapa final'!$Y$48),"")</f>
        <v/>
      </c>
      <c r="L44" s="74" t="str">
        <f>IF(AND('Mapa final'!$AI$49="Baja",'Mapa final'!$AK$49="Leve"),CONCATENATE("R9C",'Mapa final'!$Y$49),"")</f>
        <v/>
      </c>
      <c r="M44" s="74" t="str">
        <f>IF(AND('Mapa final'!$AI$50="Baja",'Mapa final'!$AK$50="Leve"),CONCATENATE("R9C",'Mapa final'!$Y$50),"")</f>
        <v/>
      </c>
      <c r="N44" s="74" t="str">
        <f>IF(AND('Mapa final'!$AI$51="Baja",'Mapa final'!$AK$51="Leve"),CONCATENATE("R9C",'Mapa final'!$Y$51),"")</f>
        <v/>
      </c>
      <c r="O44" s="75" t="str">
        <f>IF(AND('Mapa final'!$AI$52="Baja",'Mapa final'!$AK$52="Leve"),CONCATENATE("R9C",'Mapa final'!$Y$52),"")</f>
        <v/>
      </c>
      <c r="P44" s="64" t="str">
        <f>IF(AND('Mapa final'!$AI$47="Baja",'Mapa final'!$AK$47="Menor"),CONCATENATE("R9C",'Mapa final'!$Y$47),"")</f>
        <v/>
      </c>
      <c r="Q44" s="65" t="str">
        <f>IF(AND('Mapa final'!$AI$48="Baja",'Mapa final'!$AK$48="Menor"),CONCATENATE("R9C",'Mapa final'!$Y$48),"")</f>
        <v/>
      </c>
      <c r="R44" s="65" t="str">
        <f>IF(AND('Mapa final'!$AI$49="Baja",'Mapa final'!$AK$49="Menor"),CONCATENATE("R9C",'Mapa final'!$Y$49),"")</f>
        <v/>
      </c>
      <c r="S44" s="65" t="str">
        <f>IF(AND('Mapa final'!$AI$50="Baja",'Mapa final'!$AK$50="Menor"),CONCATENATE("R9C",'Mapa final'!$Y$50),"")</f>
        <v/>
      </c>
      <c r="T44" s="65" t="str">
        <f>IF(AND('Mapa final'!$AI$51="Baja",'Mapa final'!$AK$51="Menor"),CONCATENATE("R9C",'Mapa final'!$Y$51),"")</f>
        <v/>
      </c>
      <c r="U44" s="66" t="str">
        <f>IF(AND('Mapa final'!$AI$52="Baja",'Mapa final'!$AK$52="Menor"),CONCATENATE("R9C",'Mapa final'!$Y$52),"")</f>
        <v/>
      </c>
      <c r="V44" s="64" t="str">
        <f>IF(AND('Mapa final'!$AI$47="Baja",'Mapa final'!$AK$47="Moderado"),CONCATENATE("R9C",'Mapa final'!$Y$47),"")</f>
        <v/>
      </c>
      <c r="W44" s="65" t="str">
        <f>IF(AND('Mapa final'!$AI$48="Baja",'Mapa final'!$AK$48="Moderado"),CONCATENATE("R9C",'Mapa final'!$Y$48),"")</f>
        <v/>
      </c>
      <c r="X44" s="65" t="str">
        <f>IF(AND('Mapa final'!$AI$49="Baja",'Mapa final'!$AK$49="Moderado"),CONCATENATE("R9C",'Mapa final'!$Y$49),"")</f>
        <v/>
      </c>
      <c r="Y44" s="65" t="str">
        <f>IF(AND('Mapa final'!$AI$50="Baja",'Mapa final'!$AK$50="Moderado"),CONCATENATE("R9C",'Mapa final'!$Y$50),"")</f>
        <v/>
      </c>
      <c r="Z44" s="65" t="str">
        <f>IF(AND('Mapa final'!$AI$51="Baja",'Mapa final'!$AK$51="Moderado"),CONCATENATE("R9C",'Mapa final'!$Y$51),"")</f>
        <v/>
      </c>
      <c r="AA44" s="66" t="str">
        <f>IF(AND('Mapa final'!$AI$52="Baja",'Mapa final'!$AK$52="Moderado"),CONCATENATE("R9C",'Mapa final'!$Y$52),"")</f>
        <v/>
      </c>
      <c r="AB44" s="49" t="str">
        <f>IF(AND('Mapa final'!$AI$47="Baja",'Mapa final'!$AK$47="Mayor"),CONCATENATE("R9C",'Mapa final'!$Y$47),"")</f>
        <v/>
      </c>
      <c r="AC44" s="50" t="str">
        <f>IF(AND('Mapa final'!$AI$48="Baja",'Mapa final'!$AK$48="Mayor"),CONCATENATE("R9C",'Mapa final'!$Y$48),"")</f>
        <v/>
      </c>
      <c r="AD44" s="50" t="str">
        <f>IF(AND('Mapa final'!$AI$49="Baja",'Mapa final'!$AK$49="Mayor"),CONCATENATE("R9C",'Mapa final'!$Y$49),"")</f>
        <v/>
      </c>
      <c r="AE44" s="50" t="str">
        <f>IF(AND('Mapa final'!$AI$50="Baja",'Mapa final'!$AK$50="Mayor"),CONCATENATE("R9C",'Mapa final'!$Y$50),"")</f>
        <v/>
      </c>
      <c r="AF44" s="50" t="str">
        <f>IF(AND('Mapa final'!$AI$51="Baja",'Mapa final'!$AK$51="Mayor"),CONCATENATE("R9C",'Mapa final'!$Y$51),"")</f>
        <v/>
      </c>
      <c r="AG44" s="51" t="str">
        <f>IF(AND('Mapa final'!$AI$52="Baja",'Mapa final'!$AK$52="Mayor"),CONCATENATE("R9C",'Mapa final'!$Y$52),"")</f>
        <v/>
      </c>
      <c r="AH44" s="52" t="str">
        <f>IF(AND('Mapa final'!$AI$47="Baja",'Mapa final'!$AK$47="Catastrófico"),CONCATENATE("R9C",'Mapa final'!$Y$47),"")</f>
        <v/>
      </c>
      <c r="AI44" s="53" t="str">
        <f>IF(AND('Mapa final'!$AI$48="Baja",'Mapa final'!$AK$48="Catastrófico"),CONCATENATE("R9C",'Mapa final'!$Y$48),"")</f>
        <v/>
      </c>
      <c r="AJ44" s="53" t="str">
        <f>IF(AND('Mapa final'!$AI$49="Baja",'Mapa final'!$AK$49="Catastrófico"),CONCATENATE("R9C",'Mapa final'!$Y$49),"")</f>
        <v/>
      </c>
      <c r="AK44" s="53" t="str">
        <f>IF(AND('Mapa final'!$AI$50="Baja",'Mapa final'!$AK$50="Catastrófico"),CONCATENATE("R9C",'Mapa final'!$Y$50),"")</f>
        <v/>
      </c>
      <c r="AL44" s="53" t="str">
        <f>IF(AND('Mapa final'!$AI$51="Baja",'Mapa final'!$AK$51="Catastrófico"),CONCATENATE("R9C",'Mapa final'!$Y$51),"")</f>
        <v/>
      </c>
      <c r="AM44" s="54" t="str">
        <f>IF(AND('Mapa final'!$AI$52="Baja",'Mapa final'!$AK$52="Catastrófico"),CONCATENATE("R9C",'Mapa final'!$Y$52),"")</f>
        <v/>
      </c>
      <c r="AN44" s="80"/>
      <c r="AO44" s="457"/>
      <c r="AP44" s="458"/>
      <c r="AQ44" s="458"/>
      <c r="AR44" s="458"/>
      <c r="AS44" s="458"/>
      <c r="AT44" s="459"/>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385"/>
      <c r="C45" s="385"/>
      <c r="D45" s="386"/>
      <c r="E45" s="429"/>
      <c r="F45" s="430"/>
      <c r="G45" s="430"/>
      <c r="H45" s="430"/>
      <c r="I45" s="430"/>
      <c r="J45" s="76" t="str">
        <f>IF(AND('Mapa final'!$AI$53="Baja",'Mapa final'!$AK$53="Leve"),CONCATENATE("R10C",'Mapa final'!$Y$53),"")</f>
        <v/>
      </c>
      <c r="K45" s="77" t="str">
        <f>IF(AND('Mapa final'!$AI$54="Baja",'Mapa final'!$AK$54="Leve"),CONCATENATE("R10C",'Mapa final'!$Y$54),"")</f>
        <v/>
      </c>
      <c r="L45" s="77" t="str">
        <f>IF(AND('Mapa final'!$AI$55="Baja",'Mapa final'!$AK$55="Leve"),CONCATENATE("R10C",'Mapa final'!$Y$55),"")</f>
        <v/>
      </c>
      <c r="M45" s="77" t="str">
        <f>IF(AND('Mapa final'!$AI$56="Baja",'Mapa final'!$AK$56="Leve"),CONCATENATE("R10C",'Mapa final'!$Y$56),"")</f>
        <v/>
      </c>
      <c r="N45" s="77" t="str">
        <f>IF(AND('Mapa final'!$AI$57="Baja",'Mapa final'!$AK$57="Leve"),CONCATENATE("R10C",'Mapa final'!$Y$57),"")</f>
        <v/>
      </c>
      <c r="O45" s="78" t="str">
        <f>IF(AND('Mapa final'!$AI$58="Baja",'Mapa final'!$AK$58="Leve"),CONCATENATE("R10C",'Mapa final'!$Y$58),"")</f>
        <v/>
      </c>
      <c r="P45" s="64" t="str">
        <f>IF(AND('Mapa final'!$AI$53="Baja",'Mapa final'!$AK$53="Menor"),CONCATENATE("R10C",'Mapa final'!$Y$53),"")</f>
        <v/>
      </c>
      <c r="Q45" s="65" t="str">
        <f>IF(AND('Mapa final'!$AI$54="Baja",'Mapa final'!$AK$54="Menor"),CONCATENATE("R10C",'Mapa final'!$Y$54),"")</f>
        <v/>
      </c>
      <c r="R45" s="65" t="str">
        <f>IF(AND('Mapa final'!$AI$55="Baja",'Mapa final'!$AK$55="Menor"),CONCATENATE("R10C",'Mapa final'!$Y$55),"")</f>
        <v/>
      </c>
      <c r="S45" s="65" t="str">
        <f>IF(AND('Mapa final'!$AI$56="Baja",'Mapa final'!$AK$56="Menor"),CONCATENATE("R10C",'Mapa final'!$Y$56),"")</f>
        <v/>
      </c>
      <c r="T45" s="65" t="str">
        <f>IF(AND('Mapa final'!$AI$57="Baja",'Mapa final'!$AK$57="Menor"),CONCATENATE("R10C",'Mapa final'!$Y$57),"")</f>
        <v/>
      </c>
      <c r="U45" s="66" t="str">
        <f>IF(AND('Mapa final'!$AI$58="Baja",'Mapa final'!$AK$58="Menor"),CONCATENATE("R10C",'Mapa final'!$Y$58),"")</f>
        <v/>
      </c>
      <c r="V45" s="67" t="str">
        <f>IF(AND('Mapa final'!$AI$53="Baja",'Mapa final'!$AK$53="Moderado"),CONCATENATE("R10C",'Mapa final'!$Y$53),"")</f>
        <v/>
      </c>
      <c r="W45" s="68" t="str">
        <f>IF(AND('Mapa final'!$AI$54="Baja",'Mapa final'!$AK$54="Moderado"),CONCATENATE("R10C",'Mapa final'!$Y$54),"")</f>
        <v/>
      </c>
      <c r="X45" s="68" t="str">
        <f>IF(AND('Mapa final'!$AI$55="Baja",'Mapa final'!$AK$55="Moderado"),CONCATENATE("R10C",'Mapa final'!$Y$55),"")</f>
        <v/>
      </c>
      <c r="Y45" s="68" t="str">
        <f>IF(AND('Mapa final'!$AI$56="Baja",'Mapa final'!$AK$56="Moderado"),CONCATENATE("R10C",'Mapa final'!$Y$56),"")</f>
        <v/>
      </c>
      <c r="Z45" s="68" t="str">
        <f>IF(AND('Mapa final'!$AI$57="Baja",'Mapa final'!$AK$57="Moderado"),CONCATENATE("R10C",'Mapa final'!$Y$57),"")</f>
        <v/>
      </c>
      <c r="AA45" s="69" t="str">
        <f>IF(AND('Mapa final'!$AI$58="Baja",'Mapa final'!$AK$58="Moderado"),CONCATENATE("R10C",'Mapa final'!$Y$58),"")</f>
        <v/>
      </c>
      <c r="AB45" s="55" t="str">
        <f>IF(AND('Mapa final'!$AI$53="Baja",'Mapa final'!$AK$53="Mayor"),CONCATENATE("R10C",'Mapa final'!$Y$53),"")</f>
        <v/>
      </c>
      <c r="AC45" s="56" t="str">
        <f>IF(AND('Mapa final'!$AI$54="Baja",'Mapa final'!$AK$54="Mayor"),CONCATENATE("R10C",'Mapa final'!$Y$54),"")</f>
        <v/>
      </c>
      <c r="AD45" s="56" t="str">
        <f>IF(AND('Mapa final'!$AI$55="Baja",'Mapa final'!$AK$55="Mayor"),CONCATENATE("R10C",'Mapa final'!$Y$55),"")</f>
        <v/>
      </c>
      <c r="AE45" s="56" t="str">
        <f>IF(AND('Mapa final'!$AI$56="Baja",'Mapa final'!$AK$56="Mayor"),CONCATENATE("R10C",'Mapa final'!$Y$56),"")</f>
        <v/>
      </c>
      <c r="AF45" s="56" t="str">
        <f>IF(AND('Mapa final'!$AI$57="Baja",'Mapa final'!$AK$57="Mayor"),CONCATENATE("R10C",'Mapa final'!$Y$57),"")</f>
        <v/>
      </c>
      <c r="AG45" s="57" t="str">
        <f>IF(AND('Mapa final'!$AI$58="Baja",'Mapa final'!$AK$58="Mayor"),CONCATENATE("R10C",'Mapa final'!$Y$58),"")</f>
        <v/>
      </c>
      <c r="AH45" s="58" t="str">
        <f>IF(AND('Mapa final'!$AI$53="Baja",'Mapa final'!$AK$53="Catastrófico"),CONCATENATE("R10C",'Mapa final'!$Y$53),"")</f>
        <v/>
      </c>
      <c r="AI45" s="59" t="str">
        <f>IF(AND('Mapa final'!$AI$54="Baja",'Mapa final'!$AK$54="Catastrófico"),CONCATENATE("R10C",'Mapa final'!$Y$54),"")</f>
        <v/>
      </c>
      <c r="AJ45" s="59" t="str">
        <f>IF(AND('Mapa final'!$AI$55="Baja",'Mapa final'!$AK$55="Catastrófico"),CONCATENATE("R10C",'Mapa final'!$Y$55),"")</f>
        <v/>
      </c>
      <c r="AK45" s="59" t="str">
        <f>IF(AND('Mapa final'!$AI$56="Baja",'Mapa final'!$AK$56="Catastrófico"),CONCATENATE("R10C",'Mapa final'!$Y$56),"")</f>
        <v/>
      </c>
      <c r="AL45" s="59" t="str">
        <f>IF(AND('Mapa final'!$AI$57="Baja",'Mapa final'!$AK$57="Catastrófico"),CONCATENATE("R10C",'Mapa final'!$Y$57),"")</f>
        <v/>
      </c>
      <c r="AM45" s="60" t="str">
        <f>IF(AND('Mapa final'!$AI$58="Baja",'Mapa final'!$AK$58="Catastrófico"),CONCATENATE("R10C",'Mapa final'!$Y$58),"")</f>
        <v/>
      </c>
      <c r="AN45" s="80"/>
      <c r="AO45" s="460"/>
      <c r="AP45" s="461"/>
      <c r="AQ45" s="461"/>
      <c r="AR45" s="461"/>
      <c r="AS45" s="461"/>
      <c r="AT45" s="462"/>
    </row>
    <row r="46" spans="1:80" ht="46.5" customHeight="1" x14ac:dyDescent="0.35">
      <c r="A46" s="80"/>
      <c r="B46" s="385"/>
      <c r="C46" s="385"/>
      <c r="D46" s="386"/>
      <c r="E46" s="423" t="s">
        <v>180</v>
      </c>
      <c r="F46" s="424"/>
      <c r="G46" s="424"/>
      <c r="H46" s="424"/>
      <c r="I46" s="425"/>
      <c r="J46" s="70" t="str">
        <f>IF(AND('Mapa final'!$AI$11="Muy Baja",'Mapa final'!$AK$11="Leve"),CONCATENATE("R1C",'Mapa final'!$Y$11),"")</f>
        <v/>
      </c>
      <c r="K46" s="71" t="str">
        <f>IF(AND('Mapa final'!$AI$12="Muy Baja",'Mapa final'!$AK$12="Leve"),CONCATENATE("R1C",'Mapa final'!$Y$12),"")</f>
        <v/>
      </c>
      <c r="L46" s="71" t="str">
        <f>IF(AND('Mapa final'!$AI$13="Muy Baja",'Mapa final'!$AK$13="Leve"),CONCATENATE("R1C",'Mapa final'!$Y$13),"")</f>
        <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str">
        <f>IF(AND('Mapa final'!$AI$12="Muy Baja",'Mapa final'!$AK$12="Menor"),CONCATENATE("R1C",'Mapa final'!$Y$12),"")</f>
        <v/>
      </c>
      <c r="R46" s="71" t="str">
        <f>IF(AND('Mapa final'!$AI$13="Muy Baja",'Mapa final'!$AK$13="Menor"),CONCATENATE("R1C",'Mapa final'!$Y$13),"")</f>
        <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str">
        <f>IF(AND('Mapa final'!$AI$12="Muy Baja",'Mapa final'!$AK$12="Moderado"),CONCATENATE("R1C",'Mapa final'!$Y$12),"")</f>
        <v/>
      </c>
      <c r="X46" s="62" t="str">
        <f>IF(AND('Mapa final'!$AI$13="Muy Baja",'Mapa final'!$AK$13="Moderado"),CONCATENATE("R1C",'Mapa final'!$Y$13),"")</f>
        <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str">
        <f>IF(AND('Mapa final'!$AI$12="Muy Baja",'Mapa final'!$AK$12="Mayor"),CONCATENATE("R1C",'Mapa final'!$Y$12),"")</f>
        <v/>
      </c>
      <c r="AD46" s="44" t="str">
        <f>IF(AND('Mapa final'!$AI$13="Muy Baja",'Mapa final'!$AK$13="Mayor"),CONCATENATE("R1C",'Mapa final'!$Y$13),"")</f>
        <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str">
        <f>IF(AND('Mapa final'!$AI$12="Muy Baja",'Mapa final'!$AK$12="Catastrófico"),CONCATENATE("R1C",'Mapa final'!$Y$12),"")</f>
        <v/>
      </c>
      <c r="AJ46" s="47" t="str">
        <f>IF(AND('Mapa final'!$AI$13="Muy Baja",'Mapa final'!$AK$13="Catastrófico"),CONCATENATE("R1C",'Mapa final'!$Y$13),"")</f>
        <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385"/>
      <c r="C47" s="385"/>
      <c r="D47" s="386"/>
      <c r="E47" s="442"/>
      <c r="F47" s="427"/>
      <c r="G47" s="427"/>
      <c r="H47" s="427"/>
      <c r="I47" s="428"/>
      <c r="J47" s="73" t="str">
        <f>IF(AND('Mapa final'!$AI$14="Muy Baja",'Mapa final'!$AK$14="Leve"),CONCATENATE("R2C",'Mapa final'!$Y$14),"")</f>
        <v/>
      </c>
      <c r="K47" s="74" t="str">
        <f>IF(AND('Mapa final'!$AI$15="Muy Baja",'Mapa final'!$AK$15="Leve"),CONCATENATE("R2C",'Mapa final'!$Y$15),"")</f>
        <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final'!$AI$14="Muy Baja",'Mapa final'!$AK$14="Menor"),CONCATENATE("R2C",'Mapa final'!$Y$14),"")</f>
        <v/>
      </c>
      <c r="Q47" s="74" t="str">
        <f>IF(AND('Mapa final'!$AI$15="Muy Baja",'Mapa final'!$AK$15="Menor"),CONCATENATE("R2C",'Mapa final'!$Y$15),"")</f>
        <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final'!$AI$14="Muy Baja",'Mapa final'!$AK$14="Moderado"),CONCATENATE("R2C",'Mapa final'!$Y$14),"")</f>
        <v/>
      </c>
      <c r="W47" s="65" t="str">
        <f>IF(AND('Mapa final'!$AI$15="Muy Baja",'Mapa final'!$AK$15="Moderado"),CONCATENATE("R2C",'Mapa final'!$Y$15),"")</f>
        <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final'!$AI$14="Muy Baja",'Mapa final'!$AK$14="Mayor"),CONCATENATE("R2C",'Mapa final'!$Y$14),"")</f>
        <v/>
      </c>
      <c r="AC47" s="50" t="str">
        <f>IF(AND('Mapa final'!$AI$15="Muy Baja",'Mapa final'!$AK$15="Mayor"),CONCATENATE("R2C",'Mapa final'!$Y$15),"")</f>
        <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final'!$AI$14="Muy Baja",'Mapa final'!$AK$14="Catastrófico"),CONCATENATE("R2C",'Mapa final'!$Y$14),"")</f>
        <v/>
      </c>
      <c r="AI47" s="53" t="str">
        <f>IF(AND('Mapa final'!$AI$15="Muy Baja",'Mapa final'!$AK$15="Catastrófico"),CONCATENATE("R2C",'Mapa final'!$Y$15),"")</f>
        <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385"/>
      <c r="C48" s="385"/>
      <c r="D48" s="386"/>
      <c r="E48" s="442"/>
      <c r="F48" s="427"/>
      <c r="G48" s="427"/>
      <c r="H48" s="427"/>
      <c r="I48" s="428"/>
      <c r="J48" s="73" t="str">
        <f>IF(AND('Mapa final'!$AI$16="Muy Baja",'Mapa final'!$AK$16="Leve"),CONCATENATE("R3C",'Mapa final'!$Y$16),"")</f>
        <v/>
      </c>
      <c r="K48" s="74" t="e">
        <f>IF(AND('Mapa final'!#REF!="Muy Baja",'Mapa final'!#REF!="Leve"),CONCATENATE("R3C",'Mapa final'!#REF!),"")</f>
        <v>#REF!</v>
      </c>
      <c r="L48" s="74" t="e">
        <f>IF(AND('Mapa final'!#REF!="Muy Baja",'Mapa final'!#REF!="Leve"),CONCATENATE("R3C",'Mapa final'!#REF!),"")</f>
        <v>#REF!</v>
      </c>
      <c r="M48" s="74" t="e">
        <f>IF(AND('Mapa final'!#REF!="Muy Baja",'Mapa final'!#REF!="Leve"),CONCATENATE("R3C",'Mapa final'!#REF!),"")</f>
        <v>#REF!</v>
      </c>
      <c r="N48" s="74" t="e">
        <f>IF(AND('Mapa final'!#REF!="Muy Baja",'Mapa final'!#REF!="Leve"),CONCATENATE("R3C",'Mapa final'!#REF!),"")</f>
        <v>#REF!</v>
      </c>
      <c r="O48" s="75" t="e">
        <f>IF(AND('Mapa final'!#REF!="Muy Baja",'Mapa final'!#REF!="Leve"),CONCATENATE("R3C",'Mapa final'!#REF!),"")</f>
        <v>#REF!</v>
      </c>
      <c r="P48" s="73" t="str">
        <f>IF(AND('Mapa final'!$AI$16="Muy Baja",'Mapa final'!$AK$16="Menor"),CONCATENATE("R3C",'Mapa final'!$Y$16),"")</f>
        <v/>
      </c>
      <c r="Q48" s="74" t="e">
        <f>IF(AND('Mapa final'!#REF!="Muy Baja",'Mapa final'!#REF!="Menor"),CONCATENATE("R3C",'Mapa final'!#REF!),"")</f>
        <v>#REF!</v>
      </c>
      <c r="R48" s="74" t="e">
        <f>IF(AND('Mapa final'!#REF!="Muy Baja",'Mapa final'!#REF!="Menor"),CONCATENATE("R3C",'Mapa final'!#REF!),"")</f>
        <v>#REF!</v>
      </c>
      <c r="S48" s="74" t="e">
        <f>IF(AND('Mapa final'!#REF!="Muy Baja",'Mapa final'!#REF!="Menor"),CONCATENATE("R3C",'Mapa final'!#REF!),"")</f>
        <v>#REF!</v>
      </c>
      <c r="T48" s="74" t="e">
        <f>IF(AND('Mapa final'!#REF!="Muy Baja",'Mapa final'!#REF!="Menor"),CONCATENATE("R3C",'Mapa final'!#REF!),"")</f>
        <v>#REF!</v>
      </c>
      <c r="U48" s="75" t="e">
        <f>IF(AND('Mapa final'!#REF!="Muy Baja",'Mapa final'!#REF!="Menor"),CONCATENATE("R3C",'Mapa final'!#REF!),"")</f>
        <v>#REF!</v>
      </c>
      <c r="V48" s="64" t="str">
        <f>IF(AND('Mapa final'!$AI$16="Muy Baja",'Mapa final'!$AK$16="Moderado"),CONCATENATE("R3C",'Mapa final'!$Y$16),"")</f>
        <v/>
      </c>
      <c r="W48" s="65" t="e">
        <f>IF(AND('Mapa final'!#REF!="Muy Baja",'Mapa final'!#REF!="Moderado"),CONCATENATE("R3C",'Mapa final'!#REF!),"")</f>
        <v>#REF!</v>
      </c>
      <c r="X48" s="65" t="e">
        <f>IF(AND('Mapa final'!#REF!="Muy Baja",'Mapa final'!#REF!="Moderado"),CONCATENATE("R3C",'Mapa final'!#REF!),"")</f>
        <v>#REF!</v>
      </c>
      <c r="Y48" s="65" t="e">
        <f>IF(AND('Mapa final'!#REF!="Muy Baja",'Mapa final'!#REF!="Moderado"),CONCATENATE("R3C",'Mapa final'!#REF!),"")</f>
        <v>#REF!</v>
      </c>
      <c r="Z48" s="65" t="e">
        <f>IF(AND('Mapa final'!#REF!="Muy Baja",'Mapa final'!#REF!="Moderado"),CONCATENATE("R3C",'Mapa final'!#REF!),"")</f>
        <v>#REF!</v>
      </c>
      <c r="AA48" s="66" t="e">
        <f>IF(AND('Mapa final'!#REF!="Muy Baja",'Mapa final'!#REF!="Moderado"),CONCATENATE("R3C",'Mapa final'!#REF!),"")</f>
        <v>#REF!</v>
      </c>
      <c r="AB48" s="49" t="str">
        <f>IF(AND('Mapa final'!$AI$16="Muy Baja",'Mapa final'!$AK$16="Mayor"),CONCATENATE("R3C",'Mapa final'!$Y$16),"")</f>
        <v/>
      </c>
      <c r="AC48" s="50" t="e">
        <f>IF(AND('Mapa final'!#REF!="Muy Baja",'Mapa final'!#REF!="Mayor"),CONCATENATE("R3C",'Mapa final'!#REF!),"")</f>
        <v>#REF!</v>
      </c>
      <c r="AD48" s="50" t="e">
        <f>IF(AND('Mapa final'!#REF!="Muy Baja",'Mapa final'!#REF!="Mayor"),CONCATENATE("R3C",'Mapa final'!#REF!),"")</f>
        <v>#REF!</v>
      </c>
      <c r="AE48" s="50" t="e">
        <f>IF(AND('Mapa final'!#REF!="Muy Baja",'Mapa final'!#REF!="Mayor"),CONCATENATE("R3C",'Mapa final'!#REF!),"")</f>
        <v>#REF!</v>
      </c>
      <c r="AF48" s="50" t="e">
        <f>IF(AND('Mapa final'!#REF!="Muy Baja",'Mapa final'!#REF!="Mayor"),CONCATENATE("R3C",'Mapa final'!#REF!),"")</f>
        <v>#REF!</v>
      </c>
      <c r="AG48" s="51" t="e">
        <f>IF(AND('Mapa final'!#REF!="Muy Baja",'Mapa final'!#REF!="Mayor"),CONCATENATE("R3C",'Mapa final'!#REF!),"")</f>
        <v>#REF!</v>
      </c>
      <c r="AH48" s="52" t="str">
        <f>IF(AND('Mapa final'!$AI$16="Muy Baja",'Mapa final'!$AK$16="Catastrófico"),CONCATENATE("R3C",'Mapa final'!$Y$16),"")</f>
        <v/>
      </c>
      <c r="AI48" s="53" t="e">
        <f>IF(AND('Mapa final'!#REF!="Muy Baja",'Mapa final'!#REF!="Catastrófico"),CONCATENATE("R3C",'Mapa final'!#REF!),"")</f>
        <v>#REF!</v>
      </c>
      <c r="AJ48" s="53" t="e">
        <f>IF(AND('Mapa final'!#REF!="Muy Baja",'Mapa final'!#REF!="Catastrófico"),CONCATENATE("R3C",'Mapa final'!#REF!),"")</f>
        <v>#REF!</v>
      </c>
      <c r="AK48" s="53" t="e">
        <f>IF(AND('Mapa final'!#REF!="Muy Baja",'Mapa final'!#REF!="Catastrófico"),CONCATENATE("R3C",'Mapa final'!#REF!),"")</f>
        <v>#REF!</v>
      </c>
      <c r="AL48" s="53" t="e">
        <f>IF(AND('Mapa final'!#REF!="Muy Baja",'Mapa final'!#REF!="Catastrófico"),CONCATENATE("R3C",'Mapa final'!#REF!),"")</f>
        <v>#REF!</v>
      </c>
      <c r="AM48" s="54" t="e">
        <f>IF(AND('Mapa final'!#REF!="Muy Baja",'Mapa final'!#REF!="Catastrófico"),CONCATENATE("R3C",'Mapa final'!#REF!),"")</f>
        <v>#REF!</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385"/>
      <c r="C49" s="385"/>
      <c r="D49" s="386"/>
      <c r="E49" s="426"/>
      <c r="F49" s="427"/>
      <c r="G49" s="427"/>
      <c r="H49" s="427"/>
      <c r="I49" s="428"/>
      <c r="J49" s="73" t="str">
        <f>IF(AND('Mapa final'!$AI$17="Muy Baja",'Mapa final'!$AK$17="Leve"),CONCATENATE("R4C",'Mapa final'!$Y$17),"")</f>
        <v/>
      </c>
      <c r="K49" s="74" t="str">
        <f>IF(AND('Mapa final'!$AI$18="Muy Baja",'Mapa final'!$AK$18="Leve"),CONCATENATE("R4C",'Mapa final'!$Y$18),"")</f>
        <v/>
      </c>
      <c r="L49" s="74" t="str">
        <f>IF(AND('Mapa final'!$AI$19="Muy Baja",'Mapa final'!$AK$19="Leve"),CONCATENATE("R4C",'Mapa final'!$Y$19),"")</f>
        <v/>
      </c>
      <c r="M49" s="74" t="str">
        <f>IF(AND('Mapa final'!$AI$20="Muy Baja",'Mapa final'!$AK$20="Leve"),CONCATENATE("R4C",'Mapa final'!$Y$20),"")</f>
        <v/>
      </c>
      <c r="N49" s="74" t="str">
        <f>IF(AND('Mapa final'!$AI$21="Muy Baja",'Mapa final'!$AK$21="Leve"),CONCATENATE("R4C",'Mapa final'!$Y$21),"")</f>
        <v/>
      </c>
      <c r="O49" s="75" t="str">
        <f>IF(AND('Mapa final'!$AI$22="Muy Baja",'Mapa final'!$AK$22="Leve"),CONCATENATE("R4C",'Mapa final'!$Y$22),"")</f>
        <v/>
      </c>
      <c r="P49" s="73" t="str">
        <f>IF(AND('Mapa final'!$AI$17="Muy Baja",'Mapa final'!$AK$17="Menor"),CONCATENATE("R4C",'Mapa final'!$Y$17),"")</f>
        <v/>
      </c>
      <c r="Q49" s="74" t="str">
        <f>IF(AND('Mapa final'!$AI$18="Muy Baja",'Mapa final'!$AK$18="Menor"),CONCATENATE("R4C",'Mapa final'!$Y$18),"")</f>
        <v/>
      </c>
      <c r="R49" s="74" t="str">
        <f>IF(AND('Mapa final'!$AI$19="Muy Baja",'Mapa final'!$AK$19="Menor"),CONCATENATE("R4C",'Mapa final'!$Y$19),"")</f>
        <v/>
      </c>
      <c r="S49" s="74" t="str">
        <f>IF(AND('Mapa final'!$AI$20="Muy Baja",'Mapa final'!$AK$20="Menor"),CONCATENATE("R4C",'Mapa final'!$Y$20),"")</f>
        <v/>
      </c>
      <c r="T49" s="74" t="str">
        <f>IF(AND('Mapa final'!$AI$21="Muy Baja",'Mapa final'!$AK$21="Menor"),CONCATENATE("R4C",'Mapa final'!$Y$21),"")</f>
        <v/>
      </c>
      <c r="U49" s="75" t="str">
        <f>IF(AND('Mapa final'!$AI$22="Muy Baja",'Mapa final'!$AK$22="Menor"),CONCATENATE("R4C",'Mapa final'!$Y$22),"")</f>
        <v/>
      </c>
      <c r="V49" s="64" t="str">
        <f>IF(AND('Mapa final'!$AI$17="Muy Baja",'Mapa final'!$AK$17="Moderado"),CONCATENATE("R4C",'Mapa final'!$Y$17),"")</f>
        <v/>
      </c>
      <c r="W49" s="65" t="str">
        <f>IF(AND('Mapa final'!$AI$18="Muy Baja",'Mapa final'!$AK$18="Moderado"),CONCATENATE("R4C",'Mapa final'!$Y$18),"")</f>
        <v/>
      </c>
      <c r="X49" s="65" t="str">
        <f>IF(AND('Mapa final'!$AI$19="Muy Baja",'Mapa final'!$AK$19="Moderado"),CONCATENATE("R4C",'Mapa final'!$Y$19),"")</f>
        <v/>
      </c>
      <c r="Y49" s="65" t="str">
        <f>IF(AND('Mapa final'!$AI$20="Muy Baja",'Mapa final'!$AK$20="Moderado"),CONCATENATE("R4C",'Mapa final'!$Y$20),"")</f>
        <v/>
      </c>
      <c r="Z49" s="65" t="str">
        <f>IF(AND('Mapa final'!$AI$21="Muy Baja",'Mapa final'!$AK$21="Moderado"),CONCATENATE("R4C",'Mapa final'!$Y$21),"")</f>
        <v/>
      </c>
      <c r="AA49" s="66" t="str">
        <f>IF(AND('Mapa final'!$AI$22="Muy Baja",'Mapa final'!$AK$22="Moderado"),CONCATENATE("R4C",'Mapa final'!$Y$22),"")</f>
        <v/>
      </c>
      <c r="AB49" s="49" t="str">
        <f>IF(AND('Mapa final'!$AI$17="Muy Baja",'Mapa final'!$AK$17="Mayor"),CONCATENATE("R4C",'Mapa final'!$Y$17),"")</f>
        <v/>
      </c>
      <c r="AC49" s="50" t="str">
        <f>IF(AND('Mapa final'!$AI$18="Muy Baja",'Mapa final'!$AK$18="Mayor"),CONCATENATE("R4C",'Mapa final'!$Y$18),"")</f>
        <v/>
      </c>
      <c r="AD49" s="50" t="str">
        <f>IF(AND('Mapa final'!$AI$19="Muy Baja",'Mapa final'!$AK$19="Mayor"),CONCATENATE("R4C",'Mapa final'!$Y$19),"")</f>
        <v/>
      </c>
      <c r="AE49" s="50" t="str">
        <f>IF(AND('Mapa final'!$AI$20="Muy Baja",'Mapa final'!$AK$20="Mayor"),CONCATENATE("R4C",'Mapa final'!$Y$20),"")</f>
        <v/>
      </c>
      <c r="AF49" s="50" t="str">
        <f>IF(AND('Mapa final'!$AI$21="Muy Baja",'Mapa final'!$AK$21="Mayor"),CONCATENATE("R4C",'Mapa final'!$Y$21),"")</f>
        <v/>
      </c>
      <c r="AG49" s="51" t="str">
        <f>IF(AND('Mapa final'!$AI$22="Muy Baja",'Mapa final'!$AK$22="Mayor"),CONCATENATE("R4C",'Mapa final'!$Y$22),"")</f>
        <v/>
      </c>
      <c r="AH49" s="52" t="str">
        <f>IF(AND('Mapa final'!$AI$17="Muy Baja",'Mapa final'!$AK$17="Catastrófico"),CONCATENATE("R4C",'Mapa final'!$Y$17),"")</f>
        <v/>
      </c>
      <c r="AI49" s="53" t="str">
        <f>IF(AND('Mapa final'!$AI$18="Muy Baja",'Mapa final'!$AK$18="Catastrófico"),CONCATENATE("R4C",'Mapa final'!$Y$18),"")</f>
        <v/>
      </c>
      <c r="AJ49" s="53" t="str">
        <f>IF(AND('Mapa final'!$AI$19="Muy Baja",'Mapa final'!$AK$19="Catastrófico"),CONCATENATE("R4C",'Mapa final'!$Y$19),"")</f>
        <v/>
      </c>
      <c r="AK49" s="53" t="str">
        <f>IF(AND('Mapa final'!$AI$20="Muy Baja",'Mapa final'!$AK$20="Catastrófico"),CONCATENATE("R4C",'Mapa final'!$Y$20),"")</f>
        <v/>
      </c>
      <c r="AL49" s="53" t="str">
        <f>IF(AND('Mapa final'!$AI$21="Muy Baja",'Mapa final'!$AK$21="Catastrófico"),CONCATENATE("R4C",'Mapa final'!$Y$21),"")</f>
        <v/>
      </c>
      <c r="AM49" s="54" t="str">
        <f>IF(AND('Mapa final'!$AI$22="Muy Baja",'Mapa final'!$AK$22="Catastrófico"),CONCATENATE("R4C",'Mapa final'!$Y$22),"")</f>
        <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385"/>
      <c r="C50" s="385"/>
      <c r="D50" s="386"/>
      <c r="E50" s="426"/>
      <c r="F50" s="427"/>
      <c r="G50" s="427"/>
      <c r="H50" s="427"/>
      <c r="I50" s="428"/>
      <c r="J50" s="73" t="str">
        <f>IF(AND('Mapa final'!$AI$23="Muy Baja",'Mapa final'!$AK$23="Leve"),CONCATENATE("R5C",'Mapa final'!$Y$23),"")</f>
        <v/>
      </c>
      <c r="K50" s="74" t="str">
        <f>IF(AND('Mapa final'!$AI$24="Muy Baja",'Mapa final'!$AK$24="Leve"),CONCATENATE("R5C",'Mapa final'!$Y$24),"")</f>
        <v/>
      </c>
      <c r="L50" s="74" t="str">
        <f>IF(AND('Mapa final'!$AI$25="Muy Baja",'Mapa final'!$AK$25="Leve"),CONCATENATE("R5C",'Mapa final'!$Y$25),"")</f>
        <v/>
      </c>
      <c r="M50" s="74" t="str">
        <f>IF(AND('Mapa final'!$AI$26="Muy Baja",'Mapa final'!$AK$26="Leve"),CONCATENATE("R5C",'Mapa final'!$Y$26),"")</f>
        <v/>
      </c>
      <c r="N50" s="74" t="str">
        <f>IF(AND('Mapa final'!$AI$27="Muy Baja",'Mapa final'!$AK$27="Leve"),CONCATENATE("R5C",'Mapa final'!$Y$27),"")</f>
        <v/>
      </c>
      <c r="O50" s="75" t="str">
        <f>IF(AND('Mapa final'!$AI$28="Muy Baja",'Mapa final'!$AK$28="Leve"),CONCATENATE("R5C",'Mapa final'!$Y$28),"")</f>
        <v/>
      </c>
      <c r="P50" s="73" t="str">
        <f>IF(AND('Mapa final'!$AI$23="Muy Baja",'Mapa final'!$AK$23="Menor"),CONCATENATE("R5C",'Mapa final'!$Y$23),"")</f>
        <v/>
      </c>
      <c r="Q50" s="74" t="str">
        <f>IF(AND('Mapa final'!$AI$24="Muy Baja",'Mapa final'!$AK$24="Menor"),CONCATENATE("R5C",'Mapa final'!$Y$24),"")</f>
        <v/>
      </c>
      <c r="R50" s="74" t="str">
        <f>IF(AND('Mapa final'!$AI$25="Muy Baja",'Mapa final'!$AK$25="Menor"),CONCATENATE("R5C",'Mapa final'!$Y$25),"")</f>
        <v/>
      </c>
      <c r="S50" s="74" t="str">
        <f>IF(AND('Mapa final'!$AI$26="Muy Baja",'Mapa final'!$AK$26="Menor"),CONCATENATE("R5C",'Mapa final'!$Y$26),"")</f>
        <v/>
      </c>
      <c r="T50" s="74" t="str">
        <f>IF(AND('Mapa final'!$AI$27="Muy Baja",'Mapa final'!$AK$27="Menor"),CONCATENATE("R5C",'Mapa final'!$Y$27),"")</f>
        <v/>
      </c>
      <c r="U50" s="75" t="str">
        <f>IF(AND('Mapa final'!$AI$28="Muy Baja",'Mapa final'!$AK$28="Menor"),CONCATENATE("R5C",'Mapa final'!$Y$28),"")</f>
        <v/>
      </c>
      <c r="V50" s="64" t="str">
        <f>IF(AND('Mapa final'!$AI$23="Muy Baja",'Mapa final'!$AK$23="Moderado"),CONCATENATE("R5C",'Mapa final'!$Y$23),"")</f>
        <v/>
      </c>
      <c r="W50" s="65" t="str">
        <f>IF(AND('Mapa final'!$AI$24="Muy Baja",'Mapa final'!$AK$24="Moderado"),CONCATENATE("R5C",'Mapa final'!$Y$24),"")</f>
        <v/>
      </c>
      <c r="X50" s="65" t="str">
        <f>IF(AND('Mapa final'!$AI$25="Muy Baja",'Mapa final'!$AK$25="Moderado"),CONCATENATE("R5C",'Mapa final'!$Y$25),"")</f>
        <v/>
      </c>
      <c r="Y50" s="65" t="str">
        <f>IF(AND('Mapa final'!$AI$26="Muy Baja",'Mapa final'!$AK$26="Moderado"),CONCATENATE("R5C",'Mapa final'!$Y$26),"")</f>
        <v/>
      </c>
      <c r="Z50" s="65" t="str">
        <f>IF(AND('Mapa final'!$AI$27="Muy Baja",'Mapa final'!$AK$27="Moderado"),CONCATENATE("R5C",'Mapa final'!$Y$27),"")</f>
        <v/>
      </c>
      <c r="AA50" s="66" t="str">
        <f>IF(AND('Mapa final'!$AI$28="Muy Baja",'Mapa final'!$AK$28="Moderado"),CONCATENATE("R5C",'Mapa final'!$Y$28),"")</f>
        <v/>
      </c>
      <c r="AB50" s="49" t="str">
        <f>IF(AND('Mapa final'!$AI$23="Muy Baja",'Mapa final'!$AK$23="Mayor"),CONCATENATE("R5C",'Mapa final'!$Y$23),"")</f>
        <v/>
      </c>
      <c r="AC50" s="50" t="str">
        <f>IF(AND('Mapa final'!$AI$24="Muy Baja",'Mapa final'!$AK$24="Mayor"),CONCATENATE("R5C",'Mapa final'!$Y$24),"")</f>
        <v/>
      </c>
      <c r="AD50" s="50" t="str">
        <f>IF(AND('Mapa final'!$AI$25="Muy Baja",'Mapa final'!$AK$25="Mayor"),CONCATENATE("R5C",'Mapa final'!$Y$25),"")</f>
        <v/>
      </c>
      <c r="AE50" s="50" t="str">
        <f>IF(AND('Mapa final'!$AI$26="Muy Baja",'Mapa final'!$AK$26="Mayor"),CONCATENATE("R5C",'Mapa final'!$Y$26),"")</f>
        <v/>
      </c>
      <c r="AF50" s="50" t="str">
        <f>IF(AND('Mapa final'!$AI$27="Muy Baja",'Mapa final'!$AK$27="Mayor"),CONCATENATE("R5C",'Mapa final'!$Y$27),"")</f>
        <v/>
      </c>
      <c r="AG50" s="51" t="str">
        <f>IF(AND('Mapa final'!$AI$28="Muy Baja",'Mapa final'!$AK$28="Mayor"),CONCATENATE("R5C",'Mapa final'!$Y$28),"")</f>
        <v/>
      </c>
      <c r="AH50" s="52" t="str">
        <f>IF(AND('Mapa final'!$AI$23="Muy Baja",'Mapa final'!$AK$23="Catastrófico"),CONCATENATE("R5C",'Mapa final'!$Y$23),"")</f>
        <v/>
      </c>
      <c r="AI50" s="53" t="str">
        <f>IF(AND('Mapa final'!$AI$24="Muy Baja",'Mapa final'!$AK$24="Catastrófico"),CONCATENATE("R5C",'Mapa final'!$Y$24),"")</f>
        <v/>
      </c>
      <c r="AJ50" s="53" t="str">
        <f>IF(AND('Mapa final'!$AI$25="Muy Baja",'Mapa final'!$AK$25="Catastrófico"),CONCATENATE("R5C",'Mapa final'!$Y$25),"")</f>
        <v/>
      </c>
      <c r="AK50" s="53" t="str">
        <f>IF(AND('Mapa final'!$AI$26="Muy Baja",'Mapa final'!$AK$26="Catastrófico"),CONCATENATE("R5C",'Mapa final'!$Y$26),"")</f>
        <v/>
      </c>
      <c r="AL50" s="53" t="str">
        <f>IF(AND('Mapa final'!$AI$27="Muy Baja",'Mapa final'!$AK$27="Catastrófico"),CONCATENATE("R5C",'Mapa final'!$Y$27),"")</f>
        <v/>
      </c>
      <c r="AM50" s="54" t="str">
        <f>IF(AND('Mapa final'!$AI$28="Muy Baja",'Mapa final'!$AK$28="Catastrófico"),CONCATENATE("R5C",'Mapa final'!$Y$28),"")</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385"/>
      <c r="C51" s="385"/>
      <c r="D51" s="386"/>
      <c r="E51" s="426"/>
      <c r="F51" s="427"/>
      <c r="G51" s="427"/>
      <c r="H51" s="427"/>
      <c r="I51" s="428"/>
      <c r="J51" s="73" t="str">
        <f>IF(AND('Mapa final'!$AI$29="Muy Baja",'Mapa final'!$AK$29="Leve"),CONCATENATE("R6C",'Mapa final'!$Y$29),"")</f>
        <v/>
      </c>
      <c r="K51" s="74" t="str">
        <f>IF(AND('Mapa final'!$AI$30="Muy Baja",'Mapa final'!$AK$30="Leve"),CONCATENATE("R6C",'Mapa final'!$Y$30),"")</f>
        <v/>
      </c>
      <c r="L51" s="74" t="str">
        <f>IF(AND('Mapa final'!$AI$31="Muy Baja",'Mapa final'!$AK$31="Leve"),CONCATENATE("R6C",'Mapa final'!$Y$31),"")</f>
        <v/>
      </c>
      <c r="M51" s="74" t="str">
        <f>IF(AND('Mapa final'!$AI$32="Muy Baja",'Mapa final'!$AK$32="Leve"),CONCATENATE("R6C",'Mapa final'!$Y$32),"")</f>
        <v/>
      </c>
      <c r="N51" s="74" t="str">
        <f>IF(AND('Mapa final'!$AI$33="Muy Baja",'Mapa final'!$AK$33="Leve"),CONCATENATE("R6C",'Mapa final'!$Y$33),"")</f>
        <v/>
      </c>
      <c r="O51" s="75" t="str">
        <f>IF(AND('Mapa final'!$AI$34="Muy Baja",'Mapa final'!$AK$34="Leve"),CONCATENATE("R6C",'Mapa final'!$Y$34),"")</f>
        <v/>
      </c>
      <c r="P51" s="73" t="str">
        <f>IF(AND('Mapa final'!$AI$29="Muy Baja",'Mapa final'!$AK$29="Menor"),CONCATENATE("R6C",'Mapa final'!$Y$29),"")</f>
        <v/>
      </c>
      <c r="Q51" s="74" t="str">
        <f>IF(AND('Mapa final'!$AI$30="Muy Baja",'Mapa final'!$AK$30="Menor"),CONCATENATE("R6C",'Mapa final'!$Y$30),"")</f>
        <v/>
      </c>
      <c r="R51" s="74" t="str">
        <f>IF(AND('Mapa final'!$AI$31="Muy Baja",'Mapa final'!$AK$31="Menor"),CONCATENATE("R6C",'Mapa final'!$Y$31),"")</f>
        <v/>
      </c>
      <c r="S51" s="74" t="str">
        <f>IF(AND('Mapa final'!$AI$32="Muy Baja",'Mapa final'!$AK$32="Menor"),CONCATENATE("R6C",'Mapa final'!$Y$32),"")</f>
        <v/>
      </c>
      <c r="T51" s="74" t="str">
        <f>IF(AND('Mapa final'!$AI$33="Muy Baja",'Mapa final'!$AK$33="Menor"),CONCATENATE("R6C",'Mapa final'!$Y$33),"")</f>
        <v/>
      </c>
      <c r="U51" s="75" t="str">
        <f>IF(AND('Mapa final'!$AI$34="Muy Baja",'Mapa final'!$AK$34="Menor"),CONCATENATE("R6C",'Mapa final'!$Y$34),"")</f>
        <v/>
      </c>
      <c r="V51" s="64" t="str">
        <f>IF(AND('Mapa final'!$AI$29="Muy Baja",'Mapa final'!$AK$29="Moderado"),CONCATENATE("R6C",'Mapa final'!$Y$29),"")</f>
        <v/>
      </c>
      <c r="W51" s="65" t="str">
        <f>IF(AND('Mapa final'!$AI$30="Muy Baja",'Mapa final'!$AK$30="Moderado"),CONCATENATE("R6C",'Mapa final'!$Y$30),"")</f>
        <v/>
      </c>
      <c r="X51" s="65" t="str">
        <f>IF(AND('Mapa final'!$AI$31="Muy Baja",'Mapa final'!$AK$31="Moderado"),CONCATENATE("R6C",'Mapa final'!$Y$31),"")</f>
        <v/>
      </c>
      <c r="Y51" s="65" t="str">
        <f>IF(AND('Mapa final'!$AI$32="Muy Baja",'Mapa final'!$AK$32="Moderado"),CONCATENATE("R6C",'Mapa final'!$Y$32),"")</f>
        <v/>
      </c>
      <c r="Z51" s="65" t="str">
        <f>IF(AND('Mapa final'!$AI$33="Muy Baja",'Mapa final'!$AK$33="Moderado"),CONCATENATE("R6C",'Mapa final'!$Y$33),"")</f>
        <v/>
      </c>
      <c r="AA51" s="66" t="str">
        <f>IF(AND('Mapa final'!$AI$34="Muy Baja",'Mapa final'!$AK$34="Moderado"),CONCATENATE("R6C",'Mapa final'!$Y$34),"")</f>
        <v/>
      </c>
      <c r="AB51" s="49" t="str">
        <f>IF(AND('Mapa final'!$AI$29="Muy Baja",'Mapa final'!$AK$29="Mayor"),CONCATENATE("R6C",'Mapa final'!$Y$29),"")</f>
        <v/>
      </c>
      <c r="AC51" s="50" t="str">
        <f>IF(AND('Mapa final'!$AI$30="Muy Baja",'Mapa final'!$AK$30="Mayor"),CONCATENATE("R6C",'Mapa final'!$Y$30),"")</f>
        <v/>
      </c>
      <c r="AD51" s="50" t="str">
        <f>IF(AND('Mapa final'!$AI$31="Muy Baja",'Mapa final'!$AK$31="Mayor"),CONCATENATE("R6C",'Mapa final'!$Y$31),"")</f>
        <v/>
      </c>
      <c r="AE51" s="50" t="str">
        <f>IF(AND('Mapa final'!$AI$32="Muy Baja",'Mapa final'!$AK$32="Mayor"),CONCATENATE("R6C",'Mapa final'!$Y$32),"")</f>
        <v/>
      </c>
      <c r="AF51" s="50" t="str">
        <f>IF(AND('Mapa final'!$AI$33="Muy Baja",'Mapa final'!$AK$33="Mayor"),CONCATENATE("R6C",'Mapa final'!$Y$33),"")</f>
        <v/>
      </c>
      <c r="AG51" s="51" t="str">
        <f>IF(AND('Mapa final'!$AI$34="Muy Baja",'Mapa final'!$AK$34="Mayor"),CONCATENATE("R6C",'Mapa final'!$Y$34),"")</f>
        <v/>
      </c>
      <c r="AH51" s="52" t="str">
        <f>IF(AND('Mapa final'!$AI$29="Muy Baja",'Mapa final'!$AK$29="Catastrófico"),CONCATENATE("R6C",'Mapa final'!$Y$29),"")</f>
        <v/>
      </c>
      <c r="AI51" s="53" t="str">
        <f>IF(AND('Mapa final'!$AI$30="Muy Baja",'Mapa final'!$AK$30="Catastrófico"),CONCATENATE("R6C",'Mapa final'!$Y$30),"")</f>
        <v/>
      </c>
      <c r="AJ51" s="53" t="str">
        <f>IF(AND('Mapa final'!$AI$31="Muy Baja",'Mapa final'!$AK$31="Catastrófico"),CONCATENATE("R6C",'Mapa final'!$Y$31),"")</f>
        <v/>
      </c>
      <c r="AK51" s="53" t="str">
        <f>IF(AND('Mapa final'!$AI$32="Muy Baja",'Mapa final'!$AK$32="Catastrófico"),CONCATENATE("R6C",'Mapa final'!$Y$32),"")</f>
        <v/>
      </c>
      <c r="AL51" s="53" t="str">
        <f>IF(AND('Mapa final'!$AI$33="Muy Baja",'Mapa final'!$AK$33="Catastrófico"),CONCATENATE("R6C",'Mapa final'!$Y$33),"")</f>
        <v/>
      </c>
      <c r="AM51" s="54" t="str">
        <f>IF(AND('Mapa final'!$AI$34="Muy Baja",'Mapa final'!$AK$34="Catastrófico"),CONCATENATE("R6C",'Mapa final'!$Y$34),"")</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385"/>
      <c r="C52" s="385"/>
      <c r="D52" s="386"/>
      <c r="E52" s="426"/>
      <c r="F52" s="427"/>
      <c r="G52" s="427"/>
      <c r="H52" s="427"/>
      <c r="I52" s="428"/>
      <c r="J52" s="73" t="str">
        <f>IF(AND('Mapa final'!$AI$35="Muy Baja",'Mapa final'!$AK$35="Leve"),CONCATENATE("R7C",'Mapa final'!$Y$35),"")</f>
        <v/>
      </c>
      <c r="K52" s="74" t="str">
        <f>IF(AND('Mapa final'!$AI$36="Muy Baja",'Mapa final'!$AK$36="Leve"),CONCATENATE("R7C",'Mapa final'!$Y$36),"")</f>
        <v/>
      </c>
      <c r="L52" s="74" t="str">
        <f>IF(AND('Mapa final'!$AI$37="Muy Baja",'Mapa final'!$AK$37="Leve"),CONCATENATE("R7C",'Mapa final'!$Y$37),"")</f>
        <v/>
      </c>
      <c r="M52" s="74" t="str">
        <f>IF(AND('Mapa final'!$AI$38="Muy Baja",'Mapa final'!$AK$38="Leve"),CONCATENATE("R7C",'Mapa final'!$Y$38),"")</f>
        <v/>
      </c>
      <c r="N52" s="74" t="str">
        <f>IF(AND('Mapa final'!$AI$39="Muy Baja",'Mapa final'!$AK$39="Leve"),CONCATENATE("R7C",'Mapa final'!$Y$39),"")</f>
        <v/>
      </c>
      <c r="O52" s="75" t="str">
        <f>IF(AND('Mapa final'!$AI$40="Muy Baja",'Mapa final'!$AK$40="Leve"),CONCATENATE("R7C",'Mapa final'!$Y$40),"")</f>
        <v/>
      </c>
      <c r="P52" s="73" t="str">
        <f>IF(AND('Mapa final'!$AI$35="Muy Baja",'Mapa final'!$AK$35="Menor"),CONCATENATE("R7C",'Mapa final'!$Y$35),"")</f>
        <v/>
      </c>
      <c r="Q52" s="74" t="str">
        <f>IF(AND('Mapa final'!$AI$36="Muy Baja",'Mapa final'!$AK$36="Menor"),CONCATENATE("R7C",'Mapa final'!$Y$36),"")</f>
        <v/>
      </c>
      <c r="R52" s="74" t="str">
        <f>IF(AND('Mapa final'!$AI$37="Muy Baja",'Mapa final'!$AK$37="Menor"),CONCATENATE("R7C",'Mapa final'!$Y$37),"")</f>
        <v/>
      </c>
      <c r="S52" s="74" t="str">
        <f>IF(AND('Mapa final'!$AI$38="Muy Baja",'Mapa final'!$AK$38="Menor"),CONCATENATE("R7C",'Mapa final'!$Y$38),"")</f>
        <v/>
      </c>
      <c r="T52" s="74" t="str">
        <f>IF(AND('Mapa final'!$AI$39="Muy Baja",'Mapa final'!$AK$39="Menor"),CONCATENATE("R7C",'Mapa final'!$Y$39),"")</f>
        <v/>
      </c>
      <c r="U52" s="75" t="str">
        <f>IF(AND('Mapa final'!$AI$40="Muy Baja",'Mapa final'!$AK$40="Menor"),CONCATENATE("R7C",'Mapa final'!$Y$40),"")</f>
        <v/>
      </c>
      <c r="V52" s="64" t="str">
        <f>IF(AND('Mapa final'!$AI$35="Muy Baja",'Mapa final'!$AK$35="Moderado"),CONCATENATE("R7C",'Mapa final'!$Y$35),"")</f>
        <v/>
      </c>
      <c r="W52" s="65" t="str">
        <f>IF(AND('Mapa final'!$AI$36="Muy Baja",'Mapa final'!$AK$36="Moderado"),CONCATENATE("R7C",'Mapa final'!$Y$36),"")</f>
        <v/>
      </c>
      <c r="X52" s="65" t="str">
        <f>IF(AND('Mapa final'!$AI$37="Muy Baja",'Mapa final'!$AK$37="Moderado"),CONCATENATE("R7C",'Mapa final'!$Y$37),"")</f>
        <v/>
      </c>
      <c r="Y52" s="65" t="str">
        <f>IF(AND('Mapa final'!$AI$38="Muy Baja",'Mapa final'!$AK$38="Moderado"),CONCATENATE("R7C",'Mapa final'!$Y$38),"")</f>
        <v/>
      </c>
      <c r="Z52" s="65" t="str">
        <f>IF(AND('Mapa final'!$AI$39="Muy Baja",'Mapa final'!$AK$39="Moderado"),CONCATENATE("R7C",'Mapa final'!$Y$39),"")</f>
        <v/>
      </c>
      <c r="AA52" s="66" t="str">
        <f>IF(AND('Mapa final'!$AI$40="Muy Baja",'Mapa final'!$AK$40="Moderado"),CONCATENATE("R7C",'Mapa final'!$Y$40),"")</f>
        <v/>
      </c>
      <c r="AB52" s="49" t="str">
        <f>IF(AND('Mapa final'!$AI$35="Muy Baja",'Mapa final'!$AK$35="Mayor"),CONCATENATE("R7C",'Mapa final'!$Y$35),"")</f>
        <v/>
      </c>
      <c r="AC52" s="50" t="str">
        <f>IF(AND('Mapa final'!$AI$36="Muy Baja",'Mapa final'!$AK$36="Mayor"),CONCATENATE("R7C",'Mapa final'!$Y$36),"")</f>
        <v/>
      </c>
      <c r="AD52" s="50" t="str">
        <f>IF(AND('Mapa final'!$AI$37="Muy Baja",'Mapa final'!$AK$37="Mayor"),CONCATENATE("R7C",'Mapa final'!$Y$37),"")</f>
        <v/>
      </c>
      <c r="AE52" s="50" t="str">
        <f>IF(AND('Mapa final'!$AI$38="Muy Baja",'Mapa final'!$AK$38="Mayor"),CONCATENATE("R7C",'Mapa final'!$Y$38),"")</f>
        <v/>
      </c>
      <c r="AF52" s="50" t="str">
        <f>IF(AND('Mapa final'!$AI$39="Muy Baja",'Mapa final'!$AK$39="Mayor"),CONCATENATE("R7C",'Mapa final'!$Y$39),"")</f>
        <v/>
      </c>
      <c r="AG52" s="51" t="str">
        <f>IF(AND('Mapa final'!$AI$40="Muy Baja",'Mapa final'!$AK$40="Mayor"),CONCATENATE("R7C",'Mapa final'!$Y$40),"")</f>
        <v/>
      </c>
      <c r="AH52" s="52" t="str">
        <f>IF(AND('Mapa final'!$AI$35="Muy Baja",'Mapa final'!$AK$35="Catastrófico"),CONCATENATE("R7C",'Mapa final'!$Y$35),"")</f>
        <v/>
      </c>
      <c r="AI52" s="53" t="str">
        <f>IF(AND('Mapa final'!$AI$36="Muy Baja",'Mapa final'!$AK$36="Catastrófico"),CONCATENATE("R7C",'Mapa final'!$Y$36),"")</f>
        <v/>
      </c>
      <c r="AJ52" s="53" t="str">
        <f>IF(AND('Mapa final'!$AI$37="Muy Baja",'Mapa final'!$AK$37="Catastrófico"),CONCATENATE("R7C",'Mapa final'!$Y$37),"")</f>
        <v/>
      </c>
      <c r="AK52" s="53" t="str">
        <f>IF(AND('Mapa final'!$AI$38="Muy Baja",'Mapa final'!$AK$38="Catastrófico"),CONCATENATE("R7C",'Mapa final'!$Y$38),"")</f>
        <v/>
      </c>
      <c r="AL52" s="53" t="str">
        <f>IF(AND('Mapa final'!$AI$39="Muy Baja",'Mapa final'!$AK$39="Catastrófico"),CONCATENATE("R7C",'Mapa final'!$Y$39),"")</f>
        <v/>
      </c>
      <c r="AM52" s="54" t="str">
        <f>IF(AND('Mapa final'!$AI$40="Muy Baja",'Mapa final'!$AK$40="Catastrófico"),CONCATENATE("R7C",'Mapa final'!$Y$40),"")</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385"/>
      <c r="C53" s="385"/>
      <c r="D53" s="386"/>
      <c r="E53" s="426"/>
      <c r="F53" s="427"/>
      <c r="G53" s="427"/>
      <c r="H53" s="427"/>
      <c r="I53" s="428"/>
      <c r="J53" s="73" t="str">
        <f>IF(AND('Mapa final'!$AI$41="Muy Baja",'Mapa final'!$AK$41="Leve"),CONCATENATE("R8C",'Mapa final'!$Y$41),"")</f>
        <v/>
      </c>
      <c r="K53" s="74" t="str">
        <f>IF(AND('Mapa final'!$AI$42="Muy Baja",'Mapa final'!$AK$42="Leve"),CONCATENATE("R8C",'Mapa final'!$Y$42),"")</f>
        <v/>
      </c>
      <c r="L53" s="74" t="str">
        <f>IF(AND('Mapa final'!$AI$43="Muy Baja",'Mapa final'!$AK$43="Leve"),CONCATENATE("R8C",'Mapa final'!$Y$43),"")</f>
        <v/>
      </c>
      <c r="M53" s="74" t="str">
        <f>IF(AND('Mapa final'!$AI$44="Muy Baja",'Mapa final'!$AK$44="Leve"),CONCATENATE("R8C",'Mapa final'!$Y$44),"")</f>
        <v/>
      </c>
      <c r="N53" s="74" t="str">
        <f>IF(AND('Mapa final'!$AI$45="Muy Baja",'Mapa final'!$AK$45="Leve"),CONCATENATE("R8C",'Mapa final'!$Y$45),"")</f>
        <v/>
      </c>
      <c r="O53" s="75" t="str">
        <f>IF(AND('Mapa final'!$AI$46="Muy Baja",'Mapa final'!$AK$46="Leve"),CONCATENATE("R8C",'Mapa final'!$Y$46),"")</f>
        <v/>
      </c>
      <c r="P53" s="73" t="str">
        <f>IF(AND('Mapa final'!$AI$41="Muy Baja",'Mapa final'!$AK$41="Menor"),CONCATENATE("R8C",'Mapa final'!$Y$41),"")</f>
        <v/>
      </c>
      <c r="Q53" s="74" t="str">
        <f>IF(AND('Mapa final'!$AI$42="Muy Baja",'Mapa final'!$AK$42="Menor"),CONCATENATE("R8C",'Mapa final'!$Y$42),"")</f>
        <v/>
      </c>
      <c r="R53" s="74" t="str">
        <f>IF(AND('Mapa final'!$AI$43="Muy Baja",'Mapa final'!$AK$43="Menor"),CONCATENATE("R8C",'Mapa final'!$Y$43),"")</f>
        <v/>
      </c>
      <c r="S53" s="74" t="str">
        <f>IF(AND('Mapa final'!$AI$44="Muy Baja",'Mapa final'!$AK$44="Menor"),CONCATENATE("R8C",'Mapa final'!$Y$44),"")</f>
        <v/>
      </c>
      <c r="T53" s="74" t="str">
        <f>IF(AND('Mapa final'!$AI$45="Muy Baja",'Mapa final'!$AK$45="Menor"),CONCATENATE("R8C",'Mapa final'!$Y$45),"")</f>
        <v/>
      </c>
      <c r="U53" s="75" t="str">
        <f>IF(AND('Mapa final'!$AI$46="Muy Baja",'Mapa final'!$AK$46="Menor"),CONCATENATE("R8C",'Mapa final'!$Y$46),"")</f>
        <v/>
      </c>
      <c r="V53" s="64" t="str">
        <f>IF(AND('Mapa final'!$AI$41="Muy Baja",'Mapa final'!$AK$41="Moderado"),CONCATENATE("R8C",'Mapa final'!$Y$41),"")</f>
        <v/>
      </c>
      <c r="W53" s="65" t="str">
        <f>IF(AND('Mapa final'!$AI$42="Muy Baja",'Mapa final'!$AK$42="Moderado"),CONCATENATE("R8C",'Mapa final'!$Y$42),"")</f>
        <v/>
      </c>
      <c r="X53" s="65" t="str">
        <f>IF(AND('Mapa final'!$AI$43="Muy Baja",'Mapa final'!$AK$43="Moderado"),CONCATENATE("R8C",'Mapa final'!$Y$43),"")</f>
        <v/>
      </c>
      <c r="Y53" s="65" t="str">
        <f>IF(AND('Mapa final'!$AI$44="Muy Baja",'Mapa final'!$AK$44="Moderado"),CONCATENATE("R8C",'Mapa final'!$Y$44),"")</f>
        <v/>
      </c>
      <c r="Z53" s="65" t="str">
        <f>IF(AND('Mapa final'!$AI$45="Muy Baja",'Mapa final'!$AK$45="Moderado"),CONCATENATE("R8C",'Mapa final'!$Y$45),"")</f>
        <v/>
      </c>
      <c r="AA53" s="66" t="str">
        <f>IF(AND('Mapa final'!$AI$46="Muy Baja",'Mapa final'!$AK$46="Moderado"),CONCATENATE("R8C",'Mapa final'!$Y$46),"")</f>
        <v/>
      </c>
      <c r="AB53" s="49" t="str">
        <f>IF(AND('Mapa final'!$AI$41="Muy Baja",'Mapa final'!$AK$41="Mayor"),CONCATENATE("R8C",'Mapa final'!$Y$41),"")</f>
        <v/>
      </c>
      <c r="AC53" s="50" t="str">
        <f>IF(AND('Mapa final'!$AI$42="Muy Baja",'Mapa final'!$AK$42="Mayor"),CONCATENATE("R8C",'Mapa final'!$Y$42),"")</f>
        <v/>
      </c>
      <c r="AD53" s="50" t="str">
        <f>IF(AND('Mapa final'!$AI$43="Muy Baja",'Mapa final'!$AK$43="Mayor"),CONCATENATE("R8C",'Mapa final'!$Y$43),"")</f>
        <v/>
      </c>
      <c r="AE53" s="50" t="str">
        <f>IF(AND('Mapa final'!$AI$44="Muy Baja",'Mapa final'!$AK$44="Mayor"),CONCATENATE("R8C",'Mapa final'!$Y$44),"")</f>
        <v/>
      </c>
      <c r="AF53" s="50" t="str">
        <f>IF(AND('Mapa final'!$AI$45="Muy Baja",'Mapa final'!$AK$45="Mayor"),CONCATENATE("R8C",'Mapa final'!$Y$45),"")</f>
        <v/>
      </c>
      <c r="AG53" s="51" t="str">
        <f>IF(AND('Mapa final'!$AI$46="Muy Baja",'Mapa final'!$AK$46="Mayor"),CONCATENATE("R8C",'Mapa final'!$Y$46),"")</f>
        <v/>
      </c>
      <c r="AH53" s="52" t="str">
        <f>IF(AND('Mapa final'!$AI$41="Muy Baja",'Mapa final'!$AK$41="Catastrófico"),CONCATENATE("R8C",'Mapa final'!$Y$41),"")</f>
        <v/>
      </c>
      <c r="AI53" s="53" t="str">
        <f>IF(AND('Mapa final'!$AI$42="Muy Baja",'Mapa final'!$AK$42="Catastrófico"),CONCATENATE("R8C",'Mapa final'!$Y$42),"")</f>
        <v/>
      </c>
      <c r="AJ53" s="53" t="str">
        <f>IF(AND('Mapa final'!$AI$43="Muy Baja",'Mapa final'!$AK$43="Catastrófico"),CONCATENATE("R8C",'Mapa final'!$Y$43),"")</f>
        <v/>
      </c>
      <c r="AK53" s="53" t="str">
        <f>IF(AND('Mapa final'!$AI$44="Muy Baja",'Mapa final'!$AK$44="Catastrófico"),CONCATENATE("R8C",'Mapa final'!$Y$44),"")</f>
        <v/>
      </c>
      <c r="AL53" s="53" t="str">
        <f>IF(AND('Mapa final'!$AI$45="Muy Baja",'Mapa final'!$AK$45="Catastrófico"),CONCATENATE("R8C",'Mapa final'!$Y$45),"")</f>
        <v/>
      </c>
      <c r="AM53" s="54" t="str">
        <f>IF(AND('Mapa final'!$AI$46="Muy Baja",'Mapa final'!$AK$46="Catastrófico"),CONCATENATE("R8C",'Mapa final'!$Y$46),"")</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385"/>
      <c r="C54" s="385"/>
      <c r="D54" s="386"/>
      <c r="E54" s="426"/>
      <c r="F54" s="427"/>
      <c r="G54" s="427"/>
      <c r="H54" s="427"/>
      <c r="I54" s="428"/>
      <c r="J54" s="73" t="str">
        <f>IF(AND('Mapa final'!$AI$47="Muy Baja",'Mapa final'!$AK$47="Leve"),CONCATENATE("R9C",'Mapa final'!$Y$47),"")</f>
        <v/>
      </c>
      <c r="K54" s="74" t="str">
        <f>IF(AND('Mapa final'!$AI$48="Muy Baja",'Mapa final'!$AK$48="Leve"),CONCATENATE("R9C",'Mapa final'!$Y$48),"")</f>
        <v/>
      </c>
      <c r="L54" s="74" t="str">
        <f>IF(AND('Mapa final'!$AI$49="Muy Baja",'Mapa final'!$AK$49="Leve"),CONCATENATE("R9C",'Mapa final'!$Y$49),"")</f>
        <v/>
      </c>
      <c r="M54" s="74" t="str">
        <f>IF(AND('Mapa final'!$AI$50="Muy Baja",'Mapa final'!$AK$50="Leve"),CONCATENATE("R9C",'Mapa final'!$Y$50),"")</f>
        <v/>
      </c>
      <c r="N54" s="74" t="str">
        <f>IF(AND('Mapa final'!$AI$51="Muy Baja",'Mapa final'!$AK$51="Leve"),CONCATENATE("R9C",'Mapa final'!$Y$51),"")</f>
        <v/>
      </c>
      <c r="O54" s="75" t="str">
        <f>IF(AND('Mapa final'!$AI$52="Muy Baja",'Mapa final'!$AK$52="Leve"),CONCATENATE("R9C",'Mapa final'!$Y$52),"")</f>
        <v/>
      </c>
      <c r="P54" s="73" t="str">
        <f>IF(AND('Mapa final'!$AI$47="Muy Baja",'Mapa final'!$AK$47="Menor"),CONCATENATE("R9C",'Mapa final'!$Y$47),"")</f>
        <v/>
      </c>
      <c r="Q54" s="74" t="str">
        <f>IF(AND('Mapa final'!$AI$48="Muy Baja",'Mapa final'!$AK$48="Menor"),CONCATENATE("R9C",'Mapa final'!$Y$48),"")</f>
        <v/>
      </c>
      <c r="R54" s="74" t="str">
        <f>IF(AND('Mapa final'!$AI$49="Muy Baja",'Mapa final'!$AK$49="Menor"),CONCATENATE("R9C",'Mapa final'!$Y$49),"")</f>
        <v/>
      </c>
      <c r="S54" s="74" t="str">
        <f>IF(AND('Mapa final'!$AI$50="Muy Baja",'Mapa final'!$AK$50="Menor"),CONCATENATE("R9C",'Mapa final'!$Y$50),"")</f>
        <v/>
      </c>
      <c r="T54" s="74" t="str">
        <f>IF(AND('Mapa final'!$AI$51="Muy Baja",'Mapa final'!$AK$51="Menor"),CONCATENATE("R9C",'Mapa final'!$Y$51),"")</f>
        <v/>
      </c>
      <c r="U54" s="75" t="str">
        <f>IF(AND('Mapa final'!$AI$52="Muy Baja",'Mapa final'!$AK$52="Menor"),CONCATENATE("R9C",'Mapa final'!$Y$52),"")</f>
        <v/>
      </c>
      <c r="V54" s="64" t="str">
        <f>IF(AND('Mapa final'!$AI$47="Muy Baja",'Mapa final'!$AK$47="Moderado"),CONCATENATE("R9C",'Mapa final'!$Y$47),"")</f>
        <v/>
      </c>
      <c r="W54" s="65" t="str">
        <f>IF(AND('Mapa final'!$AI$48="Muy Baja",'Mapa final'!$AK$48="Moderado"),CONCATENATE("R9C",'Mapa final'!$Y$48),"")</f>
        <v/>
      </c>
      <c r="X54" s="65" t="str">
        <f>IF(AND('Mapa final'!$AI$49="Muy Baja",'Mapa final'!$AK$49="Moderado"),CONCATENATE("R9C",'Mapa final'!$Y$49),"")</f>
        <v/>
      </c>
      <c r="Y54" s="65" t="str">
        <f>IF(AND('Mapa final'!$AI$50="Muy Baja",'Mapa final'!$AK$50="Moderado"),CONCATENATE("R9C",'Mapa final'!$Y$50),"")</f>
        <v/>
      </c>
      <c r="Z54" s="65" t="str">
        <f>IF(AND('Mapa final'!$AI$51="Muy Baja",'Mapa final'!$AK$51="Moderado"),CONCATENATE("R9C",'Mapa final'!$Y$51),"")</f>
        <v/>
      </c>
      <c r="AA54" s="66" t="str">
        <f>IF(AND('Mapa final'!$AI$52="Muy Baja",'Mapa final'!$AK$52="Moderado"),CONCATENATE("R9C",'Mapa final'!$Y$52),"")</f>
        <v/>
      </c>
      <c r="AB54" s="49" t="str">
        <f>IF(AND('Mapa final'!$AI$47="Muy Baja",'Mapa final'!$AK$47="Mayor"),CONCATENATE("R9C",'Mapa final'!$Y$47),"")</f>
        <v/>
      </c>
      <c r="AC54" s="50" t="str">
        <f>IF(AND('Mapa final'!$AI$48="Muy Baja",'Mapa final'!$AK$48="Mayor"),CONCATENATE("R9C",'Mapa final'!$Y$48),"")</f>
        <v/>
      </c>
      <c r="AD54" s="50" t="str">
        <f>IF(AND('Mapa final'!$AI$49="Muy Baja",'Mapa final'!$AK$49="Mayor"),CONCATENATE("R9C",'Mapa final'!$Y$49),"")</f>
        <v/>
      </c>
      <c r="AE54" s="50" t="str">
        <f>IF(AND('Mapa final'!$AI$50="Muy Baja",'Mapa final'!$AK$50="Mayor"),CONCATENATE("R9C",'Mapa final'!$Y$50),"")</f>
        <v/>
      </c>
      <c r="AF54" s="50" t="str">
        <f>IF(AND('Mapa final'!$AI$51="Muy Baja",'Mapa final'!$AK$51="Mayor"),CONCATENATE("R9C",'Mapa final'!$Y$51),"")</f>
        <v/>
      </c>
      <c r="AG54" s="51" t="str">
        <f>IF(AND('Mapa final'!$AI$52="Muy Baja",'Mapa final'!$AK$52="Mayor"),CONCATENATE("R9C",'Mapa final'!$Y$52),"")</f>
        <v/>
      </c>
      <c r="AH54" s="52" t="str">
        <f>IF(AND('Mapa final'!$AI$47="Muy Baja",'Mapa final'!$AK$47="Catastrófico"),CONCATENATE("R9C",'Mapa final'!$Y$47),"")</f>
        <v/>
      </c>
      <c r="AI54" s="53" t="str">
        <f>IF(AND('Mapa final'!$AI$48="Muy Baja",'Mapa final'!$AK$48="Catastrófico"),CONCATENATE("R9C",'Mapa final'!$Y$48),"")</f>
        <v/>
      </c>
      <c r="AJ54" s="53" t="str">
        <f>IF(AND('Mapa final'!$AI$49="Muy Baja",'Mapa final'!$AK$49="Catastrófico"),CONCATENATE("R9C",'Mapa final'!$Y$49),"")</f>
        <v/>
      </c>
      <c r="AK54" s="53" t="str">
        <f>IF(AND('Mapa final'!$AI$50="Muy Baja",'Mapa final'!$AK$50="Catastrófico"),CONCATENATE("R9C",'Mapa final'!$Y$50),"")</f>
        <v/>
      </c>
      <c r="AL54" s="53" t="str">
        <f>IF(AND('Mapa final'!$AI$51="Muy Baja",'Mapa final'!$AK$51="Catastrófico"),CONCATENATE("R9C",'Mapa final'!$Y$51),"")</f>
        <v/>
      </c>
      <c r="AM54" s="54" t="str">
        <f>IF(AND('Mapa final'!$AI$52="Muy Baja",'Mapa final'!$AK$52="Catastrófico"),CONCATENATE("R9C",'Mapa final'!$Y$52),"")</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385"/>
      <c r="C55" s="385"/>
      <c r="D55" s="386"/>
      <c r="E55" s="429"/>
      <c r="F55" s="430"/>
      <c r="G55" s="430"/>
      <c r="H55" s="430"/>
      <c r="I55" s="431"/>
      <c r="J55" s="76" t="str">
        <f>IF(AND('Mapa final'!$AI$53="Muy Baja",'Mapa final'!$AK$53="Leve"),CONCATENATE("R10C",'Mapa final'!$Y$53),"")</f>
        <v/>
      </c>
      <c r="K55" s="77" t="str">
        <f>IF(AND('Mapa final'!$AI$54="Muy Baja",'Mapa final'!$AK$54="Leve"),CONCATENATE("R10C",'Mapa final'!$Y$54),"")</f>
        <v/>
      </c>
      <c r="L55" s="77" t="str">
        <f>IF(AND('Mapa final'!$AI$55="Muy Baja",'Mapa final'!$AK$55="Leve"),CONCATENATE("R10C",'Mapa final'!$Y$55),"")</f>
        <v/>
      </c>
      <c r="M55" s="77" t="str">
        <f>IF(AND('Mapa final'!$AI$56="Muy Baja",'Mapa final'!$AK$56="Leve"),CONCATENATE("R10C",'Mapa final'!$Y$56),"")</f>
        <v/>
      </c>
      <c r="N55" s="77" t="str">
        <f>IF(AND('Mapa final'!$AI$57="Muy Baja",'Mapa final'!$AK$57="Leve"),CONCATENATE("R10C",'Mapa final'!$Y$57),"")</f>
        <v/>
      </c>
      <c r="O55" s="78" t="str">
        <f>IF(AND('Mapa final'!$AI$58="Muy Baja",'Mapa final'!$AK$58="Leve"),CONCATENATE("R10C",'Mapa final'!$Y$58),"")</f>
        <v/>
      </c>
      <c r="P55" s="76" t="str">
        <f>IF(AND('Mapa final'!$AI$53="Muy Baja",'Mapa final'!$AK$53="Menor"),CONCATENATE("R10C",'Mapa final'!$Y$53),"")</f>
        <v/>
      </c>
      <c r="Q55" s="77" t="str">
        <f>IF(AND('Mapa final'!$AI$54="Muy Baja",'Mapa final'!$AK$54="Menor"),CONCATENATE("R10C",'Mapa final'!$Y$54),"")</f>
        <v/>
      </c>
      <c r="R55" s="77" t="str">
        <f>IF(AND('Mapa final'!$AI$55="Muy Baja",'Mapa final'!$AK$55="Menor"),CONCATENATE("R10C",'Mapa final'!$Y$55),"")</f>
        <v/>
      </c>
      <c r="S55" s="77" t="str">
        <f>IF(AND('Mapa final'!$AI$56="Muy Baja",'Mapa final'!$AK$56="Menor"),CONCATENATE("R10C",'Mapa final'!$Y$56),"")</f>
        <v/>
      </c>
      <c r="T55" s="77" t="str">
        <f>IF(AND('Mapa final'!$AI$57="Muy Baja",'Mapa final'!$AK$57="Menor"),CONCATENATE("R10C",'Mapa final'!$Y$57),"")</f>
        <v/>
      </c>
      <c r="U55" s="78" t="str">
        <f>IF(AND('Mapa final'!$AI$58="Muy Baja",'Mapa final'!$AK$58="Menor"),CONCATENATE("R10C",'Mapa final'!$Y$58),"")</f>
        <v/>
      </c>
      <c r="V55" s="67" t="str">
        <f>IF(AND('Mapa final'!$AI$53="Muy Baja",'Mapa final'!$AK$53="Moderado"),CONCATENATE("R10C",'Mapa final'!$Y$53),"")</f>
        <v/>
      </c>
      <c r="W55" s="68" t="str">
        <f>IF(AND('Mapa final'!$AI$54="Muy Baja",'Mapa final'!$AK$54="Moderado"),CONCATENATE("R10C",'Mapa final'!$Y$54),"")</f>
        <v/>
      </c>
      <c r="X55" s="68" t="str">
        <f>IF(AND('Mapa final'!$AI$55="Muy Baja",'Mapa final'!$AK$55="Moderado"),CONCATENATE("R10C",'Mapa final'!$Y$55),"")</f>
        <v/>
      </c>
      <c r="Y55" s="68" t="str">
        <f>IF(AND('Mapa final'!$AI$56="Muy Baja",'Mapa final'!$AK$56="Moderado"),CONCATENATE("R10C",'Mapa final'!$Y$56),"")</f>
        <v/>
      </c>
      <c r="Z55" s="68" t="str">
        <f>IF(AND('Mapa final'!$AI$57="Muy Baja",'Mapa final'!$AK$57="Moderado"),CONCATENATE("R10C",'Mapa final'!$Y$57),"")</f>
        <v/>
      </c>
      <c r="AA55" s="69" t="str">
        <f>IF(AND('Mapa final'!$AI$58="Muy Baja",'Mapa final'!$AK$58="Moderado"),CONCATENATE("R10C",'Mapa final'!$Y$58),"")</f>
        <v/>
      </c>
      <c r="AB55" s="55" t="str">
        <f>IF(AND('Mapa final'!$AI$53="Muy Baja",'Mapa final'!$AK$53="Mayor"),CONCATENATE("R10C",'Mapa final'!$Y$53),"")</f>
        <v/>
      </c>
      <c r="AC55" s="56" t="str">
        <f>IF(AND('Mapa final'!$AI$54="Muy Baja",'Mapa final'!$AK$54="Mayor"),CONCATENATE("R10C",'Mapa final'!$Y$54),"")</f>
        <v/>
      </c>
      <c r="AD55" s="56" t="str">
        <f>IF(AND('Mapa final'!$AI$55="Muy Baja",'Mapa final'!$AK$55="Mayor"),CONCATENATE("R10C",'Mapa final'!$Y$55),"")</f>
        <v/>
      </c>
      <c r="AE55" s="56" t="str">
        <f>IF(AND('Mapa final'!$AI$56="Muy Baja",'Mapa final'!$AK$56="Mayor"),CONCATENATE("R10C",'Mapa final'!$Y$56),"")</f>
        <v/>
      </c>
      <c r="AF55" s="56" t="str">
        <f>IF(AND('Mapa final'!$AI$57="Muy Baja",'Mapa final'!$AK$57="Mayor"),CONCATENATE("R10C",'Mapa final'!$Y$57),"")</f>
        <v/>
      </c>
      <c r="AG55" s="57" t="str">
        <f>IF(AND('Mapa final'!$AI$58="Muy Baja",'Mapa final'!$AK$58="Mayor"),CONCATENATE("R10C",'Mapa final'!$Y$58),"")</f>
        <v/>
      </c>
      <c r="AH55" s="58" t="str">
        <f>IF(AND('Mapa final'!$AI$53="Muy Baja",'Mapa final'!$AK$53="Catastrófico"),CONCATENATE("R10C",'Mapa final'!$Y$53),"")</f>
        <v/>
      </c>
      <c r="AI55" s="59" t="str">
        <f>IF(AND('Mapa final'!$AI$54="Muy Baja",'Mapa final'!$AK$54="Catastrófico"),CONCATENATE("R10C",'Mapa final'!$Y$54),"")</f>
        <v/>
      </c>
      <c r="AJ55" s="59" t="str">
        <f>IF(AND('Mapa final'!$AI$55="Muy Baja",'Mapa final'!$AK$55="Catastrófico"),CONCATENATE("R10C",'Mapa final'!$Y$55),"")</f>
        <v/>
      </c>
      <c r="AK55" s="59" t="str">
        <f>IF(AND('Mapa final'!$AI$56="Muy Baja",'Mapa final'!$AK$56="Catastrófico"),CONCATENATE("R10C",'Mapa final'!$Y$56),"")</f>
        <v/>
      </c>
      <c r="AL55" s="59" t="str">
        <f>IF(AND('Mapa final'!$AI$57="Muy Baja",'Mapa final'!$AK$57="Catastrófico"),CONCATENATE("R10C",'Mapa final'!$Y$57),"")</f>
        <v/>
      </c>
      <c r="AM55" s="60" t="str">
        <f>IF(AND('Mapa final'!$AI$58="Muy Baja",'Mapa final'!$AK$58="Catastrófico"),CONCATENATE("R10C",'Mapa final'!$Y$58),"")</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23" t="s">
        <v>181</v>
      </c>
      <c r="K56" s="424"/>
      <c r="L56" s="424"/>
      <c r="M56" s="424"/>
      <c r="N56" s="424"/>
      <c r="O56" s="425"/>
      <c r="P56" s="423" t="s">
        <v>182</v>
      </c>
      <c r="Q56" s="424"/>
      <c r="R56" s="424"/>
      <c r="S56" s="424"/>
      <c r="T56" s="424"/>
      <c r="U56" s="425"/>
      <c r="V56" s="423" t="s">
        <v>183</v>
      </c>
      <c r="W56" s="424"/>
      <c r="X56" s="424"/>
      <c r="Y56" s="424"/>
      <c r="Z56" s="424"/>
      <c r="AA56" s="425"/>
      <c r="AB56" s="423" t="s">
        <v>184</v>
      </c>
      <c r="AC56" s="432"/>
      <c r="AD56" s="424"/>
      <c r="AE56" s="424"/>
      <c r="AF56" s="424"/>
      <c r="AG56" s="425"/>
      <c r="AH56" s="423" t="s">
        <v>185</v>
      </c>
      <c r="AI56" s="424"/>
      <c r="AJ56" s="424"/>
      <c r="AK56" s="424"/>
      <c r="AL56" s="424"/>
      <c r="AM56" s="425"/>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26"/>
      <c r="K57" s="427"/>
      <c r="L57" s="427"/>
      <c r="M57" s="427"/>
      <c r="N57" s="427"/>
      <c r="O57" s="428"/>
      <c r="P57" s="426"/>
      <c r="Q57" s="427"/>
      <c r="R57" s="427"/>
      <c r="S57" s="427"/>
      <c r="T57" s="427"/>
      <c r="U57" s="428"/>
      <c r="V57" s="426"/>
      <c r="W57" s="427"/>
      <c r="X57" s="427"/>
      <c r="Y57" s="427"/>
      <c r="Z57" s="427"/>
      <c r="AA57" s="428"/>
      <c r="AB57" s="426"/>
      <c r="AC57" s="427"/>
      <c r="AD57" s="427"/>
      <c r="AE57" s="427"/>
      <c r="AF57" s="427"/>
      <c r="AG57" s="428"/>
      <c r="AH57" s="426"/>
      <c r="AI57" s="427"/>
      <c r="AJ57" s="427"/>
      <c r="AK57" s="427"/>
      <c r="AL57" s="427"/>
      <c r="AM57" s="428"/>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26"/>
      <c r="K58" s="427"/>
      <c r="L58" s="427"/>
      <c r="M58" s="427"/>
      <c r="N58" s="427"/>
      <c r="O58" s="428"/>
      <c r="P58" s="426"/>
      <c r="Q58" s="427"/>
      <c r="R58" s="427"/>
      <c r="S58" s="427"/>
      <c r="T58" s="427"/>
      <c r="U58" s="428"/>
      <c r="V58" s="426"/>
      <c r="W58" s="427"/>
      <c r="X58" s="427"/>
      <c r="Y58" s="427"/>
      <c r="Z58" s="427"/>
      <c r="AA58" s="428"/>
      <c r="AB58" s="426"/>
      <c r="AC58" s="427"/>
      <c r="AD58" s="427"/>
      <c r="AE58" s="427"/>
      <c r="AF58" s="427"/>
      <c r="AG58" s="428"/>
      <c r="AH58" s="426"/>
      <c r="AI58" s="427"/>
      <c r="AJ58" s="427"/>
      <c r="AK58" s="427"/>
      <c r="AL58" s="427"/>
      <c r="AM58" s="428"/>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26"/>
      <c r="K59" s="427"/>
      <c r="L59" s="427"/>
      <c r="M59" s="427"/>
      <c r="N59" s="427"/>
      <c r="O59" s="428"/>
      <c r="P59" s="426"/>
      <c r="Q59" s="427"/>
      <c r="R59" s="427"/>
      <c r="S59" s="427"/>
      <c r="T59" s="427"/>
      <c r="U59" s="428"/>
      <c r="V59" s="426"/>
      <c r="W59" s="427"/>
      <c r="X59" s="427"/>
      <c r="Y59" s="427"/>
      <c r="Z59" s="427"/>
      <c r="AA59" s="428"/>
      <c r="AB59" s="426"/>
      <c r="AC59" s="427"/>
      <c r="AD59" s="427"/>
      <c r="AE59" s="427"/>
      <c r="AF59" s="427"/>
      <c r="AG59" s="428"/>
      <c r="AH59" s="426"/>
      <c r="AI59" s="427"/>
      <c r="AJ59" s="427"/>
      <c r="AK59" s="427"/>
      <c r="AL59" s="427"/>
      <c r="AM59" s="428"/>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26"/>
      <c r="K60" s="427"/>
      <c r="L60" s="427"/>
      <c r="M60" s="427"/>
      <c r="N60" s="427"/>
      <c r="O60" s="428"/>
      <c r="P60" s="426"/>
      <c r="Q60" s="427"/>
      <c r="R60" s="427"/>
      <c r="S60" s="427"/>
      <c r="T60" s="427"/>
      <c r="U60" s="428"/>
      <c r="V60" s="426"/>
      <c r="W60" s="427"/>
      <c r="X60" s="427"/>
      <c r="Y60" s="427"/>
      <c r="Z60" s="427"/>
      <c r="AA60" s="428"/>
      <c r="AB60" s="426"/>
      <c r="AC60" s="427"/>
      <c r="AD60" s="427"/>
      <c r="AE60" s="427"/>
      <c r="AF60" s="427"/>
      <c r="AG60" s="428"/>
      <c r="AH60" s="426"/>
      <c r="AI60" s="427"/>
      <c r="AJ60" s="427"/>
      <c r="AK60" s="427"/>
      <c r="AL60" s="427"/>
      <c r="AM60" s="428"/>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29"/>
      <c r="K61" s="430"/>
      <c r="L61" s="430"/>
      <c r="M61" s="430"/>
      <c r="N61" s="430"/>
      <c r="O61" s="431"/>
      <c r="P61" s="429"/>
      <c r="Q61" s="430"/>
      <c r="R61" s="430"/>
      <c r="S61" s="430"/>
      <c r="T61" s="430"/>
      <c r="U61" s="431"/>
      <c r="V61" s="429"/>
      <c r="W61" s="430"/>
      <c r="X61" s="430"/>
      <c r="Y61" s="430"/>
      <c r="Z61" s="430"/>
      <c r="AA61" s="431"/>
      <c r="AB61" s="429"/>
      <c r="AC61" s="430"/>
      <c r="AD61" s="430"/>
      <c r="AE61" s="430"/>
      <c r="AF61" s="430"/>
      <c r="AG61" s="431"/>
      <c r="AH61" s="429"/>
      <c r="AI61" s="430"/>
      <c r="AJ61" s="430"/>
      <c r="AK61" s="430"/>
      <c r="AL61" s="430"/>
      <c r="AM61" s="431"/>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472" t="s">
        <v>187</v>
      </c>
      <c r="C1" s="472"/>
      <c r="D1" s="472"/>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188</v>
      </c>
      <c r="D3" s="12" t="s">
        <v>102</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189</v>
      </c>
      <c r="C4" s="14" t="s">
        <v>190</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191</v>
      </c>
      <c r="C5" s="17" t="s">
        <v>192</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193</v>
      </c>
      <c r="C6" s="17" t="s">
        <v>194</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195</v>
      </c>
      <c r="C7" s="17" t="s">
        <v>196</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197</v>
      </c>
      <c r="C8" s="17" t="s">
        <v>198</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0"/>
      <c r="C9" s="100"/>
      <c r="D9" s="10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1"/>
      <c r="C10" s="100"/>
      <c r="D10" s="10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0"/>
      <c r="C11" s="100"/>
      <c r="D11" s="10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0"/>
      <c r="C12" s="100"/>
      <c r="D12" s="10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0"/>
      <c r="C13" s="100"/>
      <c r="D13" s="10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0"/>
      <c r="C14" s="100"/>
      <c r="D14" s="10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0"/>
      <c r="C15" s="100"/>
      <c r="D15" s="10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0"/>
      <c r="C16" s="100"/>
      <c r="D16" s="10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0"/>
      <c r="C17" s="100"/>
      <c r="D17" s="10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0"/>
      <c r="C18" s="100"/>
      <c r="D18" s="10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73" t="s">
        <v>199</v>
      </c>
      <c r="C1" s="473"/>
      <c r="D1" s="473"/>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97"/>
      <c r="C3" s="33" t="s">
        <v>200</v>
      </c>
      <c r="D3" s="33" t="s">
        <v>201</v>
      </c>
      <c r="E3" s="80"/>
      <c r="F3" s="80"/>
      <c r="G3" s="80"/>
      <c r="H3" s="80"/>
      <c r="I3" s="80"/>
      <c r="J3" s="80"/>
      <c r="K3" s="80"/>
      <c r="L3" s="80"/>
      <c r="M3" s="80"/>
      <c r="N3" s="80"/>
      <c r="O3" s="80"/>
      <c r="P3" s="80"/>
      <c r="Q3" s="80"/>
      <c r="R3" s="80"/>
      <c r="S3" s="80"/>
      <c r="T3" s="80"/>
      <c r="U3" s="80"/>
    </row>
    <row r="4" spans="1:21" ht="33.75" x14ac:dyDescent="0.25">
      <c r="A4" s="96" t="s">
        <v>202</v>
      </c>
      <c r="B4" s="36" t="s">
        <v>203</v>
      </c>
      <c r="C4" s="41" t="s">
        <v>204</v>
      </c>
      <c r="D4" s="34" t="s">
        <v>205</v>
      </c>
      <c r="E4" s="80"/>
      <c r="F4" s="80"/>
      <c r="G4" s="80"/>
      <c r="H4" s="80"/>
      <c r="I4" s="80"/>
      <c r="J4" s="80"/>
      <c r="K4" s="80"/>
      <c r="L4" s="80"/>
      <c r="M4" s="80"/>
      <c r="N4" s="80"/>
      <c r="O4" s="80"/>
      <c r="P4" s="80"/>
      <c r="Q4" s="80"/>
      <c r="R4" s="80"/>
      <c r="S4" s="80"/>
      <c r="T4" s="80"/>
      <c r="U4" s="80"/>
    </row>
    <row r="5" spans="1:21" ht="101.25" x14ac:dyDescent="0.25">
      <c r="A5" s="96" t="s">
        <v>206</v>
      </c>
      <c r="B5" s="37" t="s">
        <v>207</v>
      </c>
      <c r="C5" s="42" t="s">
        <v>208</v>
      </c>
      <c r="D5" s="35" t="s">
        <v>209</v>
      </c>
      <c r="E5" s="80"/>
      <c r="F5" s="80"/>
      <c r="G5" s="80"/>
      <c r="H5" s="80"/>
      <c r="I5" s="80"/>
      <c r="J5" s="80"/>
      <c r="K5" s="80"/>
      <c r="L5" s="80"/>
      <c r="M5" s="80"/>
      <c r="N5" s="80"/>
      <c r="O5" s="80"/>
      <c r="P5" s="80"/>
      <c r="Q5" s="80"/>
      <c r="R5" s="80"/>
      <c r="S5" s="80"/>
      <c r="T5" s="80"/>
      <c r="U5" s="80"/>
    </row>
    <row r="6" spans="1:21" ht="67.5" x14ac:dyDescent="0.25">
      <c r="A6" s="96" t="s">
        <v>177</v>
      </c>
      <c r="B6" s="38" t="s">
        <v>210</v>
      </c>
      <c r="C6" s="42" t="s">
        <v>211</v>
      </c>
      <c r="D6" s="35" t="s">
        <v>212</v>
      </c>
      <c r="E6" s="80"/>
      <c r="F6" s="80"/>
      <c r="G6" s="80"/>
      <c r="H6" s="80"/>
      <c r="I6" s="80"/>
      <c r="J6" s="80"/>
      <c r="K6" s="80"/>
      <c r="L6" s="80"/>
      <c r="M6" s="80"/>
      <c r="N6" s="80"/>
      <c r="O6" s="80"/>
      <c r="P6" s="80"/>
      <c r="Q6" s="80"/>
      <c r="R6" s="80"/>
      <c r="S6" s="80"/>
      <c r="T6" s="80"/>
      <c r="U6" s="80"/>
    </row>
    <row r="7" spans="1:21" ht="101.25" x14ac:dyDescent="0.25">
      <c r="A7" s="96" t="s">
        <v>213</v>
      </c>
      <c r="B7" s="39" t="s">
        <v>214</v>
      </c>
      <c r="C7" s="42" t="s">
        <v>215</v>
      </c>
      <c r="D7" s="35" t="s">
        <v>216</v>
      </c>
      <c r="E7" s="80"/>
      <c r="F7" s="80"/>
      <c r="G7" s="80"/>
      <c r="H7" s="80"/>
      <c r="I7" s="80"/>
      <c r="J7" s="80"/>
      <c r="K7" s="80"/>
      <c r="L7" s="80"/>
      <c r="M7" s="80"/>
      <c r="N7" s="80"/>
      <c r="O7" s="80"/>
      <c r="P7" s="80"/>
      <c r="Q7" s="80"/>
      <c r="R7" s="80"/>
      <c r="S7" s="80"/>
      <c r="T7" s="80"/>
      <c r="U7" s="80"/>
    </row>
    <row r="8" spans="1:21" ht="67.5" x14ac:dyDescent="0.25">
      <c r="A8" s="96" t="s">
        <v>217</v>
      </c>
      <c r="B8" s="40" t="s">
        <v>218</v>
      </c>
      <c r="C8" s="42" t="s">
        <v>219</v>
      </c>
      <c r="D8" s="35" t="s">
        <v>220</v>
      </c>
      <c r="E8" s="80"/>
      <c r="F8" s="80"/>
      <c r="G8" s="80"/>
      <c r="H8" s="80"/>
      <c r="I8" s="80"/>
      <c r="J8" s="80"/>
      <c r="K8" s="80"/>
      <c r="L8" s="80"/>
      <c r="M8" s="80"/>
      <c r="N8" s="80"/>
      <c r="O8" s="80"/>
      <c r="P8" s="80"/>
      <c r="Q8" s="80"/>
      <c r="R8" s="80"/>
      <c r="S8" s="80"/>
      <c r="T8" s="80"/>
      <c r="U8" s="80"/>
    </row>
    <row r="9" spans="1:21" ht="20.25" x14ac:dyDescent="0.25">
      <c r="A9" s="96"/>
      <c r="B9" s="96"/>
      <c r="C9" s="98"/>
      <c r="D9" s="98"/>
      <c r="E9" s="80"/>
      <c r="F9" s="80"/>
      <c r="G9" s="80"/>
      <c r="H9" s="80"/>
      <c r="I9" s="80"/>
      <c r="J9" s="80"/>
      <c r="K9" s="80"/>
      <c r="L9" s="80"/>
      <c r="M9" s="80"/>
      <c r="N9" s="80"/>
      <c r="O9" s="80"/>
      <c r="P9" s="80"/>
      <c r="Q9" s="80"/>
      <c r="R9" s="80"/>
      <c r="S9" s="80"/>
      <c r="T9" s="80"/>
      <c r="U9" s="80"/>
    </row>
    <row r="10" spans="1:21" ht="16.5" x14ac:dyDescent="0.25">
      <c r="A10" s="96"/>
      <c r="B10" s="99"/>
      <c r="C10" s="99"/>
      <c r="D10" s="99"/>
      <c r="E10" s="80"/>
      <c r="F10" s="80"/>
      <c r="G10" s="80"/>
      <c r="H10" s="80"/>
      <c r="I10" s="80"/>
      <c r="J10" s="80"/>
      <c r="K10" s="80"/>
      <c r="L10" s="80"/>
      <c r="M10" s="80"/>
      <c r="N10" s="80"/>
      <c r="O10" s="80"/>
      <c r="P10" s="80"/>
      <c r="Q10" s="80"/>
      <c r="R10" s="80"/>
      <c r="S10" s="80"/>
      <c r="T10" s="80"/>
      <c r="U10" s="80"/>
    </row>
    <row r="11" spans="1:21" x14ac:dyDescent="0.25">
      <c r="A11" s="96"/>
      <c r="B11" s="96" t="s">
        <v>221</v>
      </c>
      <c r="C11" s="96" t="s">
        <v>222</v>
      </c>
      <c r="D11" s="96" t="s">
        <v>223</v>
      </c>
      <c r="E11" s="80"/>
      <c r="F11" s="80"/>
      <c r="G11" s="80"/>
      <c r="H11" s="80"/>
      <c r="I11" s="80"/>
      <c r="J11" s="80"/>
      <c r="K11" s="80"/>
      <c r="L11" s="80"/>
      <c r="M11" s="80"/>
      <c r="N11" s="80"/>
      <c r="O11" s="80"/>
      <c r="P11" s="80"/>
      <c r="Q11" s="80"/>
      <c r="R11" s="80"/>
      <c r="S11" s="80"/>
      <c r="T11" s="80"/>
      <c r="U11" s="80"/>
    </row>
    <row r="12" spans="1:21" x14ac:dyDescent="0.25">
      <c r="A12" s="96"/>
      <c r="B12" s="96" t="s">
        <v>224</v>
      </c>
      <c r="C12" s="96" t="s">
        <v>225</v>
      </c>
      <c r="D12" s="96" t="s">
        <v>121</v>
      </c>
      <c r="E12" s="80"/>
      <c r="F12" s="80"/>
      <c r="G12" s="80"/>
      <c r="H12" s="80"/>
      <c r="I12" s="80"/>
      <c r="J12" s="80"/>
      <c r="K12" s="80"/>
      <c r="L12" s="80"/>
      <c r="M12" s="80"/>
      <c r="N12" s="80"/>
      <c r="O12" s="80"/>
      <c r="P12" s="80"/>
      <c r="Q12" s="80"/>
      <c r="R12" s="80"/>
      <c r="S12" s="80"/>
      <c r="T12" s="80"/>
      <c r="U12" s="80"/>
    </row>
    <row r="13" spans="1:21" x14ac:dyDescent="0.25">
      <c r="A13" s="96"/>
      <c r="B13" s="96"/>
      <c r="C13" s="96" t="s">
        <v>226</v>
      </c>
      <c r="D13" s="96" t="s">
        <v>227</v>
      </c>
      <c r="E13" s="80"/>
      <c r="F13" s="80"/>
      <c r="G13" s="80"/>
      <c r="H13" s="80"/>
      <c r="I13" s="80"/>
      <c r="J13" s="80"/>
      <c r="K13" s="80"/>
      <c r="L13" s="80"/>
      <c r="M13" s="80"/>
      <c r="N13" s="80"/>
      <c r="O13" s="80"/>
      <c r="P13" s="80"/>
      <c r="Q13" s="80"/>
      <c r="R13" s="80"/>
      <c r="S13" s="80"/>
      <c r="T13" s="80"/>
      <c r="U13" s="80"/>
    </row>
    <row r="14" spans="1:21" x14ac:dyDescent="0.25">
      <c r="A14" s="96"/>
      <c r="B14" s="96"/>
      <c r="C14" s="96" t="s">
        <v>228</v>
      </c>
      <c r="D14" s="96" t="s">
        <v>229</v>
      </c>
      <c r="E14" s="80"/>
      <c r="F14" s="80"/>
      <c r="G14" s="80"/>
      <c r="H14" s="80"/>
      <c r="I14" s="80"/>
      <c r="J14" s="80"/>
      <c r="K14" s="80"/>
      <c r="L14" s="80"/>
      <c r="M14" s="80"/>
      <c r="N14" s="80"/>
      <c r="O14" s="80"/>
      <c r="P14" s="80"/>
      <c r="Q14" s="80"/>
      <c r="R14" s="80"/>
      <c r="S14" s="80"/>
      <c r="T14" s="80"/>
      <c r="U14" s="80"/>
    </row>
    <row r="15" spans="1:21" x14ac:dyDescent="0.25">
      <c r="A15" s="96"/>
      <c r="B15" s="96"/>
      <c r="C15" s="96" t="s">
        <v>230</v>
      </c>
      <c r="D15" s="96" t="s">
        <v>231</v>
      </c>
      <c r="E15" s="80"/>
      <c r="F15" s="80"/>
      <c r="G15" s="80"/>
      <c r="H15" s="80"/>
      <c r="I15" s="80"/>
      <c r="J15" s="80"/>
      <c r="K15" s="80"/>
      <c r="L15" s="80"/>
      <c r="M15" s="80"/>
      <c r="N15" s="80"/>
      <c r="O15" s="80"/>
      <c r="P15" s="80"/>
      <c r="Q15" s="80"/>
      <c r="R15" s="80"/>
      <c r="S15" s="80"/>
      <c r="T15" s="80"/>
      <c r="U15" s="80"/>
    </row>
    <row r="16" spans="1:21" x14ac:dyDescent="0.25">
      <c r="A16" s="96"/>
      <c r="B16" s="96"/>
      <c r="C16" s="96"/>
      <c r="D16" s="96"/>
      <c r="E16" s="80"/>
      <c r="F16" s="80"/>
      <c r="G16" s="80"/>
      <c r="H16" s="80"/>
      <c r="I16" s="80"/>
      <c r="J16" s="80"/>
      <c r="K16" s="80"/>
      <c r="L16" s="80"/>
      <c r="M16" s="80"/>
      <c r="N16" s="80"/>
      <c r="O16" s="80"/>
    </row>
    <row r="17" spans="1:15" x14ac:dyDescent="0.25">
      <c r="A17" s="96"/>
      <c r="B17" s="96"/>
      <c r="C17" s="96"/>
      <c r="D17" s="96"/>
      <c r="E17" s="80"/>
      <c r="F17" s="80"/>
      <c r="G17" s="80"/>
      <c r="H17" s="80"/>
      <c r="I17" s="80"/>
      <c r="J17" s="80"/>
      <c r="K17" s="80"/>
      <c r="L17" s="80"/>
      <c r="M17" s="80"/>
      <c r="N17" s="80"/>
      <c r="O17" s="80"/>
    </row>
    <row r="18" spans="1:15" x14ac:dyDescent="0.25">
      <c r="A18" s="96"/>
      <c r="B18" s="100"/>
      <c r="C18" s="100"/>
      <c r="D18" s="100"/>
      <c r="E18" s="80"/>
      <c r="F18" s="80"/>
      <c r="G18" s="80"/>
      <c r="H18" s="80"/>
      <c r="I18" s="80"/>
      <c r="J18" s="80"/>
      <c r="K18" s="80"/>
      <c r="L18" s="80"/>
      <c r="M18" s="80"/>
      <c r="N18" s="80"/>
      <c r="O18" s="80"/>
    </row>
    <row r="19" spans="1:15" x14ac:dyDescent="0.25">
      <c r="A19" s="96"/>
      <c r="B19" s="100"/>
      <c r="C19" s="100"/>
      <c r="D19" s="100"/>
      <c r="E19" s="80"/>
      <c r="F19" s="80"/>
      <c r="G19" s="80"/>
      <c r="H19" s="80"/>
      <c r="I19" s="80"/>
      <c r="J19" s="80"/>
      <c r="K19" s="80"/>
      <c r="L19" s="80"/>
      <c r="M19" s="80"/>
      <c r="N19" s="80"/>
      <c r="O19" s="80"/>
    </row>
    <row r="20" spans="1:15" x14ac:dyDescent="0.25">
      <c r="A20" s="96"/>
      <c r="B20" s="100"/>
      <c r="C20" s="100"/>
      <c r="D20" s="100"/>
      <c r="E20" s="80"/>
      <c r="F20" s="80"/>
      <c r="G20" s="80"/>
      <c r="H20" s="80"/>
      <c r="I20" s="80"/>
      <c r="J20" s="80"/>
      <c r="K20" s="80"/>
      <c r="L20" s="80"/>
      <c r="M20" s="80"/>
      <c r="N20" s="80"/>
      <c r="O20" s="80"/>
    </row>
    <row r="21" spans="1:15" x14ac:dyDescent="0.25">
      <c r="A21" s="96"/>
      <c r="B21" s="100"/>
      <c r="C21" s="100"/>
      <c r="D21" s="100"/>
      <c r="E21" s="80"/>
      <c r="F21" s="80"/>
      <c r="G21" s="80"/>
      <c r="H21" s="80"/>
      <c r="I21" s="80"/>
      <c r="J21" s="80"/>
      <c r="K21" s="80"/>
      <c r="L21" s="80"/>
      <c r="M21" s="80"/>
      <c r="N21" s="80"/>
      <c r="O21" s="80"/>
    </row>
    <row r="22" spans="1:15" ht="20.25" x14ac:dyDescent="0.25">
      <c r="A22" s="96"/>
      <c r="B22" s="96"/>
      <c r="C22" s="98"/>
      <c r="D22" s="98"/>
      <c r="E22" s="80"/>
      <c r="F22" s="80"/>
      <c r="G22" s="80"/>
      <c r="H22" s="80"/>
      <c r="I22" s="80"/>
      <c r="J22" s="80"/>
      <c r="K22" s="80"/>
      <c r="L22" s="80"/>
      <c r="M22" s="80"/>
      <c r="N22" s="80"/>
      <c r="O22" s="80"/>
    </row>
    <row r="23" spans="1:15" ht="20.25" x14ac:dyDescent="0.25">
      <c r="A23" s="96"/>
      <c r="B23" s="96"/>
      <c r="C23" s="98"/>
      <c r="D23" s="98"/>
      <c r="E23" s="80"/>
      <c r="F23" s="80"/>
      <c r="G23" s="80"/>
      <c r="H23" s="80"/>
      <c r="I23" s="80"/>
      <c r="J23" s="80"/>
      <c r="K23" s="80"/>
      <c r="L23" s="80"/>
      <c r="M23" s="80"/>
      <c r="N23" s="80"/>
      <c r="O23" s="80"/>
    </row>
    <row r="24" spans="1:15" ht="20.25" x14ac:dyDescent="0.25">
      <c r="A24" s="96"/>
      <c r="B24" s="96"/>
      <c r="C24" s="98"/>
      <c r="D24" s="98"/>
      <c r="E24" s="80"/>
      <c r="F24" s="80"/>
      <c r="G24" s="80"/>
      <c r="H24" s="80"/>
      <c r="I24" s="80"/>
      <c r="J24" s="80"/>
      <c r="K24" s="80"/>
      <c r="L24" s="80"/>
      <c r="M24" s="80"/>
      <c r="N24" s="80"/>
      <c r="O24" s="80"/>
    </row>
    <row r="25" spans="1:15" ht="20.25" x14ac:dyDescent="0.25">
      <c r="A25" s="96"/>
      <c r="B25" s="96"/>
      <c r="C25" s="98"/>
      <c r="D25" s="98"/>
      <c r="E25" s="80"/>
      <c r="F25" s="80"/>
      <c r="G25" s="80"/>
      <c r="H25" s="80"/>
      <c r="I25" s="80"/>
      <c r="J25" s="80"/>
      <c r="K25" s="80"/>
      <c r="L25" s="80"/>
      <c r="M25" s="80"/>
      <c r="N25" s="80"/>
      <c r="O25" s="80"/>
    </row>
    <row r="26" spans="1:15" ht="20.25" x14ac:dyDescent="0.25">
      <c r="A26" s="96"/>
      <c r="B26" s="96"/>
      <c r="C26" s="98"/>
      <c r="D26" s="98"/>
      <c r="E26" s="80"/>
      <c r="F26" s="80"/>
      <c r="G26" s="80"/>
      <c r="H26" s="80"/>
      <c r="I26" s="80"/>
      <c r="J26" s="80"/>
      <c r="K26" s="80"/>
      <c r="L26" s="80"/>
      <c r="M26" s="80"/>
      <c r="N26" s="80"/>
      <c r="O26" s="80"/>
    </row>
    <row r="27" spans="1:15" ht="20.25" x14ac:dyDescent="0.25">
      <c r="A27" s="96"/>
      <c r="B27" s="96"/>
      <c r="C27" s="98"/>
      <c r="D27" s="98"/>
      <c r="E27" s="80"/>
      <c r="F27" s="80"/>
      <c r="G27" s="80"/>
      <c r="H27" s="80"/>
      <c r="I27" s="80"/>
      <c r="J27" s="80"/>
      <c r="K27" s="80"/>
      <c r="L27" s="80"/>
      <c r="M27" s="80"/>
      <c r="N27" s="80"/>
      <c r="O27" s="80"/>
    </row>
    <row r="28" spans="1:15" ht="20.25" x14ac:dyDescent="0.25">
      <c r="A28" s="96"/>
      <c r="B28" s="96"/>
      <c r="C28" s="98"/>
      <c r="D28" s="98"/>
      <c r="E28" s="80"/>
      <c r="F28" s="80"/>
      <c r="G28" s="80"/>
      <c r="H28" s="80"/>
      <c r="I28" s="80"/>
      <c r="J28" s="80"/>
      <c r="K28" s="80"/>
      <c r="L28" s="80"/>
      <c r="M28" s="80"/>
      <c r="N28" s="80"/>
      <c r="O28" s="80"/>
    </row>
    <row r="29" spans="1:15" ht="20.25" x14ac:dyDescent="0.25">
      <c r="A29" s="96"/>
      <c r="B29" s="96"/>
      <c r="C29" s="98"/>
      <c r="D29" s="98"/>
      <c r="E29" s="80"/>
      <c r="F29" s="80"/>
      <c r="G29" s="80"/>
      <c r="H29" s="80"/>
      <c r="I29" s="80"/>
      <c r="J29" s="80"/>
      <c r="K29" s="80"/>
      <c r="L29" s="80"/>
      <c r="M29" s="80"/>
      <c r="N29" s="80"/>
      <c r="O29" s="80"/>
    </row>
    <row r="30" spans="1:15" ht="20.25" x14ac:dyDescent="0.25">
      <c r="A30" s="96"/>
      <c r="B30" s="96"/>
      <c r="C30" s="98"/>
      <c r="D30" s="98"/>
      <c r="E30" s="80"/>
      <c r="F30" s="80"/>
      <c r="G30" s="80"/>
      <c r="H30" s="80"/>
      <c r="I30" s="80"/>
      <c r="J30" s="80"/>
      <c r="K30" s="80"/>
      <c r="L30" s="80"/>
      <c r="M30" s="80"/>
      <c r="N30" s="80"/>
      <c r="O30" s="80"/>
    </row>
    <row r="31" spans="1:15" ht="20.25" x14ac:dyDescent="0.25">
      <c r="A31" s="96"/>
      <c r="B31" s="96"/>
      <c r="C31" s="98"/>
      <c r="D31" s="98"/>
      <c r="E31" s="80"/>
      <c r="F31" s="80"/>
      <c r="G31" s="80"/>
      <c r="H31" s="80"/>
      <c r="I31" s="80"/>
      <c r="J31" s="80"/>
      <c r="K31" s="80"/>
      <c r="L31" s="80"/>
      <c r="M31" s="80"/>
      <c r="N31" s="80"/>
      <c r="O31" s="80"/>
    </row>
    <row r="32" spans="1:15" ht="20.25" x14ac:dyDescent="0.25">
      <c r="A32" s="96"/>
      <c r="B32" s="96"/>
      <c r="C32" s="98"/>
      <c r="D32" s="98"/>
      <c r="E32" s="80"/>
      <c r="F32" s="80"/>
      <c r="G32" s="80"/>
      <c r="H32" s="80"/>
      <c r="I32" s="80"/>
      <c r="J32" s="80"/>
      <c r="K32" s="80"/>
      <c r="L32" s="80"/>
      <c r="M32" s="80"/>
      <c r="N32" s="80"/>
      <c r="O32" s="80"/>
    </row>
    <row r="33" spans="1:15" ht="20.25" x14ac:dyDescent="0.25">
      <c r="A33" s="96"/>
      <c r="B33" s="96"/>
      <c r="C33" s="98"/>
      <c r="D33" s="98"/>
      <c r="E33" s="80"/>
      <c r="F33" s="80"/>
      <c r="G33" s="80"/>
      <c r="H33" s="80"/>
      <c r="I33" s="80"/>
      <c r="J33" s="80"/>
      <c r="K33" s="80"/>
      <c r="L33" s="80"/>
      <c r="M33" s="80"/>
      <c r="N33" s="80"/>
      <c r="O33" s="80"/>
    </row>
    <row r="34" spans="1:15" ht="20.25" x14ac:dyDescent="0.25">
      <c r="A34" s="96"/>
      <c r="B34" s="96"/>
      <c r="C34" s="98"/>
      <c r="D34" s="98"/>
      <c r="E34" s="80"/>
      <c r="F34" s="80"/>
      <c r="G34" s="80"/>
      <c r="H34" s="80"/>
      <c r="I34" s="80"/>
      <c r="J34" s="80"/>
      <c r="K34" s="80"/>
      <c r="L34" s="80"/>
      <c r="M34" s="80"/>
      <c r="N34" s="80"/>
      <c r="O34" s="80"/>
    </row>
    <row r="35" spans="1:15" ht="20.25" x14ac:dyDescent="0.25">
      <c r="A35" s="96"/>
      <c r="B35" s="96"/>
      <c r="C35" s="98"/>
      <c r="D35" s="98"/>
      <c r="E35" s="80"/>
      <c r="F35" s="80"/>
      <c r="G35" s="80"/>
      <c r="H35" s="80"/>
      <c r="I35" s="80"/>
      <c r="J35" s="80"/>
      <c r="K35" s="80"/>
      <c r="L35" s="80"/>
      <c r="M35" s="80"/>
      <c r="N35" s="80"/>
      <c r="O35" s="80"/>
    </row>
    <row r="36" spans="1:15" ht="20.25" x14ac:dyDescent="0.25">
      <c r="A36" s="96"/>
      <c r="B36" s="96"/>
      <c r="C36" s="98"/>
      <c r="D36" s="98"/>
      <c r="E36" s="80"/>
      <c r="F36" s="80"/>
      <c r="G36" s="80"/>
      <c r="H36" s="80"/>
      <c r="I36" s="80"/>
      <c r="J36" s="80"/>
      <c r="K36" s="80"/>
      <c r="L36" s="80"/>
      <c r="M36" s="80"/>
      <c r="N36" s="80"/>
      <c r="O36" s="80"/>
    </row>
    <row r="37" spans="1:15" ht="20.25" x14ac:dyDescent="0.25">
      <c r="A37" s="96"/>
      <c r="B37" s="96"/>
      <c r="C37" s="98"/>
      <c r="D37" s="98"/>
      <c r="E37" s="80"/>
      <c r="F37" s="80"/>
      <c r="G37" s="80"/>
      <c r="H37" s="80"/>
      <c r="I37" s="80"/>
      <c r="J37" s="80"/>
      <c r="K37" s="80"/>
      <c r="L37" s="80"/>
      <c r="M37" s="80"/>
      <c r="N37" s="80"/>
      <c r="O37" s="80"/>
    </row>
    <row r="38" spans="1:15" ht="20.25" x14ac:dyDescent="0.25">
      <c r="A38" s="96"/>
      <c r="B38" s="96"/>
      <c r="C38" s="98"/>
      <c r="D38" s="98"/>
      <c r="E38" s="80"/>
      <c r="F38" s="80"/>
      <c r="G38" s="80"/>
      <c r="H38" s="80"/>
      <c r="I38" s="80"/>
      <c r="J38" s="80"/>
      <c r="K38" s="80"/>
      <c r="L38" s="80"/>
      <c r="M38" s="80"/>
      <c r="N38" s="80"/>
      <c r="O38" s="80"/>
    </row>
    <row r="39" spans="1:15" ht="20.25" x14ac:dyDescent="0.25">
      <c r="A39" s="96"/>
      <c r="B39" s="96"/>
      <c r="C39" s="98"/>
      <c r="D39" s="98"/>
      <c r="E39" s="80"/>
      <c r="F39" s="80"/>
      <c r="G39" s="80"/>
      <c r="H39" s="80"/>
      <c r="I39" s="80"/>
      <c r="J39" s="80"/>
      <c r="K39" s="80"/>
      <c r="L39" s="80"/>
      <c r="M39" s="80"/>
      <c r="N39" s="80"/>
      <c r="O39" s="80"/>
    </row>
    <row r="40" spans="1:15" ht="20.25" x14ac:dyDescent="0.25">
      <c r="A40" s="96"/>
      <c r="B40" s="96"/>
      <c r="C40" s="98"/>
      <c r="D40" s="98"/>
      <c r="E40" s="80"/>
      <c r="F40" s="80"/>
      <c r="G40" s="80"/>
      <c r="H40" s="80"/>
      <c r="I40" s="80"/>
      <c r="J40" s="80"/>
      <c r="K40" s="80"/>
      <c r="L40" s="80"/>
      <c r="M40" s="80"/>
      <c r="N40" s="80"/>
      <c r="O40" s="80"/>
    </row>
    <row r="41" spans="1:15" ht="20.25" x14ac:dyDescent="0.25">
      <c r="A41" s="96"/>
      <c r="B41" s="96"/>
      <c r="C41" s="98"/>
      <c r="D41" s="98"/>
      <c r="E41" s="80"/>
      <c r="F41" s="80"/>
      <c r="G41" s="80"/>
      <c r="H41" s="80"/>
      <c r="I41" s="80"/>
      <c r="J41" s="80"/>
      <c r="K41" s="80"/>
      <c r="L41" s="80"/>
      <c r="M41" s="80"/>
      <c r="N41" s="80"/>
      <c r="O41" s="80"/>
    </row>
    <row r="42" spans="1:15" ht="20.25" x14ac:dyDescent="0.25">
      <c r="A42" s="96"/>
      <c r="B42" s="96"/>
      <c r="C42" s="98"/>
      <c r="D42" s="98"/>
      <c r="E42" s="80"/>
      <c r="F42" s="80"/>
      <c r="G42" s="80"/>
      <c r="H42" s="80"/>
      <c r="I42" s="80"/>
      <c r="J42" s="80"/>
      <c r="K42" s="80"/>
      <c r="L42" s="80"/>
      <c r="M42" s="80"/>
      <c r="N42" s="80"/>
      <c r="O42" s="80"/>
    </row>
    <row r="43" spans="1:15" ht="20.25" x14ac:dyDescent="0.25">
      <c r="A43" s="96"/>
      <c r="B43" s="96"/>
      <c r="C43" s="98"/>
      <c r="D43" s="98"/>
      <c r="E43" s="80"/>
      <c r="F43" s="80"/>
      <c r="G43" s="80"/>
      <c r="H43" s="80"/>
      <c r="I43" s="80"/>
      <c r="J43" s="80"/>
      <c r="K43" s="80"/>
      <c r="L43" s="80"/>
      <c r="M43" s="80"/>
      <c r="N43" s="80"/>
      <c r="O43" s="80"/>
    </row>
    <row r="44" spans="1:15" ht="20.25" x14ac:dyDescent="0.25">
      <c r="A44" s="96"/>
      <c r="B44" s="96"/>
      <c r="C44" s="98"/>
      <c r="D44" s="98"/>
      <c r="E44" s="80"/>
      <c r="F44" s="80"/>
      <c r="G44" s="80"/>
      <c r="H44" s="80"/>
      <c r="I44" s="80"/>
      <c r="J44" s="80"/>
      <c r="K44" s="80"/>
      <c r="L44" s="80"/>
      <c r="M44" s="80"/>
      <c r="N44" s="80"/>
      <c r="O44" s="80"/>
    </row>
    <row r="45" spans="1:15" ht="20.25" x14ac:dyDescent="0.25">
      <c r="A45" s="96"/>
      <c r="B45" s="96"/>
      <c r="C45" s="98"/>
      <c r="D45" s="98"/>
      <c r="E45" s="80"/>
      <c r="F45" s="80"/>
      <c r="G45" s="80"/>
      <c r="H45" s="80"/>
      <c r="I45" s="80"/>
      <c r="J45" s="80"/>
      <c r="K45" s="80"/>
      <c r="L45" s="80"/>
      <c r="M45" s="80"/>
      <c r="N45" s="80"/>
      <c r="O45" s="80"/>
    </row>
    <row r="46" spans="1:15" ht="20.25" x14ac:dyDescent="0.25">
      <c r="A46" s="96"/>
      <c r="B46" s="96"/>
      <c r="C46" s="98"/>
      <c r="D46" s="98"/>
      <c r="E46" s="80"/>
      <c r="F46" s="80"/>
      <c r="G46" s="80"/>
      <c r="H46" s="80"/>
      <c r="I46" s="80"/>
      <c r="J46" s="80"/>
      <c r="K46" s="80"/>
      <c r="L46" s="80"/>
      <c r="M46" s="80"/>
      <c r="N46" s="80"/>
      <c r="O46" s="80"/>
    </row>
    <row r="47" spans="1:15" ht="20.25" x14ac:dyDescent="0.25">
      <c r="A47" s="96"/>
      <c r="B47" s="96"/>
      <c r="C47" s="98"/>
      <c r="D47" s="98"/>
      <c r="E47" s="80"/>
      <c r="F47" s="80"/>
      <c r="G47" s="80"/>
      <c r="H47" s="80"/>
      <c r="I47" s="80"/>
      <c r="J47" s="80"/>
      <c r="K47" s="80"/>
      <c r="L47" s="80"/>
      <c r="M47" s="80"/>
      <c r="N47" s="80"/>
      <c r="O47" s="80"/>
    </row>
    <row r="48" spans="1:15" ht="20.25" x14ac:dyDescent="0.25">
      <c r="A48" s="96"/>
      <c r="B48" s="96"/>
      <c r="C48" s="98"/>
      <c r="D48" s="98"/>
      <c r="E48" s="80"/>
      <c r="F48" s="80"/>
      <c r="G48" s="80"/>
      <c r="H48" s="80"/>
      <c r="I48" s="80"/>
      <c r="J48" s="80"/>
      <c r="K48" s="80"/>
      <c r="L48" s="80"/>
      <c r="M48" s="80"/>
      <c r="N48" s="80"/>
      <c r="O48" s="80"/>
    </row>
    <row r="49" spans="1:15" ht="20.25" x14ac:dyDescent="0.25">
      <c r="A49" s="96"/>
      <c r="B49" s="96"/>
      <c r="C49" s="98"/>
      <c r="D49" s="98"/>
      <c r="E49" s="80"/>
      <c r="F49" s="80"/>
      <c r="G49" s="80"/>
      <c r="H49" s="80"/>
      <c r="I49" s="80"/>
      <c r="J49" s="80"/>
      <c r="K49" s="80"/>
      <c r="L49" s="80"/>
      <c r="M49" s="80"/>
      <c r="N49" s="80"/>
      <c r="O49" s="80"/>
    </row>
    <row r="50" spans="1:15" ht="20.25" x14ac:dyDescent="0.25">
      <c r="A50" s="96"/>
      <c r="B50" s="96"/>
      <c r="C50" s="98"/>
      <c r="D50" s="98"/>
      <c r="E50" s="80"/>
      <c r="F50" s="80"/>
      <c r="G50" s="80"/>
      <c r="H50" s="80"/>
      <c r="I50" s="80"/>
      <c r="J50" s="80"/>
      <c r="K50" s="80"/>
      <c r="L50" s="80"/>
      <c r="M50" s="80"/>
      <c r="N50" s="80"/>
      <c r="O50" s="80"/>
    </row>
    <row r="51" spans="1:15" ht="20.25" x14ac:dyDescent="0.25">
      <c r="A51" s="96"/>
      <c r="B51" s="96"/>
      <c r="C51" s="98"/>
      <c r="D51" s="98"/>
      <c r="E51" s="80"/>
      <c r="F51" s="80"/>
      <c r="G51" s="80"/>
      <c r="H51" s="80"/>
      <c r="I51" s="80"/>
      <c r="J51" s="80"/>
      <c r="K51" s="80"/>
      <c r="L51" s="80"/>
      <c r="M51" s="80"/>
      <c r="N51" s="80"/>
      <c r="O51" s="80"/>
    </row>
    <row r="52" spans="1:15" ht="20.25" x14ac:dyDescent="0.25">
      <c r="A52" s="96"/>
      <c r="B52" s="23"/>
      <c r="C52" s="31"/>
      <c r="D52" s="31"/>
    </row>
    <row r="53" spans="1:15" ht="20.25" x14ac:dyDescent="0.25">
      <c r="A53" s="96"/>
      <c r="B53" s="23"/>
      <c r="C53" s="31"/>
      <c r="D53" s="31"/>
    </row>
    <row r="54" spans="1:15" ht="20.25" x14ac:dyDescent="0.25">
      <c r="A54" s="96"/>
      <c r="B54" s="23"/>
      <c r="C54" s="31"/>
      <c r="D54" s="31"/>
    </row>
    <row r="55" spans="1:15" ht="20.25" x14ac:dyDescent="0.25">
      <c r="A55" s="96"/>
      <c r="B55" s="23"/>
      <c r="C55" s="31"/>
      <c r="D55" s="31"/>
    </row>
    <row r="56" spans="1:15" ht="20.25" x14ac:dyDescent="0.25">
      <c r="A56" s="96"/>
      <c r="B56" s="23"/>
      <c r="C56" s="31"/>
      <c r="D56" s="31"/>
    </row>
    <row r="57" spans="1:15" ht="20.25" x14ac:dyDescent="0.25">
      <c r="A57" s="96"/>
      <c r="B57" s="23"/>
      <c r="C57" s="31"/>
      <c r="D57" s="31"/>
    </row>
    <row r="58" spans="1:15" ht="20.25" x14ac:dyDescent="0.25">
      <c r="A58" s="96"/>
      <c r="B58" s="23"/>
      <c r="C58" s="31"/>
      <c r="D58" s="31"/>
    </row>
    <row r="59" spans="1:15" ht="20.25" x14ac:dyDescent="0.25">
      <c r="A59" s="96"/>
      <c r="B59" s="23"/>
      <c r="C59" s="31"/>
      <c r="D59" s="31"/>
    </row>
    <row r="60" spans="1:15" ht="20.25" x14ac:dyDescent="0.25">
      <c r="A60" s="96"/>
      <c r="B60" s="23"/>
      <c r="C60" s="31"/>
      <c r="D60" s="31"/>
    </row>
    <row r="61" spans="1:15" ht="20.25" x14ac:dyDescent="0.25">
      <c r="A61" s="96"/>
      <c r="B61" s="23"/>
      <c r="C61" s="31"/>
      <c r="D61" s="31"/>
    </row>
    <row r="62" spans="1:15" ht="20.25" x14ac:dyDescent="0.25">
      <c r="A62" s="96"/>
      <c r="B62" s="23"/>
      <c r="C62" s="31"/>
      <c r="D62" s="31"/>
    </row>
    <row r="63" spans="1:15" ht="20.25" x14ac:dyDescent="0.25">
      <c r="A63" s="96"/>
      <c r="B63" s="23"/>
      <c r="C63" s="31"/>
      <c r="D63" s="31"/>
    </row>
    <row r="64" spans="1:15" ht="20.25" x14ac:dyDescent="0.25">
      <c r="A64" s="96"/>
      <c r="B64" s="23"/>
      <c r="C64" s="31"/>
      <c r="D64" s="31"/>
    </row>
    <row r="65" spans="1:4" ht="20.25" x14ac:dyDescent="0.25">
      <c r="A65" s="96"/>
      <c r="B65" s="23"/>
      <c r="C65" s="31"/>
      <c r="D65" s="31"/>
    </row>
    <row r="66" spans="1:4" ht="20.25" x14ac:dyDescent="0.25">
      <c r="A66" s="96"/>
      <c r="B66" s="23"/>
      <c r="C66" s="31"/>
      <c r="D66" s="31"/>
    </row>
    <row r="67" spans="1:4" ht="20.25" x14ac:dyDescent="0.25">
      <c r="A67" s="96"/>
      <c r="B67" s="23"/>
      <c r="C67" s="31"/>
      <c r="D67" s="31"/>
    </row>
    <row r="68" spans="1:4" ht="20.25" x14ac:dyDescent="0.25">
      <c r="A68" s="96"/>
      <c r="B68" s="23"/>
      <c r="C68" s="31"/>
      <c r="D68" s="31"/>
    </row>
    <row r="69" spans="1:4" ht="20.25" x14ac:dyDescent="0.25">
      <c r="A69" s="96"/>
      <c r="B69" s="23"/>
      <c r="C69" s="31"/>
      <c r="D69" s="31"/>
    </row>
    <row r="70" spans="1:4" ht="20.25" x14ac:dyDescent="0.25">
      <c r="A70" s="96"/>
      <c r="B70" s="23"/>
      <c r="C70" s="31"/>
      <c r="D70" s="31"/>
    </row>
    <row r="71" spans="1:4" ht="20.25" x14ac:dyDescent="0.25">
      <c r="A71" s="96"/>
      <c r="B71" s="23"/>
      <c r="C71" s="31"/>
      <c r="D71" s="31"/>
    </row>
    <row r="72" spans="1:4" ht="20.25" x14ac:dyDescent="0.25">
      <c r="A72" s="96"/>
      <c r="B72" s="23"/>
      <c r="C72" s="31"/>
      <c r="D72" s="31"/>
    </row>
    <row r="73" spans="1:4" ht="20.25" x14ac:dyDescent="0.25">
      <c r="A73" s="96"/>
      <c r="B73" s="23"/>
      <c r="C73" s="31"/>
      <c r="D73" s="31"/>
    </row>
    <row r="74" spans="1:4" ht="20.25" x14ac:dyDescent="0.25">
      <c r="A74" s="96"/>
      <c r="B74" s="23"/>
      <c r="C74" s="31"/>
      <c r="D74" s="31"/>
    </row>
    <row r="75" spans="1:4" ht="20.25" x14ac:dyDescent="0.25">
      <c r="A75" s="96"/>
      <c r="B75" s="23"/>
      <c r="C75" s="31"/>
      <c r="D75" s="31"/>
    </row>
    <row r="76" spans="1:4" ht="20.25" x14ac:dyDescent="0.25">
      <c r="A76" s="96"/>
      <c r="B76" s="23"/>
      <c r="C76" s="31"/>
      <c r="D76" s="31"/>
    </row>
    <row r="77" spans="1:4" ht="20.25" x14ac:dyDescent="0.25">
      <c r="A77" s="96"/>
      <c r="B77" s="23"/>
      <c r="C77" s="31"/>
      <c r="D77" s="31"/>
    </row>
    <row r="78" spans="1:4" ht="20.25" x14ac:dyDescent="0.25">
      <c r="A78" s="96"/>
      <c r="B78" s="23"/>
      <c r="C78" s="31"/>
      <c r="D78" s="31"/>
    </row>
    <row r="79" spans="1:4" ht="20.25" x14ac:dyDescent="0.25">
      <c r="A79" s="96"/>
      <c r="B79" s="23"/>
      <c r="C79" s="31"/>
      <c r="D79" s="31"/>
    </row>
    <row r="80" spans="1:4" ht="20.25" x14ac:dyDescent="0.25">
      <c r="A80" s="96"/>
      <c r="B80" s="23"/>
      <c r="C80" s="31"/>
      <c r="D80" s="31"/>
    </row>
    <row r="81" spans="1:4" ht="20.25" x14ac:dyDescent="0.25">
      <c r="A81" s="96"/>
      <c r="B81" s="23"/>
      <c r="C81" s="31"/>
      <c r="D81" s="31"/>
    </row>
    <row r="82" spans="1:4" ht="20.25" x14ac:dyDescent="0.25">
      <c r="A82" s="96"/>
      <c r="B82" s="23"/>
      <c r="C82" s="31"/>
      <c r="D82" s="31"/>
    </row>
    <row r="83" spans="1:4" ht="20.25" x14ac:dyDescent="0.25">
      <c r="A83" s="96"/>
      <c r="B83" s="23"/>
      <c r="C83" s="31"/>
      <c r="D83" s="31"/>
    </row>
    <row r="84" spans="1:4" ht="20.25" x14ac:dyDescent="0.25">
      <c r="A84" s="96"/>
      <c r="B84" s="23"/>
      <c r="C84" s="31"/>
      <c r="D84" s="31"/>
    </row>
    <row r="85" spans="1:4" ht="20.25" x14ac:dyDescent="0.25">
      <c r="A85" s="96"/>
      <c r="B85" s="23"/>
      <c r="C85" s="31"/>
      <c r="D85" s="31"/>
    </row>
    <row r="86" spans="1:4" ht="20.25" x14ac:dyDescent="0.25">
      <c r="A86" s="96"/>
      <c r="B86" s="23"/>
      <c r="C86" s="31"/>
      <c r="D86" s="31"/>
    </row>
    <row r="87" spans="1:4" ht="20.25" x14ac:dyDescent="0.25">
      <c r="A87" s="96"/>
      <c r="B87" s="23"/>
      <c r="C87" s="31"/>
      <c r="D87" s="31"/>
    </row>
    <row r="88" spans="1:4" ht="20.25" x14ac:dyDescent="0.25">
      <c r="A88" s="96"/>
      <c r="B88" s="23"/>
      <c r="C88" s="31"/>
      <c r="D88" s="31"/>
    </row>
    <row r="89" spans="1:4" ht="20.25" x14ac:dyDescent="0.25">
      <c r="A89" s="96"/>
      <c r="B89" s="23"/>
      <c r="C89" s="31"/>
      <c r="D89" s="31"/>
    </row>
    <row r="90" spans="1:4" ht="20.25" x14ac:dyDescent="0.25">
      <c r="A90" s="96"/>
      <c r="B90" s="23"/>
      <c r="C90" s="31"/>
      <c r="D90" s="31"/>
    </row>
    <row r="91" spans="1:4" ht="20.25" x14ac:dyDescent="0.25">
      <c r="A91" s="96"/>
      <c r="B91" s="23"/>
      <c r="C91" s="31"/>
      <c r="D91" s="31"/>
    </row>
    <row r="92" spans="1:4" ht="20.25" x14ac:dyDescent="0.25">
      <c r="A92" s="96"/>
      <c r="B92" s="23"/>
      <c r="C92" s="31"/>
      <c r="D92" s="31"/>
    </row>
    <row r="93" spans="1:4" ht="20.25" x14ac:dyDescent="0.25">
      <c r="A93" s="96"/>
      <c r="B93" s="23"/>
      <c r="C93" s="31"/>
      <c r="D93" s="31"/>
    </row>
    <row r="94" spans="1:4" ht="20.25" x14ac:dyDescent="0.25">
      <c r="A94" s="96"/>
      <c r="B94" s="23"/>
      <c r="C94" s="31"/>
      <c r="D94" s="31"/>
    </row>
    <row r="95" spans="1:4" ht="20.25" x14ac:dyDescent="0.25">
      <c r="A95" s="96"/>
      <c r="B95" s="23"/>
      <c r="C95" s="31"/>
      <c r="D95" s="31"/>
    </row>
    <row r="96" spans="1:4" ht="20.25" x14ac:dyDescent="0.25">
      <c r="A96" s="96"/>
      <c r="B96" s="23"/>
      <c r="C96" s="31"/>
      <c r="D96" s="31"/>
    </row>
    <row r="97" spans="1:4" ht="20.25" x14ac:dyDescent="0.25">
      <c r="A97" s="96"/>
      <c r="B97" s="23"/>
      <c r="C97" s="31"/>
      <c r="D97" s="31"/>
    </row>
    <row r="98" spans="1:4" ht="20.25" x14ac:dyDescent="0.25">
      <c r="A98" s="96"/>
      <c r="B98" s="23"/>
      <c r="C98" s="31"/>
      <c r="D98" s="31"/>
    </row>
    <row r="99" spans="1:4" ht="20.25" x14ac:dyDescent="0.25">
      <c r="A99" s="96"/>
      <c r="B99" s="23"/>
      <c r="C99" s="31"/>
      <c r="D99" s="31"/>
    </row>
    <row r="100" spans="1:4" ht="20.25" x14ac:dyDescent="0.25">
      <c r="A100" s="96"/>
      <c r="B100" s="23"/>
      <c r="C100" s="31"/>
      <c r="D100" s="31"/>
    </row>
    <row r="101" spans="1:4" ht="20.25" x14ac:dyDescent="0.25">
      <c r="A101" s="96"/>
      <c r="B101" s="23"/>
      <c r="C101" s="31"/>
      <c r="D101" s="31"/>
    </row>
    <row r="102" spans="1:4" ht="20.25" x14ac:dyDescent="0.25">
      <c r="A102" s="96"/>
      <c r="B102" s="23"/>
      <c r="C102" s="31"/>
      <c r="D102" s="31"/>
    </row>
    <row r="103" spans="1:4" ht="20.25" x14ac:dyDescent="0.25">
      <c r="A103" s="96"/>
      <c r="B103" s="23"/>
      <c r="C103" s="31"/>
      <c r="D103" s="31"/>
    </row>
    <row r="104" spans="1:4" ht="20.25" x14ac:dyDescent="0.25">
      <c r="A104" s="96"/>
      <c r="B104" s="23"/>
      <c r="C104" s="31"/>
      <c r="D104" s="31"/>
    </row>
    <row r="105" spans="1:4" ht="20.25" x14ac:dyDescent="0.25">
      <c r="A105" s="96"/>
      <c r="B105" s="23"/>
      <c r="C105" s="31"/>
      <c r="D105" s="31"/>
    </row>
    <row r="106" spans="1:4" ht="20.25" x14ac:dyDescent="0.25">
      <c r="A106" s="96"/>
      <c r="B106" s="23"/>
      <c r="C106" s="31"/>
      <c r="D106" s="31"/>
    </row>
    <row r="107" spans="1:4" ht="20.25" x14ac:dyDescent="0.25">
      <c r="A107" s="96"/>
      <c r="B107" s="23"/>
      <c r="C107" s="31"/>
      <c r="D107" s="31"/>
    </row>
    <row r="108" spans="1:4" ht="20.25" x14ac:dyDescent="0.25">
      <c r="A108" s="96"/>
      <c r="B108" s="23"/>
      <c r="C108" s="31"/>
      <c r="D108" s="31"/>
    </row>
    <row r="109" spans="1:4" ht="20.25" x14ac:dyDescent="0.25">
      <c r="A109" s="96"/>
      <c r="B109" s="23"/>
      <c r="C109" s="31"/>
      <c r="D109" s="31"/>
    </row>
    <row r="110" spans="1:4" ht="20.25" x14ac:dyDescent="0.25">
      <c r="A110" s="96"/>
      <c r="B110" s="23"/>
      <c r="C110" s="31"/>
      <c r="D110" s="31"/>
    </row>
    <row r="111" spans="1:4" ht="20.25" x14ac:dyDescent="0.25">
      <c r="A111" s="96"/>
      <c r="B111" s="23"/>
      <c r="C111" s="31"/>
      <c r="D111" s="31"/>
    </row>
    <row r="112" spans="1:4" ht="20.25" x14ac:dyDescent="0.25">
      <c r="A112" s="96"/>
      <c r="B112" s="23"/>
      <c r="C112" s="31"/>
      <c r="D112" s="31"/>
    </row>
    <row r="113" spans="1:4" ht="20.25" x14ac:dyDescent="0.25">
      <c r="A113" s="96"/>
      <c r="B113" s="23"/>
      <c r="C113" s="31"/>
      <c r="D113" s="31"/>
    </row>
    <row r="114" spans="1:4" ht="20.25" x14ac:dyDescent="0.25">
      <c r="A114" s="96"/>
      <c r="B114" s="23"/>
      <c r="C114" s="31"/>
      <c r="D114" s="31"/>
    </row>
    <row r="115" spans="1:4" ht="20.25" x14ac:dyDescent="0.25">
      <c r="A115" s="96"/>
      <c r="B115" s="23"/>
      <c r="C115" s="31"/>
      <c r="D115" s="31"/>
    </row>
    <row r="116" spans="1:4" ht="20.25" x14ac:dyDescent="0.25">
      <c r="A116" s="96"/>
      <c r="B116" s="23"/>
      <c r="C116" s="31"/>
      <c r="D116" s="31"/>
    </row>
    <row r="117" spans="1:4" ht="20.25" x14ac:dyDescent="0.25">
      <c r="A117" s="96"/>
      <c r="B117" s="23"/>
      <c r="C117" s="31"/>
      <c r="D117" s="31"/>
    </row>
    <row r="118" spans="1:4" ht="20.25" x14ac:dyDescent="0.25">
      <c r="A118" s="96"/>
      <c r="B118" s="23"/>
      <c r="C118" s="31"/>
      <c r="D118" s="31"/>
    </row>
    <row r="119" spans="1:4" ht="20.25" x14ac:dyDescent="0.25">
      <c r="A119" s="96"/>
      <c r="B119" s="23"/>
      <c r="C119" s="31"/>
      <c r="D119" s="31"/>
    </row>
    <row r="120" spans="1:4" ht="20.25" x14ac:dyDescent="0.25">
      <c r="A120" s="96"/>
      <c r="B120" s="23"/>
      <c r="C120" s="31"/>
      <c r="D120" s="31"/>
    </row>
    <row r="121" spans="1:4" ht="20.25" x14ac:dyDescent="0.25">
      <c r="A121" s="96"/>
      <c r="B121" s="23"/>
      <c r="C121" s="31"/>
      <c r="D121" s="31"/>
    </row>
    <row r="122" spans="1:4" ht="20.25" x14ac:dyDescent="0.25">
      <c r="A122" s="96"/>
      <c r="B122" s="23"/>
      <c r="C122" s="31"/>
      <c r="D122" s="31"/>
    </row>
    <row r="123" spans="1:4" ht="20.25" x14ac:dyDescent="0.25">
      <c r="A123" s="96"/>
      <c r="B123" s="23"/>
      <c r="C123" s="31"/>
      <c r="D123" s="31"/>
    </row>
    <row r="124" spans="1:4" ht="20.25" x14ac:dyDescent="0.25">
      <c r="A124" s="96"/>
      <c r="B124" s="23"/>
      <c r="C124" s="31"/>
      <c r="D124" s="31"/>
    </row>
    <row r="125" spans="1:4" ht="20.25" x14ac:dyDescent="0.25">
      <c r="A125" s="96"/>
      <c r="B125" s="23"/>
      <c r="C125" s="31"/>
      <c r="D125" s="31"/>
    </row>
    <row r="126" spans="1:4" ht="20.25" x14ac:dyDescent="0.25">
      <c r="A126" s="96"/>
      <c r="B126" s="23"/>
      <c r="C126" s="31"/>
      <c r="D126" s="31"/>
    </row>
    <row r="127" spans="1:4" ht="20.25" x14ac:dyDescent="0.25">
      <c r="A127" s="96"/>
      <c r="B127" s="23"/>
      <c r="C127" s="31"/>
      <c r="D127" s="31"/>
    </row>
    <row r="128" spans="1:4" ht="20.25" x14ac:dyDescent="0.25">
      <c r="A128" s="96"/>
      <c r="B128" s="23"/>
      <c r="C128" s="31"/>
      <c r="D128" s="31"/>
    </row>
    <row r="129" spans="1:4" ht="20.25" x14ac:dyDescent="0.25">
      <c r="A129" s="96"/>
      <c r="B129" s="23"/>
      <c r="C129" s="31"/>
      <c r="D129" s="31"/>
    </row>
    <row r="130" spans="1:4" ht="20.25" x14ac:dyDescent="0.25">
      <c r="A130" s="96"/>
      <c r="B130" s="23"/>
      <c r="C130" s="31"/>
      <c r="D130" s="31"/>
    </row>
    <row r="131" spans="1:4" ht="20.25" x14ac:dyDescent="0.25">
      <c r="A131" s="96"/>
      <c r="B131" s="23"/>
      <c r="C131" s="31"/>
      <c r="D131" s="31"/>
    </row>
    <row r="132" spans="1:4" ht="20.25" x14ac:dyDescent="0.25">
      <c r="A132" s="96"/>
      <c r="B132" s="23"/>
      <c r="C132" s="31"/>
      <c r="D132" s="31"/>
    </row>
    <row r="133" spans="1:4" ht="20.25" x14ac:dyDescent="0.25">
      <c r="A133" s="96"/>
      <c r="B133" s="23"/>
      <c r="C133" s="31"/>
      <c r="D133" s="31"/>
    </row>
    <row r="134" spans="1:4" ht="20.25" x14ac:dyDescent="0.25">
      <c r="A134" s="96"/>
      <c r="B134" s="23"/>
      <c r="C134" s="31"/>
      <c r="D134" s="31"/>
    </row>
    <row r="135" spans="1:4" ht="20.25" x14ac:dyDescent="0.25">
      <c r="A135" s="96"/>
      <c r="B135" s="23"/>
      <c r="C135" s="31"/>
      <c r="D135" s="31"/>
    </row>
    <row r="136" spans="1:4" ht="20.25" x14ac:dyDescent="0.25">
      <c r="A136" s="96"/>
      <c r="B136" s="23"/>
      <c r="C136" s="31"/>
      <c r="D136" s="31"/>
    </row>
    <row r="137" spans="1:4" ht="20.25" x14ac:dyDescent="0.25">
      <c r="A137" s="96"/>
      <c r="B137" s="23"/>
      <c r="C137" s="31"/>
      <c r="D137" s="31"/>
    </row>
    <row r="138" spans="1:4" ht="20.25" x14ac:dyDescent="0.25">
      <c r="A138" s="96"/>
      <c r="B138" s="23"/>
      <c r="C138" s="31"/>
      <c r="D138" s="31"/>
    </row>
    <row r="139" spans="1:4" ht="20.25" x14ac:dyDescent="0.25">
      <c r="A139" s="96"/>
      <c r="B139" s="23"/>
      <c r="C139" s="31"/>
      <c r="D139" s="31"/>
    </row>
    <row r="140" spans="1:4" ht="20.25" x14ac:dyDescent="0.25">
      <c r="A140" s="96"/>
      <c r="B140" s="23"/>
      <c r="C140" s="31"/>
      <c r="D140" s="31"/>
    </row>
    <row r="141" spans="1:4" ht="20.25" x14ac:dyDescent="0.25">
      <c r="A141" s="96"/>
      <c r="B141" s="23"/>
      <c r="C141" s="31"/>
      <c r="D141" s="31"/>
    </row>
    <row r="142" spans="1:4" ht="20.25" x14ac:dyDescent="0.25">
      <c r="A142" s="96"/>
      <c r="B142" s="23"/>
      <c r="C142" s="31"/>
      <c r="D142" s="31"/>
    </row>
    <row r="143" spans="1:4" ht="20.25" x14ac:dyDescent="0.25">
      <c r="A143" s="96"/>
      <c r="B143" s="23"/>
      <c r="C143" s="31"/>
      <c r="D143" s="31"/>
    </row>
    <row r="144" spans="1:4" ht="20.25" x14ac:dyDescent="0.25">
      <c r="A144" s="96"/>
      <c r="B144" s="23"/>
      <c r="C144" s="31"/>
      <c r="D144" s="31"/>
    </row>
    <row r="145" spans="1:4" ht="20.25" x14ac:dyDescent="0.25">
      <c r="A145" s="96"/>
      <c r="B145" s="23"/>
      <c r="C145" s="31"/>
      <c r="D145" s="31"/>
    </row>
    <row r="146" spans="1:4" ht="20.25" x14ac:dyDescent="0.25">
      <c r="A146" s="96"/>
      <c r="B146" s="23"/>
      <c r="C146" s="31"/>
      <c r="D146" s="31"/>
    </row>
    <row r="147" spans="1:4" ht="20.25" x14ac:dyDescent="0.25">
      <c r="A147" s="96"/>
      <c r="B147" s="23"/>
      <c r="C147" s="31"/>
      <c r="D147" s="31"/>
    </row>
    <row r="148" spans="1:4" ht="20.25" x14ac:dyDescent="0.25">
      <c r="A148" s="96"/>
      <c r="B148" s="23"/>
      <c r="C148" s="31"/>
      <c r="D148" s="31"/>
    </row>
    <row r="149" spans="1:4" ht="20.25" x14ac:dyDescent="0.25">
      <c r="A149" s="96"/>
      <c r="B149" s="23"/>
      <c r="C149" s="31"/>
      <c r="D149" s="31"/>
    </row>
    <row r="150" spans="1:4" ht="20.25" x14ac:dyDescent="0.25">
      <c r="A150" s="96"/>
      <c r="B150" s="23"/>
      <c r="C150" s="31"/>
      <c r="D150" s="31"/>
    </row>
    <row r="151" spans="1:4" ht="20.25" x14ac:dyDescent="0.25">
      <c r="A151" s="96"/>
      <c r="B151" s="23"/>
      <c r="C151" s="31"/>
      <c r="D151" s="31"/>
    </row>
    <row r="152" spans="1:4" ht="20.25" x14ac:dyDescent="0.25">
      <c r="A152" s="96"/>
      <c r="B152" s="23"/>
      <c r="C152" s="31"/>
      <c r="D152" s="31"/>
    </row>
    <row r="153" spans="1:4" ht="20.25" x14ac:dyDescent="0.25">
      <c r="A153" s="96"/>
      <c r="B153" s="23"/>
      <c r="C153" s="31"/>
      <c r="D153" s="31"/>
    </row>
    <row r="154" spans="1:4" ht="20.25" x14ac:dyDescent="0.25">
      <c r="A154" s="96"/>
      <c r="B154" s="23"/>
      <c r="C154" s="31"/>
      <c r="D154" s="31"/>
    </row>
    <row r="155" spans="1:4" ht="20.25" x14ac:dyDescent="0.25">
      <c r="A155" s="96"/>
      <c r="B155" s="23"/>
      <c r="C155" s="31"/>
      <c r="D155" s="31"/>
    </row>
    <row r="156" spans="1:4" ht="20.25" x14ac:dyDescent="0.25">
      <c r="A156" s="96"/>
      <c r="B156" s="23"/>
      <c r="C156" s="31"/>
      <c r="D156" s="31"/>
    </row>
    <row r="157" spans="1:4" ht="20.25" x14ac:dyDescent="0.25">
      <c r="A157" s="96"/>
      <c r="B157" s="23"/>
      <c r="C157" s="31"/>
      <c r="D157" s="31"/>
    </row>
    <row r="158" spans="1:4" ht="20.25" x14ac:dyDescent="0.25">
      <c r="A158" s="96"/>
      <c r="B158" s="23"/>
      <c r="C158" s="31"/>
      <c r="D158" s="31"/>
    </row>
    <row r="159" spans="1:4" ht="20.25" x14ac:dyDescent="0.25">
      <c r="A159" s="96"/>
      <c r="B159" s="23"/>
      <c r="C159" s="31"/>
      <c r="D159" s="31"/>
    </row>
    <row r="160" spans="1:4" ht="20.25" x14ac:dyDescent="0.25">
      <c r="A160" s="96"/>
      <c r="B160" s="23"/>
      <c r="C160" s="31"/>
      <c r="D160" s="31"/>
    </row>
    <row r="161" spans="1:4" ht="20.25" x14ac:dyDescent="0.25">
      <c r="A161" s="96"/>
      <c r="B161" s="23"/>
      <c r="C161" s="31"/>
      <c r="D161" s="31"/>
    </row>
    <row r="162" spans="1:4" ht="20.25" x14ac:dyDescent="0.25">
      <c r="A162" s="96"/>
      <c r="B162" s="23"/>
      <c r="C162" s="31"/>
      <c r="D162" s="31"/>
    </row>
    <row r="163" spans="1:4" ht="20.25" x14ac:dyDescent="0.25">
      <c r="A163" s="96"/>
      <c r="B163" s="23"/>
      <c r="C163" s="31"/>
      <c r="D163" s="31"/>
    </row>
    <row r="164" spans="1:4" ht="20.25" x14ac:dyDescent="0.25">
      <c r="A164" s="96"/>
      <c r="B164" s="23"/>
      <c r="C164" s="31"/>
      <c r="D164" s="31"/>
    </row>
    <row r="165" spans="1:4" ht="20.25" x14ac:dyDescent="0.25">
      <c r="A165" s="96"/>
      <c r="B165" s="23"/>
      <c r="C165" s="31"/>
      <c r="D165" s="31"/>
    </row>
    <row r="166" spans="1:4" ht="20.25" x14ac:dyDescent="0.25">
      <c r="A166" s="96"/>
      <c r="B166" s="23"/>
      <c r="C166" s="31"/>
      <c r="D166" s="31"/>
    </row>
    <row r="167" spans="1:4" ht="20.25" x14ac:dyDescent="0.25">
      <c r="A167" s="96"/>
      <c r="B167" s="23"/>
      <c r="C167" s="31"/>
      <c r="D167" s="31"/>
    </row>
    <row r="168" spans="1:4" ht="20.25" x14ac:dyDescent="0.25">
      <c r="A168" s="96"/>
      <c r="B168" s="23"/>
      <c r="C168" s="31"/>
      <c r="D168" s="31"/>
    </row>
    <row r="169" spans="1:4" ht="20.25" x14ac:dyDescent="0.25">
      <c r="A169" s="96"/>
      <c r="B169" s="23"/>
      <c r="C169" s="31"/>
      <c r="D169" s="31"/>
    </row>
    <row r="170" spans="1:4" ht="20.25" x14ac:dyDescent="0.25">
      <c r="A170" s="96"/>
      <c r="B170" s="23"/>
      <c r="C170" s="31"/>
      <c r="D170" s="31"/>
    </row>
    <row r="171" spans="1:4" ht="20.25" x14ac:dyDescent="0.25">
      <c r="A171" s="96"/>
      <c r="B171" s="23"/>
      <c r="C171" s="31"/>
      <c r="D171" s="31"/>
    </row>
    <row r="172" spans="1:4" ht="20.25" x14ac:dyDescent="0.25">
      <c r="A172" s="96"/>
      <c r="B172" s="23"/>
      <c r="C172" s="31"/>
      <c r="D172" s="31"/>
    </row>
    <row r="173" spans="1:4" ht="20.25" x14ac:dyDescent="0.25">
      <c r="A173" s="96"/>
      <c r="B173" s="23"/>
      <c r="C173" s="31"/>
      <c r="D173" s="31"/>
    </row>
    <row r="174" spans="1:4" ht="20.25" x14ac:dyDescent="0.25">
      <c r="A174" s="96"/>
      <c r="B174" s="23"/>
      <c r="C174" s="31"/>
      <c r="D174" s="31"/>
    </row>
    <row r="175" spans="1:4" ht="20.25" x14ac:dyDescent="0.25">
      <c r="A175" s="96"/>
      <c r="B175" s="23"/>
      <c r="C175" s="31"/>
      <c r="D175" s="31"/>
    </row>
    <row r="176" spans="1:4" ht="20.25" x14ac:dyDescent="0.25">
      <c r="A176" s="96"/>
      <c r="B176" s="23"/>
      <c r="C176" s="31"/>
      <c r="D176" s="31"/>
    </row>
    <row r="177" spans="1:4" ht="20.25" x14ac:dyDescent="0.25">
      <c r="A177" s="96"/>
      <c r="B177" s="23"/>
      <c r="C177" s="31"/>
      <c r="D177" s="31"/>
    </row>
    <row r="178" spans="1:4" ht="20.25" x14ac:dyDescent="0.25">
      <c r="A178" s="96"/>
      <c r="B178" s="23"/>
      <c r="C178" s="31"/>
      <c r="D178" s="31"/>
    </row>
    <row r="179" spans="1:4" ht="20.25" x14ac:dyDescent="0.25">
      <c r="A179" s="96"/>
      <c r="B179" s="23"/>
      <c r="C179" s="31"/>
      <c r="D179" s="31"/>
    </row>
    <row r="180" spans="1:4" ht="20.25" x14ac:dyDescent="0.25">
      <c r="A180" s="96"/>
      <c r="B180" s="23"/>
      <c r="C180" s="31"/>
      <c r="D180" s="31"/>
    </row>
    <row r="181" spans="1:4" ht="20.25" x14ac:dyDescent="0.25">
      <c r="A181" s="96"/>
      <c r="B181" s="23"/>
      <c r="C181" s="31"/>
      <c r="D181" s="31"/>
    </row>
    <row r="182" spans="1:4" ht="20.25" x14ac:dyDescent="0.25">
      <c r="A182" s="96"/>
      <c r="B182" s="23"/>
      <c r="C182" s="31"/>
      <c r="D182" s="31"/>
    </row>
    <row r="183" spans="1:4" ht="20.25" x14ac:dyDescent="0.25">
      <c r="A183" s="96"/>
      <c r="B183" s="23"/>
      <c r="C183" s="31"/>
      <c r="D183" s="31"/>
    </row>
    <row r="184" spans="1:4" ht="20.25" x14ac:dyDescent="0.25">
      <c r="A184" s="96"/>
      <c r="B184" s="23"/>
      <c r="C184" s="31"/>
      <c r="D184" s="31"/>
    </row>
    <row r="185" spans="1:4" ht="20.25" x14ac:dyDescent="0.25">
      <c r="A185" s="96"/>
      <c r="B185" s="23"/>
      <c r="C185" s="31"/>
      <c r="D185" s="31"/>
    </row>
    <row r="186" spans="1:4" ht="20.25" x14ac:dyDescent="0.25">
      <c r="A186" s="96"/>
      <c r="B186" s="23"/>
      <c r="C186" s="31"/>
      <c r="D186" s="31"/>
    </row>
    <row r="187" spans="1:4" ht="20.25" x14ac:dyDescent="0.25">
      <c r="A187" s="96"/>
      <c r="B187" s="23"/>
      <c r="C187" s="31"/>
      <c r="D187" s="31"/>
    </row>
    <row r="188" spans="1:4" ht="20.25" x14ac:dyDescent="0.25">
      <c r="A188" s="96"/>
      <c r="B188" s="23"/>
      <c r="C188" s="31"/>
      <c r="D188" s="31"/>
    </row>
    <row r="189" spans="1:4" ht="20.25" x14ac:dyDescent="0.25">
      <c r="A189" s="96"/>
      <c r="B189" s="23"/>
      <c r="C189" s="31"/>
      <c r="D189" s="31"/>
    </row>
    <row r="190" spans="1:4" ht="20.25" x14ac:dyDescent="0.25">
      <c r="A190" s="96"/>
      <c r="B190" s="23"/>
      <c r="C190" s="31"/>
      <c r="D190" s="31"/>
    </row>
    <row r="191" spans="1:4" ht="20.25" x14ac:dyDescent="0.25">
      <c r="A191" s="96"/>
      <c r="B191" s="23"/>
      <c r="C191" s="31"/>
      <c r="D191" s="31"/>
    </row>
    <row r="192" spans="1:4" ht="20.25" x14ac:dyDescent="0.25">
      <c r="A192" s="96"/>
      <c r="B192" s="23"/>
      <c r="C192" s="31"/>
      <c r="D192" s="31"/>
    </row>
    <row r="193" spans="1:4" ht="20.25" x14ac:dyDescent="0.25">
      <c r="A193" s="96"/>
      <c r="B193" s="23"/>
      <c r="C193" s="31"/>
      <c r="D193" s="31"/>
    </row>
    <row r="194" spans="1:4" ht="20.25" x14ac:dyDescent="0.25">
      <c r="A194" s="96"/>
      <c r="B194" s="23"/>
      <c r="C194" s="31"/>
      <c r="D194" s="31"/>
    </row>
    <row r="195" spans="1:4" ht="20.25" x14ac:dyDescent="0.25">
      <c r="A195" s="96"/>
      <c r="B195" s="23"/>
      <c r="C195" s="31"/>
      <c r="D195" s="31"/>
    </row>
    <row r="196" spans="1:4" ht="20.25" x14ac:dyDescent="0.25">
      <c r="A196" s="96"/>
      <c r="B196" s="23"/>
      <c r="C196" s="31"/>
      <c r="D196" s="31"/>
    </row>
    <row r="197" spans="1:4" ht="20.25" x14ac:dyDescent="0.25">
      <c r="A197" s="96"/>
      <c r="B197" s="23"/>
      <c r="C197" s="31"/>
      <c r="D197" s="31"/>
    </row>
    <row r="198" spans="1:4" ht="20.25" x14ac:dyDescent="0.25">
      <c r="A198" s="96"/>
      <c r="B198" s="23"/>
      <c r="C198" s="31"/>
      <c r="D198" s="31"/>
    </row>
    <row r="199" spans="1:4" ht="20.25" x14ac:dyDescent="0.25">
      <c r="A199" s="96"/>
      <c r="B199" s="23"/>
      <c r="C199" s="31"/>
      <c r="D199" s="31"/>
    </row>
    <row r="200" spans="1:4" ht="20.25" x14ac:dyDescent="0.25">
      <c r="A200" s="96"/>
      <c r="B200" s="23"/>
      <c r="C200" s="31"/>
      <c r="D200" s="31"/>
    </row>
    <row r="201" spans="1:4" ht="20.25" x14ac:dyDescent="0.25">
      <c r="A201" s="96"/>
      <c r="B201" s="23"/>
      <c r="C201" s="31"/>
      <c r="D201" s="31"/>
    </row>
    <row r="202" spans="1:4" ht="20.25" x14ac:dyDescent="0.25">
      <c r="A202" s="96"/>
      <c r="B202" s="23"/>
      <c r="C202" s="31"/>
      <c r="D202" s="31"/>
    </row>
    <row r="203" spans="1:4" ht="20.25" x14ac:dyDescent="0.25">
      <c r="A203" s="96"/>
      <c r="B203" s="23"/>
      <c r="C203" s="31"/>
      <c r="D203" s="31"/>
    </row>
    <row r="204" spans="1:4" ht="20.25" x14ac:dyDescent="0.25">
      <c r="A204" s="96"/>
      <c r="B204" s="23"/>
      <c r="C204" s="31"/>
      <c r="D204" s="31"/>
    </row>
    <row r="205" spans="1:4" ht="20.25" x14ac:dyDescent="0.25">
      <c r="A205" s="96"/>
      <c r="B205" s="23"/>
      <c r="C205" s="31"/>
      <c r="D205" s="31"/>
    </row>
    <row r="206" spans="1:4" ht="20.25" x14ac:dyDescent="0.25">
      <c r="A206" s="96"/>
      <c r="B206" s="23"/>
      <c r="C206" s="31"/>
      <c r="D206" s="31"/>
    </row>
    <row r="207" spans="1:4" ht="20.25" x14ac:dyDescent="0.25">
      <c r="A207" s="96"/>
      <c r="B207" s="23"/>
      <c r="C207" s="31"/>
      <c r="D207" s="31"/>
    </row>
    <row r="208" spans="1:4" x14ac:dyDescent="0.25">
      <c r="A208" s="80"/>
      <c r="B208" s="23"/>
      <c r="C208" s="23"/>
      <c r="D208" s="23"/>
    </row>
    <row r="209" spans="1:8" ht="20.25" x14ac:dyDescent="0.25">
      <c r="A209" s="80"/>
      <c r="B209" s="27" t="s">
        <v>232</v>
      </c>
      <c r="C209" s="27" t="s">
        <v>233</v>
      </c>
      <c r="D209" s="30" t="s">
        <v>232</v>
      </c>
      <c r="E209" s="30" t="s">
        <v>233</v>
      </c>
    </row>
    <row r="210" spans="1:8" ht="21" x14ac:dyDescent="0.35">
      <c r="A210" s="80"/>
      <c r="B210" s="28" t="s">
        <v>234</v>
      </c>
      <c r="C210" s="28" t="s">
        <v>235</v>
      </c>
      <c r="D210" t="s">
        <v>234</v>
      </c>
      <c r="F210" t="str">
        <f>IF(NOT(ISBLANK(D210)),D210,IF(NOT(ISBLANK(E210)),"     "&amp;E210,FALSE))</f>
        <v>Afectación Económica o presupuestal</v>
      </c>
      <c r="G210" t="s">
        <v>234</v>
      </c>
      <c r="H210" t="str">
        <f>IF(NOT(ISERROR(MATCH(G210,_xlfn.ANCHORARRAY(B221),0))),F223&amp;"Por favor no seleccionar los criterios de impacto",G210)</f>
        <v>❌Por favor no seleccionar los criterios de impacto</v>
      </c>
    </row>
    <row r="211" spans="1:8" ht="21" x14ac:dyDescent="0.35">
      <c r="A211" s="80"/>
      <c r="B211" s="28" t="s">
        <v>234</v>
      </c>
      <c r="C211" s="28" t="s">
        <v>208</v>
      </c>
      <c r="E211" t="s">
        <v>235</v>
      </c>
      <c r="F211" t="str">
        <f t="shared" ref="F211:F221" si="0">IF(NOT(ISBLANK(D211)),D211,IF(NOT(ISBLANK(E211)),"     "&amp;E211,FALSE))</f>
        <v xml:space="preserve">     Afectación menor a 10 SMLMV .</v>
      </c>
    </row>
    <row r="212" spans="1:8" ht="21" x14ac:dyDescent="0.35">
      <c r="A212" s="80"/>
      <c r="B212" s="28" t="s">
        <v>234</v>
      </c>
      <c r="C212" s="28" t="s">
        <v>211</v>
      </c>
      <c r="E212" t="s">
        <v>208</v>
      </c>
      <c r="F212" t="str">
        <f t="shared" si="0"/>
        <v xml:space="preserve">     Entre 10 y 50 SMLMV </v>
      </c>
    </row>
    <row r="213" spans="1:8" ht="21" x14ac:dyDescent="0.35">
      <c r="A213" s="80"/>
      <c r="B213" s="28" t="s">
        <v>234</v>
      </c>
      <c r="C213" s="28" t="s">
        <v>215</v>
      </c>
      <c r="E213" t="s">
        <v>211</v>
      </c>
      <c r="F213" t="str">
        <f t="shared" si="0"/>
        <v xml:space="preserve">     Entre 50 y 100 SMLMV </v>
      </c>
    </row>
    <row r="214" spans="1:8" ht="21" x14ac:dyDescent="0.35">
      <c r="A214" s="80"/>
      <c r="B214" s="28" t="s">
        <v>234</v>
      </c>
      <c r="C214" s="28" t="s">
        <v>219</v>
      </c>
      <c r="E214" t="s">
        <v>215</v>
      </c>
      <c r="F214" t="str">
        <f t="shared" si="0"/>
        <v xml:space="preserve">     Entre 100 y 500 SMLMV </v>
      </c>
    </row>
    <row r="215" spans="1:8" ht="21" x14ac:dyDescent="0.35">
      <c r="A215" s="80"/>
      <c r="B215" s="28" t="s">
        <v>201</v>
      </c>
      <c r="C215" s="28" t="s">
        <v>205</v>
      </c>
      <c r="E215" t="s">
        <v>219</v>
      </c>
      <c r="F215" t="str">
        <f t="shared" si="0"/>
        <v xml:space="preserve">     Mayor a 500 SMLMV </v>
      </c>
    </row>
    <row r="216" spans="1:8" ht="21" x14ac:dyDescent="0.35">
      <c r="A216" s="80"/>
      <c r="B216" s="28" t="s">
        <v>201</v>
      </c>
      <c r="C216" s="28" t="s">
        <v>209</v>
      </c>
      <c r="D216" t="s">
        <v>201</v>
      </c>
      <c r="F216" t="str">
        <f t="shared" si="0"/>
        <v>Pérdida Reputacional</v>
      </c>
    </row>
    <row r="217" spans="1:8" ht="21" x14ac:dyDescent="0.35">
      <c r="A217" s="80"/>
      <c r="B217" s="28" t="s">
        <v>201</v>
      </c>
      <c r="C217" s="28" t="s">
        <v>212</v>
      </c>
      <c r="E217" t="s">
        <v>205</v>
      </c>
      <c r="F217" t="str">
        <f t="shared" si="0"/>
        <v xml:space="preserve">     El riesgo afecta la imagen de alguna área de la organización</v>
      </c>
    </row>
    <row r="218" spans="1:8" ht="21" x14ac:dyDescent="0.35">
      <c r="A218" s="80"/>
      <c r="B218" s="28" t="s">
        <v>201</v>
      </c>
      <c r="C218" s="28" t="s">
        <v>216</v>
      </c>
      <c r="E218" t="s">
        <v>209</v>
      </c>
      <c r="F218" t="str">
        <f t="shared" si="0"/>
        <v xml:space="preserve">     El riesgo afecta la imagen de la entidad internamente, de conocimiento general, nivel interno, de junta dircetiva y accionistas y/o de provedores</v>
      </c>
    </row>
    <row r="219" spans="1:8" ht="21" x14ac:dyDescent="0.35">
      <c r="A219" s="80"/>
      <c r="B219" s="28" t="s">
        <v>201</v>
      </c>
      <c r="C219" s="28" t="s">
        <v>220</v>
      </c>
      <c r="E219" t="s">
        <v>212</v>
      </c>
      <c r="F219" t="str">
        <f t="shared" si="0"/>
        <v xml:space="preserve">     El riesgo afecta la imagen de la entidad con algunos usuarios de relevancia frente al logro de los objetivos</v>
      </c>
    </row>
    <row r="220" spans="1:8" x14ac:dyDescent="0.25">
      <c r="A220" s="80"/>
      <c r="B220" s="29"/>
      <c r="C220" s="29"/>
      <c r="E220" t="s">
        <v>216</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220</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236</v>
      </c>
    </row>
    <row r="224" spans="1:8" x14ac:dyDescent="0.25">
      <c r="B224" s="22"/>
      <c r="C224" s="22"/>
      <c r="F224" s="32" t="s">
        <v>237</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74" t="s">
        <v>238</v>
      </c>
      <c r="C1" s="475"/>
      <c r="D1" s="475"/>
      <c r="E1" s="475"/>
      <c r="F1" s="476"/>
    </row>
    <row r="2" spans="2:6" ht="16.5" thickBot="1" x14ac:dyDescent="0.3">
      <c r="B2" s="86"/>
      <c r="C2" s="86"/>
      <c r="D2" s="86"/>
      <c r="E2" s="86"/>
      <c r="F2" s="86"/>
    </row>
    <row r="3" spans="2:6" ht="16.5" thickBot="1" x14ac:dyDescent="0.25">
      <c r="B3" s="478" t="s">
        <v>239</v>
      </c>
      <c r="C3" s="479"/>
      <c r="D3" s="479"/>
      <c r="E3" s="204" t="s">
        <v>240</v>
      </c>
      <c r="F3" s="95" t="s">
        <v>241</v>
      </c>
    </row>
    <row r="4" spans="2:6" ht="31.5" x14ac:dyDescent="0.2">
      <c r="B4" s="480" t="s">
        <v>242</v>
      </c>
      <c r="C4" s="482" t="s">
        <v>105</v>
      </c>
      <c r="D4" s="205" t="s">
        <v>141</v>
      </c>
      <c r="E4" s="87" t="s">
        <v>243</v>
      </c>
      <c r="F4" s="88">
        <v>0.25</v>
      </c>
    </row>
    <row r="5" spans="2:6" ht="47.25" x14ac:dyDescent="0.2">
      <c r="B5" s="481"/>
      <c r="C5" s="483"/>
      <c r="D5" s="206" t="s">
        <v>122</v>
      </c>
      <c r="E5" s="89" t="s">
        <v>244</v>
      </c>
      <c r="F5" s="90">
        <v>0.15</v>
      </c>
    </row>
    <row r="6" spans="2:6" ht="47.25" x14ac:dyDescent="0.2">
      <c r="B6" s="481"/>
      <c r="C6" s="483"/>
      <c r="D6" s="206" t="s">
        <v>135</v>
      </c>
      <c r="E6" s="89" t="s">
        <v>245</v>
      </c>
      <c r="F6" s="90">
        <v>0.1</v>
      </c>
    </row>
    <row r="7" spans="2:6" ht="63" x14ac:dyDescent="0.2">
      <c r="B7" s="481"/>
      <c r="C7" s="483" t="s">
        <v>106</v>
      </c>
      <c r="D7" s="206" t="s">
        <v>246</v>
      </c>
      <c r="E7" s="89" t="s">
        <v>247</v>
      </c>
      <c r="F7" s="90">
        <v>0.25</v>
      </c>
    </row>
    <row r="8" spans="2:6" ht="31.5" x14ac:dyDescent="0.2">
      <c r="B8" s="481"/>
      <c r="C8" s="483"/>
      <c r="D8" s="206" t="s">
        <v>123</v>
      </c>
      <c r="E8" s="89" t="s">
        <v>248</v>
      </c>
      <c r="F8" s="90">
        <v>0.15</v>
      </c>
    </row>
    <row r="9" spans="2:6" ht="47.25" x14ac:dyDescent="0.2">
      <c r="B9" s="481" t="s">
        <v>249</v>
      </c>
      <c r="C9" s="483" t="s">
        <v>107</v>
      </c>
      <c r="D9" s="206" t="s">
        <v>124</v>
      </c>
      <c r="E9" s="89" t="s">
        <v>250</v>
      </c>
      <c r="F9" s="91" t="s">
        <v>251</v>
      </c>
    </row>
    <row r="10" spans="2:6" ht="63" x14ac:dyDescent="0.2">
      <c r="B10" s="481"/>
      <c r="C10" s="483"/>
      <c r="D10" s="206" t="s">
        <v>252</v>
      </c>
      <c r="E10" s="89" t="s">
        <v>253</v>
      </c>
      <c r="F10" s="91" t="s">
        <v>251</v>
      </c>
    </row>
    <row r="11" spans="2:6" ht="47.25" x14ac:dyDescent="0.2">
      <c r="B11" s="481"/>
      <c r="C11" s="483" t="s">
        <v>108</v>
      </c>
      <c r="D11" s="206" t="s">
        <v>125</v>
      </c>
      <c r="E11" s="89" t="s">
        <v>254</v>
      </c>
      <c r="F11" s="91" t="s">
        <v>251</v>
      </c>
    </row>
    <row r="12" spans="2:6" ht="47.25" x14ac:dyDescent="0.2">
      <c r="B12" s="481"/>
      <c r="C12" s="483"/>
      <c r="D12" s="206" t="s">
        <v>255</v>
      </c>
      <c r="E12" s="89" t="s">
        <v>256</v>
      </c>
      <c r="F12" s="91" t="s">
        <v>251</v>
      </c>
    </row>
    <row r="13" spans="2:6" ht="31.5" x14ac:dyDescent="0.2">
      <c r="B13" s="481"/>
      <c r="C13" s="483" t="s">
        <v>109</v>
      </c>
      <c r="D13" s="206" t="s">
        <v>126</v>
      </c>
      <c r="E13" s="89" t="s">
        <v>257</v>
      </c>
      <c r="F13" s="91" t="s">
        <v>251</v>
      </c>
    </row>
    <row r="14" spans="2:6" ht="32.25" thickBot="1" x14ac:dyDescent="0.25">
      <c r="B14" s="484"/>
      <c r="C14" s="485"/>
      <c r="D14" s="207" t="s">
        <v>164</v>
      </c>
      <c r="E14" s="92" t="s">
        <v>258</v>
      </c>
      <c r="F14" s="93" t="s">
        <v>251</v>
      </c>
    </row>
    <row r="15" spans="2:6" ht="49.5" customHeight="1" x14ac:dyDescent="0.2">
      <c r="B15" s="477" t="s">
        <v>259</v>
      </c>
      <c r="C15" s="477"/>
      <c r="D15" s="477"/>
      <c r="E15" s="477"/>
      <c r="F15" s="477"/>
    </row>
    <row r="16" spans="2:6" ht="27" customHeight="1" x14ac:dyDescent="0.25">
      <c r="B16" s="94"/>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80" customWidth="1"/>
    <col min="2" max="2" width="19.7109375" style="180" customWidth="1"/>
    <col min="3" max="3" width="50" style="180" customWidth="1"/>
    <col min="4" max="4" width="16.42578125" style="180" customWidth="1"/>
    <col min="5" max="5" width="2.42578125" style="155" customWidth="1"/>
    <col min="6" max="16384" width="10.85546875" style="155"/>
  </cols>
  <sheetData>
    <row r="1" spans="1:5" ht="16.5" thickBot="1" x14ac:dyDescent="0.3">
      <c r="A1" s="152"/>
      <c r="B1" s="153"/>
      <c r="C1" s="153"/>
      <c r="D1" s="153"/>
      <c r="E1" s="154"/>
    </row>
    <row r="2" spans="1:5" ht="24" customHeight="1" thickBot="1" x14ac:dyDescent="0.3">
      <c r="A2" s="156"/>
      <c r="B2" s="492" t="s">
        <v>260</v>
      </c>
      <c r="C2" s="493"/>
      <c r="D2" s="494"/>
      <c r="E2" s="157"/>
    </row>
    <row r="3" spans="1:5" ht="96.75" customHeight="1" thickBot="1" x14ac:dyDescent="0.3">
      <c r="A3" s="158"/>
      <c r="B3" s="495" t="s">
        <v>261</v>
      </c>
      <c r="C3" s="495"/>
      <c r="D3" s="495"/>
      <c r="E3" s="157"/>
    </row>
    <row r="4" spans="1:5" ht="24.75" customHeight="1" thickBot="1" x14ac:dyDescent="0.3">
      <c r="A4" s="158"/>
      <c r="B4" s="496" t="s">
        <v>262</v>
      </c>
      <c r="C4" s="497"/>
      <c r="D4" s="498"/>
      <c r="E4" s="157"/>
    </row>
    <row r="5" spans="1:5" ht="46.5" customHeight="1" x14ac:dyDescent="0.25">
      <c r="A5" s="158"/>
      <c r="B5" s="499" t="s">
        <v>263</v>
      </c>
      <c r="C5" s="499"/>
      <c r="D5" s="499"/>
      <c r="E5" s="157"/>
    </row>
    <row r="6" spans="1:5" ht="24" customHeight="1" x14ac:dyDescent="0.25">
      <c r="A6" s="158"/>
      <c r="B6" s="159"/>
      <c r="C6" s="160"/>
      <c r="D6" s="161"/>
      <c r="E6" s="157"/>
    </row>
    <row r="7" spans="1:5" ht="24" customHeight="1" x14ac:dyDescent="0.25">
      <c r="A7" s="158"/>
      <c r="B7" s="500" t="s">
        <v>264</v>
      </c>
      <c r="C7" s="500"/>
      <c r="D7" s="500"/>
      <c r="E7" s="157"/>
    </row>
    <row r="8" spans="1:5" ht="63.75" customHeight="1" x14ac:dyDescent="0.25">
      <c r="A8" s="158"/>
      <c r="B8" s="162" t="s">
        <v>265</v>
      </c>
      <c r="C8" s="163" t="s">
        <v>266</v>
      </c>
      <c r="D8" s="163" t="s">
        <v>267</v>
      </c>
      <c r="E8" s="157"/>
    </row>
    <row r="9" spans="1:5" ht="90" customHeight="1" x14ac:dyDescent="0.25">
      <c r="A9" s="158"/>
      <c r="B9" s="164" t="s">
        <v>268</v>
      </c>
      <c r="C9" s="165" t="s">
        <v>269</v>
      </c>
      <c r="D9" s="166" t="s">
        <v>270</v>
      </c>
      <c r="E9" s="157"/>
    </row>
    <row r="10" spans="1:5" ht="75" customHeight="1" x14ac:dyDescent="0.25">
      <c r="A10" s="158"/>
      <c r="B10" s="167" t="s">
        <v>271</v>
      </c>
      <c r="C10" s="168" t="s">
        <v>272</v>
      </c>
      <c r="D10" s="168" t="s">
        <v>273</v>
      </c>
      <c r="E10" s="157"/>
    </row>
    <row r="11" spans="1:5" ht="63.75" customHeight="1" x14ac:dyDescent="0.25">
      <c r="A11" s="158"/>
      <c r="B11" s="169" t="s">
        <v>179</v>
      </c>
      <c r="C11" s="170" t="s">
        <v>274</v>
      </c>
      <c r="D11" s="170" t="s">
        <v>275</v>
      </c>
      <c r="E11" s="157"/>
    </row>
    <row r="12" spans="1:5" ht="29.25" customHeight="1" x14ac:dyDescent="0.25">
      <c r="A12" s="158"/>
      <c r="B12" s="171"/>
      <c r="C12" s="171"/>
      <c r="D12" s="171"/>
      <c r="E12" s="157"/>
    </row>
    <row r="13" spans="1:5" ht="29.25" customHeight="1" x14ac:dyDescent="0.25">
      <c r="A13" s="158"/>
      <c r="B13" s="501" t="s">
        <v>276</v>
      </c>
      <c r="C13" s="502"/>
      <c r="D13" s="502"/>
      <c r="E13" s="157"/>
    </row>
    <row r="14" spans="1:5" ht="32.25" customHeight="1" x14ac:dyDescent="0.25">
      <c r="A14" s="158"/>
      <c r="B14" s="172" t="s">
        <v>277</v>
      </c>
      <c r="C14" s="173" t="s">
        <v>240</v>
      </c>
      <c r="D14" s="173" t="s">
        <v>278</v>
      </c>
      <c r="E14" s="157"/>
    </row>
    <row r="15" spans="1:5" ht="56.25" customHeight="1" x14ac:dyDescent="0.25">
      <c r="A15" s="158"/>
      <c r="B15" s="174" t="s">
        <v>279</v>
      </c>
      <c r="C15" s="175" t="s">
        <v>280</v>
      </c>
      <c r="D15" s="174" t="s">
        <v>281</v>
      </c>
      <c r="E15" s="157"/>
    </row>
    <row r="16" spans="1:5" ht="48" customHeight="1" x14ac:dyDescent="0.25">
      <c r="A16" s="158"/>
      <c r="B16" s="176" t="s">
        <v>282</v>
      </c>
      <c r="C16" s="177" t="s">
        <v>283</v>
      </c>
      <c r="D16" s="176" t="s">
        <v>284</v>
      </c>
      <c r="E16" s="157"/>
    </row>
    <row r="17" spans="1:5" ht="49.5" customHeight="1" x14ac:dyDescent="0.25">
      <c r="A17" s="158"/>
      <c r="B17" s="178" t="s">
        <v>285</v>
      </c>
      <c r="C17" s="179" t="s">
        <v>286</v>
      </c>
      <c r="D17" s="178" t="s">
        <v>287</v>
      </c>
      <c r="E17" s="157"/>
    </row>
    <row r="18" spans="1:5" x14ac:dyDescent="0.25">
      <c r="A18" s="158"/>
      <c r="B18" s="171"/>
      <c r="C18" s="171"/>
      <c r="D18" s="171"/>
      <c r="E18" s="157"/>
    </row>
    <row r="19" spans="1:5" ht="16.5" thickBot="1" x14ac:dyDescent="0.3">
      <c r="A19" s="158"/>
      <c r="B19" s="171"/>
      <c r="D19" s="171"/>
      <c r="E19" s="157"/>
    </row>
    <row r="20" spans="1:5" ht="16.5" thickBot="1" x14ac:dyDescent="0.3">
      <c r="A20" s="158"/>
      <c r="B20" s="486" t="s">
        <v>288</v>
      </c>
      <c r="C20" s="487"/>
      <c r="D20" s="488"/>
      <c r="E20" s="157"/>
    </row>
    <row r="21" spans="1:5" ht="62.25" customHeight="1" x14ac:dyDescent="0.25">
      <c r="A21" s="158"/>
      <c r="B21" s="489" t="s">
        <v>289</v>
      </c>
      <c r="C21" s="490"/>
      <c r="D21" s="491"/>
      <c r="E21" s="157"/>
    </row>
    <row r="22" spans="1:5" ht="16.5" thickBot="1" x14ac:dyDescent="0.3">
      <c r="A22" s="181"/>
      <c r="B22" s="182"/>
      <c r="C22" s="182"/>
      <c r="D22" s="182"/>
      <c r="E22" s="183"/>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290</v>
      </c>
      <c r="E2" t="s">
        <v>291</v>
      </c>
    </row>
    <row r="3" spans="2:5" x14ac:dyDescent="0.25">
      <c r="B3" t="s">
        <v>292</v>
      </c>
      <c r="E3" t="s">
        <v>113</v>
      </c>
    </row>
    <row r="4" spans="2:5" x14ac:dyDescent="0.25">
      <c r="B4" t="s">
        <v>293</v>
      </c>
      <c r="E4" t="s">
        <v>294</v>
      </c>
    </row>
    <row r="5" spans="2:5" x14ac:dyDescent="0.25">
      <c r="B5" t="s">
        <v>127</v>
      </c>
    </row>
    <row r="8" spans="2:5" x14ac:dyDescent="0.25">
      <c r="B8" t="s">
        <v>295</v>
      </c>
    </row>
    <row r="9" spans="2:5" x14ac:dyDescent="0.25">
      <c r="B9" t="s">
        <v>137</v>
      </c>
    </row>
    <row r="10" spans="2:5" x14ac:dyDescent="0.25">
      <c r="B10" t="s">
        <v>296</v>
      </c>
    </row>
    <row r="13" spans="2:5" x14ac:dyDescent="0.25">
      <c r="B13" t="s">
        <v>297</v>
      </c>
    </row>
    <row r="14" spans="2:5" x14ac:dyDescent="0.25">
      <c r="B14" t="s">
        <v>152</v>
      </c>
    </row>
    <row r="15" spans="2:5" x14ac:dyDescent="0.25">
      <c r="B15" t="s">
        <v>298</v>
      </c>
    </row>
    <row r="16" spans="2:5" x14ac:dyDescent="0.25">
      <c r="B16" t="s">
        <v>299</v>
      </c>
    </row>
    <row r="17" spans="2:2" x14ac:dyDescent="0.25">
      <c r="B17" t="s">
        <v>300</v>
      </c>
    </row>
    <row r="18" spans="2:2" x14ac:dyDescent="0.25">
      <c r="B18" t="s">
        <v>301</v>
      </c>
    </row>
    <row r="19" spans="2:2" x14ac:dyDescent="0.25">
      <c r="B19" t="s">
        <v>120</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141</v>
      </c>
    </row>
    <row r="4" spans="1:1" x14ac:dyDescent="0.2">
      <c r="A4" s="10" t="s">
        <v>122</v>
      </c>
    </row>
    <row r="5" spans="1:1" x14ac:dyDescent="0.2">
      <c r="A5" s="10" t="s">
        <v>135</v>
      </c>
    </row>
    <row r="6" spans="1:1" x14ac:dyDescent="0.2">
      <c r="A6" s="10" t="s">
        <v>246</v>
      </c>
    </row>
    <row r="7" spans="1:1" x14ac:dyDescent="0.2">
      <c r="A7" s="10" t="s">
        <v>123</v>
      </c>
    </row>
    <row r="8" spans="1:1" x14ac:dyDescent="0.2">
      <c r="A8" s="10" t="s">
        <v>124</v>
      </c>
    </row>
    <row r="9" spans="1:1" x14ac:dyDescent="0.2">
      <c r="A9" s="10" t="s">
        <v>252</v>
      </c>
    </row>
    <row r="10" spans="1:1" x14ac:dyDescent="0.2">
      <c r="A10" s="10" t="s">
        <v>125</v>
      </c>
    </row>
    <row r="11" spans="1:1" x14ac:dyDescent="0.2">
      <c r="A11" s="10" t="s">
        <v>255</v>
      </c>
    </row>
    <row r="12" spans="1:1" x14ac:dyDescent="0.2">
      <c r="A12" s="10" t="s">
        <v>302</v>
      </c>
    </row>
    <row r="13" spans="1:1" x14ac:dyDescent="0.2">
      <c r="A13" s="10" t="s">
        <v>303</v>
      </c>
    </row>
    <row r="14" spans="1:1" x14ac:dyDescent="0.2">
      <c r="A14" s="10" t="s">
        <v>304</v>
      </c>
    </row>
    <row r="16" spans="1:1" x14ac:dyDescent="0.2">
      <c r="A16" s="10" t="s">
        <v>305</v>
      </c>
    </row>
    <row r="17" spans="1:1" x14ac:dyDescent="0.2">
      <c r="A17" s="10" t="s">
        <v>290</v>
      </c>
    </row>
    <row r="18" spans="1:1" x14ac:dyDescent="0.2">
      <c r="A18" s="10" t="s">
        <v>292</v>
      </c>
    </row>
    <row r="20" spans="1:1" x14ac:dyDescent="0.2">
      <c r="A20" s="10" t="s">
        <v>137</v>
      </c>
    </row>
    <row r="21" spans="1:1" x14ac:dyDescent="0.2">
      <c r="A21" s="10"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2026-04-09T15:58:40Z</dcterms:modified>
  <cp:category/>
  <cp:contentStatus/>
</cp:coreProperties>
</file>