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B4B5386E-AE08-4F02-8CC8-649BDD1ACB8A}"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 r:id="rId12"/>
  </externalReferenc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2" i="1" l="1"/>
  <c r="U13" i="1"/>
  <c r="U14" i="1"/>
  <c r="U15" i="1"/>
  <c r="AQ30" i="1"/>
  <c r="AR30" i="1" s="1"/>
  <c r="AS30" i="1" s="1"/>
  <c r="AO30" i="1"/>
  <c r="AQ29" i="1"/>
  <c r="AR29" i="1" s="1"/>
  <c r="AS29" i="1" s="1"/>
  <c r="AO29" i="1"/>
  <c r="AQ28" i="1"/>
  <c r="AR28" i="1" s="1"/>
  <c r="AS28" i="1" s="1"/>
  <c r="AO28" i="1"/>
  <c r="AQ27" i="1"/>
  <c r="AR27" i="1" s="1"/>
  <c r="AS27" i="1" s="1"/>
  <c r="AO27" i="1"/>
  <c r="AQ26" i="1"/>
  <c r="AR26" i="1" s="1"/>
  <c r="AS26" i="1" s="1"/>
  <c r="AO26" i="1"/>
  <c r="AQ25" i="1"/>
  <c r="AR25" i="1" s="1"/>
  <c r="AS25" i="1" s="1"/>
  <c r="AO25" i="1"/>
  <c r="AQ24" i="1"/>
  <c r="AR24" i="1" s="1"/>
  <c r="AS24" i="1" s="1"/>
  <c r="AO24" i="1"/>
  <c r="AQ23" i="1"/>
  <c r="AR23" i="1" s="1"/>
  <c r="AS23" i="1" s="1"/>
  <c r="AO23" i="1"/>
  <c r="AQ22" i="1"/>
  <c r="AR22" i="1" s="1"/>
  <c r="AS22" i="1" s="1"/>
  <c r="AO22" i="1"/>
  <c r="AQ21" i="1"/>
  <c r="AR21" i="1" s="1"/>
  <c r="AS21" i="1" s="1"/>
  <c r="AO21" i="1"/>
  <c r="AQ20" i="1"/>
  <c r="AR20" i="1" s="1"/>
  <c r="AS20" i="1" s="1"/>
  <c r="AO20" i="1"/>
  <c r="AQ19" i="1"/>
  <c r="AR19" i="1" s="1"/>
  <c r="AS19" i="1" s="1"/>
  <c r="AO19" i="1"/>
  <c r="AQ18" i="1"/>
  <c r="AR18" i="1" s="1"/>
  <c r="AS18" i="1" s="1"/>
  <c r="AO18" i="1"/>
  <c r="AQ17" i="1"/>
  <c r="AR17" i="1" s="1"/>
  <c r="AS17" i="1" s="1"/>
  <c r="AO17" i="1"/>
  <c r="AQ16" i="1"/>
  <c r="AR16" i="1" s="1"/>
  <c r="AS16" i="1" s="1"/>
  <c r="AO16" i="1"/>
  <c r="AQ15" i="1"/>
  <c r="AR15" i="1" s="1"/>
  <c r="AS15" i="1" s="1"/>
  <c r="AO15" i="1"/>
  <c r="AQ14" i="1"/>
  <c r="AR14" i="1" s="1"/>
  <c r="AS14" i="1" s="1"/>
  <c r="AO14" i="1"/>
  <c r="AQ13" i="1"/>
  <c r="AR13" i="1" s="1"/>
  <c r="AS13" i="1" s="1"/>
  <c r="AO13" i="1"/>
  <c r="AQ12" i="1"/>
  <c r="AR12" i="1" s="1"/>
  <c r="AS12" i="1" s="1"/>
  <c r="AO12" i="1"/>
  <c r="AQ11" i="1"/>
  <c r="AR11" i="1" s="1"/>
  <c r="AS11" i="1" s="1"/>
  <c r="AO11" i="1"/>
  <c r="AC47" i="1"/>
  <c r="Z47" i="1"/>
  <c r="AC46" i="1"/>
  <c r="Z46" i="1"/>
  <c r="AK47" i="1" s="1"/>
  <c r="AJ47" i="1" s="1"/>
  <c r="AC45" i="1"/>
  <c r="Z45" i="1"/>
  <c r="AC44" i="1"/>
  <c r="Z44" i="1"/>
  <c r="AK45" i="1" s="1"/>
  <c r="AJ45" i="1" s="1"/>
  <c r="AC43" i="1"/>
  <c r="Z43" i="1"/>
  <c r="AK44" i="1" s="1"/>
  <c r="AJ44" i="1" s="1"/>
  <c r="AC42" i="1"/>
  <c r="Z42" i="1"/>
  <c r="AK43" i="1" s="1"/>
  <c r="AJ43" i="1" s="1"/>
  <c r="AC41" i="1"/>
  <c r="Z41" i="1"/>
  <c r="AC40" i="1"/>
  <c r="Z40" i="1"/>
  <c r="AK41" i="1" s="1"/>
  <c r="AJ41" i="1" s="1"/>
  <c r="AC39" i="1"/>
  <c r="Z39" i="1"/>
  <c r="AK40" i="1" s="1"/>
  <c r="AJ40" i="1" s="1"/>
  <c r="AC38" i="1"/>
  <c r="Z38" i="1"/>
  <c r="AK39" i="1" s="1"/>
  <c r="AJ39" i="1" s="1"/>
  <c r="AC37" i="1"/>
  <c r="Z37" i="1"/>
  <c r="AC36" i="1"/>
  <c r="Z36" i="1"/>
  <c r="AK37" i="1" s="1"/>
  <c r="AJ37" i="1" s="1"/>
  <c r="AC35" i="1"/>
  <c r="Z35" i="1"/>
  <c r="AC34" i="1"/>
  <c r="Z34" i="1"/>
  <c r="AK35" i="1" s="1"/>
  <c r="AJ35" i="1" s="1"/>
  <c r="AC33" i="1"/>
  <c r="Z33" i="1"/>
  <c r="AC32" i="1"/>
  <c r="Z32" i="1"/>
  <c r="AK33" i="1" s="1"/>
  <c r="AJ33" i="1" s="1"/>
  <c r="AC31" i="1"/>
  <c r="Z31" i="1"/>
  <c r="AK32" i="1" s="1"/>
  <c r="AJ32" i="1" s="1"/>
  <c r="AC30" i="1"/>
  <c r="Z30" i="1"/>
  <c r="AK31" i="1" s="1"/>
  <c r="AJ31" i="1" s="1"/>
  <c r="AC29" i="1"/>
  <c r="Z29" i="1"/>
  <c r="AC28" i="1"/>
  <c r="Z28" i="1"/>
  <c r="AK29" i="1" s="1"/>
  <c r="AJ29" i="1" s="1"/>
  <c r="AC27" i="1"/>
  <c r="Z27" i="1"/>
  <c r="AK28" i="1" s="1"/>
  <c r="AJ28" i="1" s="1"/>
  <c r="AC26" i="1"/>
  <c r="Z26" i="1"/>
  <c r="AK27" i="1" s="1"/>
  <c r="AJ27" i="1" s="1"/>
  <c r="AC25" i="1"/>
  <c r="Z25" i="1"/>
  <c r="AC24" i="1"/>
  <c r="Z24" i="1"/>
  <c r="AK25" i="1" s="1"/>
  <c r="AJ25" i="1" s="1"/>
  <c r="AC23" i="1"/>
  <c r="Z23" i="1"/>
  <c r="AC22" i="1"/>
  <c r="Z22" i="1"/>
  <c r="AK23" i="1" s="1"/>
  <c r="AJ23" i="1" s="1"/>
  <c r="AC21" i="1"/>
  <c r="Z21" i="1"/>
  <c r="AC20" i="1"/>
  <c r="Z20" i="1"/>
  <c r="AK21" i="1" s="1"/>
  <c r="AJ21" i="1" s="1"/>
  <c r="AC19" i="1"/>
  <c r="Z19" i="1"/>
  <c r="AK20" i="1" s="1"/>
  <c r="AJ20" i="1" s="1"/>
  <c r="AC18" i="1"/>
  <c r="Z18" i="1"/>
  <c r="AK19" i="1" s="1"/>
  <c r="AJ19" i="1" s="1"/>
  <c r="AC17" i="1"/>
  <c r="Z17" i="1"/>
  <c r="AK17" i="1" s="1"/>
  <c r="AJ17" i="1" s="1"/>
  <c r="AC16" i="1"/>
  <c r="Z16" i="1"/>
  <c r="AC15" i="1"/>
  <c r="Z15" i="1"/>
  <c r="AC14" i="1"/>
  <c r="Z14" i="1"/>
  <c r="AC13" i="1"/>
  <c r="Z13" i="1"/>
  <c r="AC12" i="1"/>
  <c r="Z12" i="1"/>
  <c r="AC11" i="1"/>
  <c r="Z11" i="1"/>
  <c r="AK12" i="1" l="1"/>
  <c r="AJ12" i="1" s="1"/>
  <c r="AK22" i="1"/>
  <c r="AJ22" i="1" s="1"/>
  <c r="AK26" i="1"/>
  <c r="AJ26" i="1" s="1"/>
  <c r="AK34" i="1"/>
  <c r="AJ34" i="1" s="1"/>
  <c r="AK38" i="1"/>
  <c r="AJ38" i="1" s="1"/>
  <c r="AK46" i="1"/>
  <c r="AJ46" i="1" s="1"/>
  <c r="AG20" i="1"/>
  <c r="AG22" i="1"/>
  <c r="AG24" i="1"/>
  <c r="AK24" i="1"/>
  <c r="AJ24" i="1" s="1"/>
  <c r="AG26" i="1"/>
  <c r="AG28" i="1"/>
  <c r="AG30" i="1"/>
  <c r="AK30" i="1"/>
  <c r="AJ30" i="1" s="1"/>
  <c r="AG32" i="1"/>
  <c r="AG34" i="1"/>
  <c r="AG36" i="1"/>
  <c r="AK36" i="1"/>
  <c r="AJ36" i="1" s="1"/>
  <c r="AG38" i="1"/>
  <c r="AG40" i="1"/>
  <c r="AG42" i="1"/>
  <c r="AK42" i="1"/>
  <c r="AJ42" i="1" s="1"/>
  <c r="AG44" i="1"/>
  <c r="AG46" i="1"/>
  <c r="AG12" i="1"/>
  <c r="AG13" i="1"/>
  <c r="AG15" i="1"/>
  <c r="AG17" i="1"/>
  <c r="AG18" i="1"/>
  <c r="AK18" i="1"/>
  <c r="AJ18" i="1" s="1"/>
  <c r="AG19" i="1"/>
  <c r="AG21" i="1"/>
  <c r="AG23" i="1"/>
  <c r="AG25" i="1"/>
  <c r="AG27" i="1"/>
  <c r="AG29" i="1"/>
  <c r="AG31" i="1"/>
  <c r="AG33" i="1"/>
  <c r="AG35" i="1"/>
  <c r="AG37" i="1"/>
  <c r="AG39" i="1"/>
  <c r="AG41" i="1"/>
  <c r="AG43" i="1"/>
  <c r="AG45" i="1"/>
  <c r="AG47" i="1"/>
  <c r="AH45" i="1" l="1"/>
  <c r="AL45" i="1" s="1"/>
  <c r="AI45" i="1"/>
  <c r="AH37" i="1"/>
  <c r="AL37" i="1" s="1"/>
  <c r="AI37" i="1"/>
  <c r="AH33" i="1"/>
  <c r="AL33" i="1" s="1"/>
  <c r="AI33" i="1"/>
  <c r="AH29" i="1"/>
  <c r="AL29" i="1" s="1"/>
  <c r="AI29" i="1"/>
  <c r="AH25" i="1"/>
  <c r="AL25" i="1" s="1"/>
  <c r="AI25" i="1"/>
  <c r="AH21" i="1"/>
  <c r="AL21" i="1" s="1"/>
  <c r="AI21" i="1"/>
  <c r="AI17" i="1"/>
  <c r="AH17" i="1"/>
  <c r="AL17" i="1" s="1"/>
  <c r="AI13" i="1"/>
  <c r="AG14" i="1" s="1"/>
  <c r="AH13" i="1"/>
  <c r="AH46" i="1"/>
  <c r="AL46" i="1" s="1"/>
  <c r="AI46" i="1"/>
  <c r="AH40" i="1"/>
  <c r="AL40" i="1" s="1"/>
  <c r="AI40" i="1"/>
  <c r="AH34" i="1"/>
  <c r="AL34" i="1" s="1"/>
  <c r="AI34" i="1"/>
  <c r="AH28" i="1"/>
  <c r="AL28" i="1" s="1"/>
  <c r="AI28" i="1"/>
  <c r="AH22" i="1"/>
  <c r="AL22" i="1" s="1"/>
  <c r="AI22" i="1"/>
  <c r="AH41" i="1"/>
  <c r="AL41" i="1" s="1"/>
  <c r="AI41" i="1"/>
  <c r="AH47" i="1"/>
  <c r="AL47" i="1" s="1"/>
  <c r="AI47" i="1"/>
  <c r="AH43" i="1"/>
  <c r="AL43" i="1" s="1"/>
  <c r="AI43" i="1"/>
  <c r="AH39" i="1"/>
  <c r="AL39" i="1" s="1"/>
  <c r="AI39" i="1"/>
  <c r="AH35" i="1"/>
  <c r="AL35" i="1" s="1"/>
  <c r="AI35" i="1"/>
  <c r="AH31" i="1"/>
  <c r="AL31" i="1" s="1"/>
  <c r="AI31" i="1"/>
  <c r="AH27" i="1"/>
  <c r="AL27" i="1" s="1"/>
  <c r="AI27" i="1"/>
  <c r="AH23" i="1"/>
  <c r="AL23" i="1" s="1"/>
  <c r="AI23" i="1"/>
  <c r="AI19" i="1"/>
  <c r="AH19" i="1"/>
  <c r="AL19" i="1" s="1"/>
  <c r="AI18" i="1"/>
  <c r="AH18" i="1"/>
  <c r="AL18" i="1" s="1"/>
  <c r="AI15" i="1"/>
  <c r="AG16" i="1" s="1"/>
  <c r="AH15" i="1"/>
  <c r="AI12" i="1"/>
  <c r="AH12" i="1"/>
  <c r="AL12" i="1" s="1"/>
  <c r="AH44" i="1"/>
  <c r="AL44" i="1" s="1"/>
  <c r="AI44" i="1"/>
  <c r="AH42" i="1"/>
  <c r="AL42" i="1" s="1"/>
  <c r="AI42" i="1"/>
  <c r="AH38" i="1"/>
  <c r="AL38" i="1" s="1"/>
  <c r="AI38" i="1"/>
  <c r="AH36" i="1"/>
  <c r="AL36" i="1" s="1"/>
  <c r="AI36" i="1"/>
  <c r="AH32" i="1"/>
  <c r="AL32" i="1" s="1"/>
  <c r="AI32" i="1"/>
  <c r="AH30" i="1"/>
  <c r="AL30" i="1" s="1"/>
  <c r="AI30" i="1"/>
  <c r="AH26" i="1"/>
  <c r="AL26" i="1" s="1"/>
  <c r="AI26" i="1"/>
  <c r="AH24" i="1"/>
  <c r="AL24" i="1" s="1"/>
  <c r="AI24" i="1"/>
  <c r="AH20" i="1"/>
  <c r="AL20" i="1" s="1"/>
  <c r="AI20" i="1"/>
  <c r="AI16" i="1" l="1"/>
  <c r="AH16" i="1"/>
  <c r="AI14" i="1"/>
  <c r="AH14" i="1"/>
  <c r="U58" i="1" l="1"/>
  <c r="V58" i="1" s="1"/>
  <c r="W58" i="1" s="1"/>
  <c r="S58" i="1"/>
  <c r="U57" i="1"/>
  <c r="V57" i="1" s="1"/>
  <c r="W57" i="1" s="1"/>
  <c r="S57" i="1"/>
  <c r="U56" i="1"/>
  <c r="V56" i="1" s="1"/>
  <c r="W56" i="1" s="1"/>
  <c r="S56" i="1"/>
  <c r="U55" i="1"/>
  <c r="V55" i="1" s="1"/>
  <c r="W55" i="1" s="1"/>
  <c r="S55" i="1"/>
  <c r="U54" i="1"/>
  <c r="V54" i="1" s="1"/>
  <c r="W54" i="1" s="1"/>
  <c r="S54" i="1"/>
  <c r="U53" i="1"/>
  <c r="V53" i="1" s="1"/>
  <c r="W53" i="1" s="1"/>
  <c r="S53" i="1"/>
  <c r="U52" i="1"/>
  <c r="V52" i="1" s="1"/>
  <c r="W52" i="1" s="1"/>
  <c r="S52" i="1"/>
  <c r="U51" i="1"/>
  <c r="V51" i="1" s="1"/>
  <c r="W51" i="1" s="1"/>
  <c r="S51" i="1"/>
  <c r="U50" i="1"/>
  <c r="V50" i="1" s="1"/>
  <c r="W50" i="1" s="1"/>
  <c r="S50" i="1"/>
  <c r="U49" i="1"/>
  <c r="V49" i="1" s="1"/>
  <c r="W49" i="1" s="1"/>
  <c r="S49" i="1"/>
  <c r="U47" i="1"/>
  <c r="V47" i="1" s="1"/>
  <c r="S47" i="1"/>
  <c r="U46" i="1"/>
  <c r="V46" i="1" s="1"/>
  <c r="S46" i="1"/>
  <c r="U45" i="1"/>
  <c r="V45" i="1" s="1"/>
  <c r="S45" i="1"/>
  <c r="U44" i="1"/>
  <c r="V44" i="1" s="1"/>
  <c r="S44" i="1"/>
  <c r="U43" i="1"/>
  <c r="V43" i="1" s="1"/>
  <c r="S43" i="1"/>
  <c r="U42" i="1"/>
  <c r="V42" i="1" s="1"/>
  <c r="S42" i="1"/>
  <c r="U41" i="1"/>
  <c r="V41" i="1" s="1"/>
  <c r="S41" i="1"/>
  <c r="U40" i="1"/>
  <c r="V40" i="1" s="1"/>
  <c r="S40" i="1"/>
  <c r="U39" i="1"/>
  <c r="V39" i="1" s="1"/>
  <c r="S39" i="1"/>
  <c r="U38" i="1"/>
  <c r="V38" i="1" s="1"/>
  <c r="S38" i="1"/>
  <c r="U37" i="1"/>
  <c r="V37" i="1" s="1"/>
  <c r="S37" i="1"/>
  <c r="U36" i="1"/>
  <c r="V36" i="1" s="1"/>
  <c r="S36" i="1"/>
  <c r="U35" i="1"/>
  <c r="V35" i="1" s="1"/>
  <c r="S35" i="1"/>
  <c r="U34" i="1"/>
  <c r="V34" i="1" s="1"/>
  <c r="S34" i="1"/>
  <c r="U33" i="1"/>
  <c r="V33" i="1" s="1"/>
  <c r="S33" i="1"/>
  <c r="U32" i="1"/>
  <c r="V32" i="1" s="1"/>
  <c r="S32" i="1"/>
  <c r="U31" i="1"/>
  <c r="V31" i="1" s="1"/>
  <c r="S31" i="1"/>
  <c r="U30" i="1"/>
  <c r="V30" i="1" s="1"/>
  <c r="S30" i="1"/>
  <c r="U29" i="1"/>
  <c r="V29" i="1" s="1"/>
  <c r="S29" i="1"/>
  <c r="U28" i="1"/>
  <c r="V28" i="1" s="1"/>
  <c r="S28" i="1"/>
  <c r="U27" i="1"/>
  <c r="V27" i="1" s="1"/>
  <c r="S27" i="1"/>
  <c r="U26" i="1"/>
  <c r="V26" i="1" s="1"/>
  <c r="S26" i="1"/>
  <c r="U25" i="1"/>
  <c r="V25" i="1" s="1"/>
  <c r="S25" i="1"/>
  <c r="U24" i="1"/>
  <c r="V24" i="1" s="1"/>
  <c r="S24" i="1"/>
  <c r="U23" i="1"/>
  <c r="V23" i="1" s="1"/>
  <c r="S23" i="1"/>
  <c r="U22" i="1"/>
  <c r="V22" i="1" s="1"/>
  <c r="S22" i="1"/>
  <c r="U21" i="1"/>
  <c r="V21" i="1" s="1"/>
  <c r="S21" i="1"/>
  <c r="U20" i="1"/>
  <c r="V20" i="1" s="1"/>
  <c r="S20" i="1"/>
  <c r="U19" i="1"/>
  <c r="V19" i="1" s="1"/>
  <c r="S19" i="1"/>
  <c r="U18" i="1"/>
  <c r="V18" i="1" s="1"/>
  <c r="S18" i="1"/>
  <c r="U17" i="1"/>
  <c r="V17" i="1" s="1"/>
  <c r="S17" i="1"/>
  <c r="U16" i="1"/>
  <c r="V16" i="1" s="1"/>
  <c r="S16" i="1"/>
  <c r="V15" i="1"/>
  <c r="AK15" i="1" s="1"/>
  <c r="S15" i="1"/>
  <c r="V14" i="1"/>
  <c r="W14" i="1" s="1"/>
  <c r="S14" i="1"/>
  <c r="V13" i="1"/>
  <c r="S13" i="1"/>
  <c r="V12" i="1"/>
  <c r="W12" i="1" s="1"/>
  <c r="S12" i="1"/>
  <c r="U11" i="1"/>
  <c r="V11" i="1" s="1"/>
  <c r="S11" i="1"/>
  <c r="W13" i="1" l="1"/>
  <c r="AK13" i="1"/>
  <c r="AJ15" i="1"/>
  <c r="AL15" i="1" s="1"/>
  <c r="AK16" i="1"/>
  <c r="AJ16" i="1" s="1"/>
  <c r="AL16" i="1" s="1"/>
  <c r="W11"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AJ13" i="1" l="1"/>
  <c r="AL13" i="1" s="1"/>
  <c r="AK14" i="1"/>
  <c r="AJ14" i="1" s="1"/>
  <c r="AL14" i="1" s="1"/>
  <c r="K11" i="1" l="1"/>
  <c r="L11" i="1" s="1"/>
  <c r="AG11" i="1" s="1"/>
  <c r="N29" i="1"/>
  <c r="N31" i="1"/>
  <c r="N27" i="1"/>
  <c r="N43" i="1"/>
  <c r="N37" i="1"/>
  <c r="N44" i="1"/>
  <c r="N38" i="1"/>
  <c r="N47" i="1"/>
  <c r="N39" i="1"/>
  <c r="N40" i="1"/>
  <c r="N17" i="1"/>
  <c r="N34" i="1"/>
  <c r="N46" i="1"/>
  <c r="N33" i="1"/>
  <c r="N23" i="1"/>
  <c r="N20" i="1"/>
  <c r="N28" i="1"/>
  <c r="N16" i="1"/>
  <c r="N21" i="1"/>
  <c r="N32" i="1"/>
  <c r="N14" i="1"/>
  <c r="N26" i="1"/>
  <c r="N25" i="1"/>
  <c r="N22" i="1"/>
  <c r="N19" i="1"/>
  <c r="N41" i="1"/>
  <c r="N45" i="1"/>
  <c r="N35" i="1"/>
  <c r="AI11" i="1" l="1"/>
  <c r="AH11" i="1"/>
  <c r="F221" i="13"/>
  <c r="F211" i="13"/>
  <c r="F212" i="13"/>
  <c r="F213" i="13"/>
  <c r="F214" i="13"/>
  <c r="F215" i="13"/>
  <c r="F216" i="13"/>
  <c r="F217" i="13"/>
  <c r="F218" i="13"/>
  <c r="F219" i="13"/>
  <c r="F220" i="13"/>
  <c r="F210" i="13"/>
  <c r="B221" i="13" a="1"/>
  <c r="N12"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K42" i="1" l="1"/>
  <c r="L42" i="1" s="1"/>
  <c r="K36" i="1"/>
  <c r="L36" i="1" s="1"/>
  <c r="K30" i="1"/>
  <c r="L30" i="1" s="1"/>
  <c r="K24" i="1"/>
  <c r="L24" i="1" s="1"/>
  <c r="K18" i="1"/>
  <c r="L18" i="1" s="1"/>
  <c r="K15" i="1"/>
  <c r="L15" i="1" s="1"/>
  <c r="K13" i="1"/>
  <c r="L13" i="1" l="1"/>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K35" i="19" l="1"/>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AI6" i="19"/>
  <c r="W26" i="19"/>
  <c r="AI36" i="19"/>
  <c r="W36" i="19"/>
  <c r="K46" i="19"/>
  <c r="Q46" i="19"/>
  <c r="W16" i="19"/>
  <c r="Q6" i="19"/>
  <c r="AI16" i="19"/>
  <c r="K26" i="19"/>
  <c r="AI26" i="19"/>
  <c r="AC36" i="19"/>
  <c r="AI46" i="19"/>
  <c r="AC26" i="19"/>
  <c r="K36" i="19"/>
  <c r="K6" i="19"/>
  <c r="Q36" i="19"/>
  <c r="W46" i="19"/>
  <c r="AC6" i="19"/>
  <c r="K16" i="19"/>
  <c r="AC46" i="19"/>
  <c r="AC16" i="19"/>
  <c r="Q26" i="19"/>
  <c r="Q16" i="19"/>
  <c r="W6"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J46" i="19"/>
  <c r="AD46" i="19"/>
  <c r="L36" i="19"/>
  <c r="X16" i="19"/>
  <c r="AJ26" i="19"/>
  <c r="L46" i="19"/>
  <c r="X6" i="19"/>
  <c r="R36" i="19"/>
  <c r="X36" i="19"/>
  <c r="R6" i="19"/>
  <c r="AJ6" i="19"/>
  <c r="AD36" i="19"/>
  <c r="R46" i="19"/>
  <c r="AD26" i="19"/>
  <c r="L16" i="19"/>
  <c r="AD16" i="19"/>
  <c r="X46" i="19"/>
  <c r="X26" i="19"/>
  <c r="AJ36" i="19"/>
  <c r="R26" i="19"/>
  <c r="AD6" i="19"/>
  <c r="L6" i="19"/>
  <c r="L26" i="19"/>
  <c r="R16" i="19"/>
  <c r="AJ16"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N18" i="1" l="1"/>
  <c r="O18" i="1" s="1"/>
  <c r="N11" i="1"/>
  <c r="O11" i="1" s="1"/>
  <c r="N15" i="1"/>
  <c r="O15" i="1" s="1"/>
  <c r="N30" i="1"/>
  <c r="O30" i="1" s="1"/>
  <c r="N24" i="1"/>
  <c r="O24" i="1" s="1"/>
  <c r="N13" i="1"/>
  <c r="O13" i="1" s="1"/>
  <c r="N42" i="1"/>
  <c r="O42" i="1" s="1"/>
  <c r="N36" i="1"/>
  <c r="O36" i="1" s="1"/>
  <c r="X6" i="18" l="1"/>
  <c r="AJ30" i="18"/>
  <c r="R22" i="18"/>
  <c r="L6" i="18"/>
  <c r="R30" i="18"/>
  <c r="X22" i="18"/>
  <c r="X38" i="18"/>
  <c r="AD38" i="18"/>
  <c r="Q13" i="1"/>
  <c r="AD22" i="18"/>
  <c r="P13" i="1"/>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P24" i="1"/>
  <c r="J42" i="18"/>
  <c r="P34" i="18"/>
  <c r="AB18" i="18"/>
  <c r="AB42" i="18"/>
  <c r="AH34" i="18"/>
  <c r="P10" i="18"/>
  <c r="V34" i="18"/>
  <c r="P42" i="18"/>
  <c r="V42" i="18"/>
  <c r="AH42" i="18"/>
  <c r="AB26" i="18"/>
  <c r="AH26" i="18"/>
  <c r="V26" i="18"/>
  <c r="AB34" i="18"/>
  <c r="V10" i="18"/>
  <c r="AH18" i="18"/>
  <c r="J34" i="18"/>
  <c r="J10" i="18"/>
  <c r="AB10" i="18"/>
  <c r="J18" i="18"/>
  <c r="Q24" i="1"/>
  <c r="P26" i="18"/>
  <c r="J26" i="18"/>
  <c r="AH10" i="18"/>
  <c r="P18" i="18"/>
  <c r="V18" i="18"/>
  <c r="X42" i="18"/>
  <c r="AD34" i="18"/>
  <c r="AD10" i="18"/>
  <c r="AD26" i="18"/>
  <c r="L10" i="18"/>
  <c r="L42" i="18"/>
  <c r="L26" i="18"/>
  <c r="X18" i="18"/>
  <c r="X34" i="18"/>
  <c r="X10" i="18"/>
  <c r="R18" i="18"/>
  <c r="AJ10" i="18"/>
  <c r="AD42" i="18"/>
  <c r="AJ34" i="18"/>
  <c r="R26" i="18"/>
  <c r="P30" i="1"/>
  <c r="L18" i="18"/>
  <c r="AJ26" i="18"/>
  <c r="AD18" i="18"/>
  <c r="R34" i="18"/>
  <c r="L34" i="18"/>
  <c r="AJ42" i="18"/>
  <c r="R10" i="18"/>
  <c r="R42" i="18"/>
  <c r="X26" i="18"/>
  <c r="AJ18" i="18"/>
  <c r="Q30" i="1"/>
  <c r="T14" i="18"/>
  <c r="AL38" i="18"/>
  <c r="N14" i="18"/>
  <c r="Z6" i="18"/>
  <c r="T38" i="18"/>
  <c r="T22" i="18"/>
  <c r="AL14" i="18"/>
  <c r="N22" i="18"/>
  <c r="Q15" i="1"/>
  <c r="AF22" i="18"/>
  <c r="N6" i="18"/>
  <c r="AF6" i="18"/>
  <c r="AF38" i="18"/>
  <c r="P15" i="1"/>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P36" i="1"/>
  <c r="Z34" i="18"/>
  <c r="T10" i="18"/>
  <c r="Q36" i="1"/>
  <c r="AL42" i="18"/>
  <c r="N34" i="18"/>
  <c r="T42" i="18"/>
  <c r="P14" i="18"/>
  <c r="V22" i="18"/>
  <c r="V14" i="18"/>
  <c r="P22" i="18"/>
  <c r="V38" i="18"/>
  <c r="AH14" i="18"/>
  <c r="AH38" i="18"/>
  <c r="J14" i="18"/>
  <c r="AB22" i="18"/>
  <c r="V30" i="18"/>
  <c r="AB14" i="18"/>
  <c r="AB38" i="18"/>
  <c r="J30" i="18"/>
  <c r="P38" i="18"/>
  <c r="AB6" i="18"/>
  <c r="P11" i="1"/>
  <c r="AK11" i="1" s="1"/>
  <c r="AJ11" i="1" s="1"/>
  <c r="AL11" i="1" s="1"/>
  <c r="AH30" i="18"/>
  <c r="J38" i="18"/>
  <c r="AH6" i="18"/>
  <c r="V6" i="18"/>
  <c r="AB30" i="18"/>
  <c r="J22" i="18"/>
  <c r="J6" i="18"/>
  <c r="P30" i="18"/>
  <c r="AH22" i="18"/>
  <c r="P6" i="18"/>
  <c r="Q11" i="1"/>
  <c r="AH12" i="18"/>
  <c r="J20" i="18"/>
  <c r="J44" i="18"/>
  <c r="AB28" i="18"/>
  <c r="P28" i="18"/>
  <c r="Q42" i="1"/>
  <c r="P12" i="18"/>
  <c r="AH20" i="18"/>
  <c r="P44" i="18"/>
  <c r="AB12" i="18"/>
  <c r="P20" i="18"/>
  <c r="J36" i="18"/>
  <c r="P36" i="18"/>
  <c r="AB44" i="18"/>
  <c r="V44" i="18"/>
  <c r="J28" i="18"/>
  <c r="AH36" i="18"/>
  <c r="V12" i="18"/>
  <c r="V28" i="18"/>
  <c r="AH44" i="18"/>
  <c r="AB20" i="18"/>
  <c r="AB36" i="18"/>
  <c r="AH28" i="18"/>
  <c r="V36" i="18"/>
  <c r="V20" i="18"/>
  <c r="P42" i="1"/>
  <c r="J12" i="18"/>
  <c r="AF24" i="18"/>
  <c r="AF32" i="18"/>
  <c r="T40" i="18"/>
  <c r="P18" i="1"/>
  <c r="Z40" i="18"/>
  <c r="AL8" i="18"/>
  <c r="AF8" i="18"/>
  <c r="T8" i="18"/>
  <c r="Z16" i="18"/>
  <c r="T24" i="18"/>
  <c r="AL24" i="18"/>
  <c r="Z32" i="18"/>
  <c r="N32" i="18"/>
  <c r="N16" i="18"/>
  <c r="Z8" i="18"/>
  <c r="AL40" i="18"/>
  <c r="N8" i="18"/>
  <c r="N24" i="18"/>
  <c r="T32" i="18"/>
  <c r="T16" i="18"/>
  <c r="AF40" i="18"/>
  <c r="AF16" i="18"/>
  <c r="AL32" i="18"/>
  <c r="N40" i="18"/>
  <c r="Z24" i="18"/>
  <c r="AL16" i="18"/>
  <c r="Q18" i="1"/>
  <c r="P38" i="19" l="1"/>
  <c r="J27" i="19"/>
  <c r="P16" i="19"/>
  <c r="P6" i="19"/>
  <c r="AH6" i="19"/>
  <c r="V46" i="19"/>
  <c r="AH46" i="19"/>
  <c r="AB46" i="19"/>
  <c r="J6" i="19"/>
  <c r="P46" i="19"/>
  <c r="AB26" i="19"/>
  <c r="AB16" i="19"/>
  <c r="AH26" i="19"/>
  <c r="J16" i="19"/>
  <c r="V26" i="19"/>
  <c r="AH36" i="19"/>
  <c r="P26" i="19"/>
  <c r="V16" i="19"/>
  <c r="V36" i="19"/>
  <c r="AH16" i="19"/>
  <c r="V6" i="19"/>
  <c r="AB36" i="19"/>
  <c r="AB6" i="19"/>
  <c r="P36" i="19"/>
  <c r="J36" i="19"/>
  <c r="J26" i="19"/>
  <c r="J46" i="19"/>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B38" i="19" l="1"/>
  <c r="J38" i="19"/>
  <c r="AH8" i="19"/>
  <c r="J18" i="19"/>
  <c r="P28" i="19"/>
  <c r="V28" i="19"/>
  <c r="J28" i="19"/>
  <c r="V48" i="19"/>
  <c r="AH28" i="19"/>
  <c r="AB8" i="19"/>
  <c r="J8" i="19"/>
  <c r="AB28" i="19"/>
  <c r="V8" i="19"/>
  <c r="P48" i="19"/>
  <c r="J48" i="19"/>
  <c r="P8" i="19"/>
  <c r="AB48" i="19"/>
  <c r="AB18" i="19"/>
  <c r="V18" i="19"/>
  <c r="P18" i="19"/>
  <c r="V38" i="19"/>
  <c r="AH38" i="19"/>
  <c r="AH18" i="19"/>
  <c r="AH48" i="19"/>
  <c r="AI48" i="19"/>
  <c r="Q8" i="19"/>
  <c r="AC48" i="19"/>
  <c r="K8" i="19"/>
  <c r="AI18" i="19"/>
  <c r="Q18" i="19"/>
  <c r="AC18" i="19"/>
  <c r="Q48" i="19"/>
  <c r="AC8" i="19"/>
  <c r="AI28" i="19"/>
  <c r="W48" i="19"/>
  <c r="AI38" i="19"/>
  <c r="W18" i="19"/>
  <c r="Q28" i="19"/>
  <c r="AC38" i="19"/>
  <c r="W28" i="19"/>
  <c r="W8" i="19"/>
  <c r="K48" i="19"/>
  <c r="W38" i="19"/>
  <c r="K38" i="19"/>
  <c r="Q38" i="19"/>
  <c r="K18" i="19"/>
  <c r="AC28" i="19"/>
  <c r="K28" i="19"/>
  <c r="AI8" i="19"/>
  <c r="AB47" i="19"/>
  <c r="J47" i="19"/>
  <c r="AH47" i="19"/>
  <c r="AH7" i="19"/>
  <c r="AH17" i="19"/>
  <c r="AB7" i="19"/>
  <c r="V7" i="19"/>
  <c r="V47" i="19"/>
  <c r="AH27" i="19"/>
  <c r="AB37" i="19"/>
  <c r="J7" i="19"/>
  <c r="V27" i="19"/>
  <c r="AH37" i="19"/>
  <c r="P17" i="19"/>
  <c r="AB27" i="19"/>
  <c r="J37" i="19"/>
  <c r="AB17" i="19"/>
  <c r="V17" i="19"/>
  <c r="V37" i="19"/>
  <c r="P47" i="19"/>
  <c r="P7" i="19"/>
  <c r="P27" i="19"/>
  <c r="P37" i="19"/>
  <c r="J17" i="19"/>
  <c r="W17" i="19"/>
  <c r="AC27" i="19"/>
  <c r="W47" i="19"/>
  <c r="AC37" i="19"/>
  <c r="Q7" i="19"/>
  <c r="W27" i="19"/>
  <c r="AC47" i="19"/>
  <c r="Q37" i="19"/>
  <c r="Q47" i="19"/>
  <c r="AI37" i="19"/>
  <c r="AI27" i="19"/>
  <c r="W7" i="19"/>
  <c r="AI17" i="19"/>
  <c r="K27" i="19"/>
  <c r="W37" i="19"/>
  <c r="K7" i="19"/>
  <c r="Q27" i="19"/>
  <c r="AC7" i="19"/>
  <c r="K47" i="19"/>
  <c r="AC17" i="19"/>
  <c r="K17" i="19"/>
  <c r="AI47" i="19"/>
  <c r="K37" i="19"/>
  <c r="AI7" i="19"/>
  <c r="Q17"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<sst xmlns="http://schemas.openxmlformats.org/spreadsheetml/2006/main" count="457" uniqueCount="307">
  <si>
    <t xml:space="preserve">Referencia </t>
  </si>
  <si>
    <t>Descripción del Riesgo</t>
  </si>
  <si>
    <t>Impacto</t>
  </si>
  <si>
    <t>Causa Inmediata</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</si>
  <si>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</si>
  <si>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</si>
  <si>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</si>
  <si>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</si>
  <si>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</si>
  <si>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</si>
  <si>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</si>
  <si>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</si>
  <si>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</si>
  <si>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</si>
  <si>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</si>
  <si>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</si>
  <si>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</si>
  <si>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</si>
  <si>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</si>
  <si>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</si>
  <si>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</si>
  <si>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</si>
  <si>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</si>
  <si>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</si>
  <si>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</si>
  <si>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</si>
  <si>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</si>
  <si>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</si>
  <si>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</si>
  <si>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</si>
  <si>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</si>
  <si>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</si>
  <si>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</si>
  <si>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</si>
  <si>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</si>
  <si>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</si>
  <si>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</si>
  <si>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</si>
  <si>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</si>
  <si>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</si>
  <si>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</si>
  <si>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</si>
  <si>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Causa Raíz</t>
  </si>
  <si>
    <t>Proceso:</t>
  </si>
  <si>
    <t>Alcance:</t>
  </si>
  <si>
    <t>Impacto 
Inherente</t>
  </si>
  <si>
    <t>Probabilidad Residual Final</t>
  </si>
  <si>
    <t>Impacto Residual Final</t>
  </si>
  <si>
    <t>Zona de Riesgo Inherente</t>
  </si>
  <si>
    <t>Zona de Riesgo Final</t>
  </si>
  <si>
    <t>Clasificación del Riesgo</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</si>
  <si>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</si>
  <si>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</si>
  <si>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</si>
  <si>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</si>
  <si>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</si>
  <si>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</si>
  <si>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</si>
  <si>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</si>
  <si>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</si>
  <si>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</si>
  <si>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</si>
  <si>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</si>
  <si>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</si>
  <si>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</si>
  <si>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</si>
  <si>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</si>
  <si>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</si>
  <si>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</si>
  <si>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</si>
  <si>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</si>
  <si>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</si>
  <si>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</si>
  <si>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</si>
  <si>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</si>
  <si>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</si>
  <si>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</si>
  <si>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</si>
  <si>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</si>
  <si>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</si>
  <si>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</si>
  <si>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</si>
  <si>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</si>
  <si>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</si>
  <si>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</si>
  <si>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</si>
  <si>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</si>
  <si>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</si>
  <si>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</si>
  <si>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</si>
  <si>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</si>
  <si>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</si>
  <si>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</si>
  <si>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</si>
  <si>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</si>
  <si>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</si>
  <si>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</si>
  <si>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</si>
  <si>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</si>
  <si>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</si>
  <si>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</si>
  <si>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</si>
  <si>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</si>
  <si>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</si>
  <si>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</si>
  <si>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</si>
  <si>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</si>
  <si>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</si>
  <si>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</si>
  <si>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</si>
  <si>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</si>
  <si>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</si>
  <si>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</si>
  <si>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</si>
  <si>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</si>
  <si>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</si>
  <si>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</si>
  <si>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</si>
  <si>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</si>
  <si>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</si>
  <si>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</si>
  <si>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</si>
  <si>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</si>
  <si>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</si>
  <si>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</si>
  <si>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</si>
  <si>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</si>
  <si>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</si>
  <si>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</si>
  <si>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</si>
  <si>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t>Objetivo: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</si>
  <si>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</si>
  <si>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</si>
  <si>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</si>
  <si>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</si>
  <si>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</si>
  <si>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</si>
  <si>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</si>
  <si>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</si>
  <si>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</si>
  <si>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</si>
  <si>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</si>
  <si>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</si>
  <si>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</si>
  <si>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</si>
  <si>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</si>
  <si>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</si>
  <si>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</si>
  <si>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</si>
  <si>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</si>
  <si>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</si>
  <si>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</si>
  <si>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</si>
  <si>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</si>
  <si>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</si>
  <si>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</si>
  <si>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</si>
  <si>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</si>
  <si>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 Matriz de Calor Residual</t>
  </si>
  <si>
    <t>Matriz de Calor Inherente</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</si>
  <si>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</si>
  <si>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</si>
  <si>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Orientaciones Generales</t>
  </si>
  <si>
    <t>Columna</t>
  </si>
  <si>
    <t>Matriz Mapa de Riesgos</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</si>
  <si>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</si>
  <si>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</si>
  <si>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</si>
  <si>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t>Frecuencia con la cual se lleva a cabo la actividad</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</si>
  <si>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</si>
  <si>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</si>
  <si>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</si>
  <si>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</si>
  <si>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</si>
  <si>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</si>
  <si>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</si>
  <si>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t>Utilice la lista de despligue que se encuentra parametrizada, le aparecerán las opciones: i)Preventivo, ii)Detectivo, iii)Correctivo.</t>
  </si>
  <si>
    <t>Utilice la lista de despligue que se encuentra parametrizada, le aparecerán las opciones: i)Automático, ii)Manual.</t>
  </si>
  <si>
    <t xml:space="preserve">La matriz automáticamente hará el cálculo para el control analizado (Columna T) </t>
  </si>
  <si>
    <r>
      <t xml:space="preserve">ATRIBUTOS EFICIENCIA
</t>
    </r>
    <r>
      <rPr>
        <sz val="9"/>
        <rFont val="Arial Narrow"/>
        <family val="2"/>
      </rPr>
      <t>Tipo</t>
    </r>
  </si>
  <si>
    <r>
      <t xml:space="preserve">ATRIBUTOS EFICIENCIA
</t>
    </r>
    <r>
      <rPr>
        <sz val="9"/>
        <rFont val="Arial Narrow"/>
        <family val="2"/>
      </rPr>
      <t>Implementación</t>
    </r>
  </si>
  <si>
    <r>
      <t xml:space="preserve">ATRIBUTOS EFICIENCIA
</t>
    </r>
    <r>
      <rPr>
        <sz val="9"/>
        <rFont val="Arial Narrow"/>
        <family val="2"/>
      </rPr>
      <t>Calificación</t>
    </r>
  </si>
  <si>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</si>
  <si>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</si>
  <si>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</si>
  <si>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</si>
  <si>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</si>
  <si>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</si>
  <si>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</si>
  <si>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</si>
  <si>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</si>
  <si>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</si>
  <si>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r>
      <t xml:space="preserve">Plan de Acción
</t>
    </r>
    <r>
      <rPr>
        <sz val="9"/>
        <rFont val="Arial Narrow"/>
        <family val="2"/>
      </rPr>
      <t xml:space="preserve">Responsable, fecha implementación, fecha seguimiento, seguimiento. </t>
    </r>
  </si>
  <si>
    <t>Utilice la lista de despligue que se encuentra parametrizada, le aparecerán las opciones: i)Finalizado, ii)En curso, la selección en este caso dependerá de las acciones del plan que se hayan establecido en cada caso.</t>
  </si>
  <si>
    <t>Proceso</t>
  </si>
  <si>
    <t>Objetivo</t>
  </si>
  <si>
    <t>Alcance</t>
  </si>
  <si>
    <t>Diligencie el objetivo del proceso.</t>
  </si>
  <si>
    <t>Diligencie el alcance del proceso.</t>
  </si>
  <si>
    <t>Diligencie el nombre del proceso al cual se le identificarán y valorarán los riesgos.</t>
  </si>
  <si>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</si>
  <si>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Descripción - Lineamientos para el diligenciamiento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</si>
  <si>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</si>
  <si>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</si>
  <si>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</si>
  <si>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</si>
  <si>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</si>
  <si>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</si>
  <si>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Analice las consecuencias que puede ocasionar a la organización la materialización del riesgo, redacte de la forma más concreta posible.</t>
  </si>
  <si>
    <t>Circunstancias bajo las cuales se presenta el riesgo, es la situación más evidente frente al riesgo, redacte de la forma más concreta posible.</t>
  </si>
  <si>
    <t>Causa  principal  o básica, corresponde a las razones por la cuales se puede presentar  el riesgo, redacte de la forma más concreta posible.</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</si>
  <si>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</si>
  <si>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objetivo estragtegico</t>
  </si>
  <si>
    <t>Contexto Estrategico Interno-Externo-Proceso</t>
  </si>
  <si>
    <t xml:space="preserve">Causa </t>
  </si>
  <si>
    <t>Riesgo</t>
  </si>
  <si>
    <r>
      <rPr>
        <b/>
        <sz val="14"/>
        <color theme="1"/>
        <rFont val="Arial Narrow"/>
        <family val="2"/>
      </rPr>
      <t xml:space="preserve">CODIGO: </t>
    </r>
    <r>
      <rPr>
        <sz val="14"/>
        <color theme="1"/>
        <rFont val="Arial Narrow"/>
        <family val="2"/>
      </rPr>
      <t>PCE-01-F-02</t>
    </r>
  </si>
  <si>
    <t>Gestionar, administrar, provisionar el talento humano  y generar actividades que satisfagan el nivel de competencias del personal de la Corporación</t>
  </si>
  <si>
    <t>Garantizar la competencia del talento humano, a través del fortalecimiento de los perfiles profesionales de los funcionarios y demás servidores de la corporación.</t>
  </si>
  <si>
    <t>1. Bajo sentido de pertenencia.
2. Resistencia al cambio.
3. Comunicación deficiente con las  dependencias.
4. Insuficiente personal de planta.
5. Deficiencia en la ejecución de planes y  programas.</t>
  </si>
  <si>
    <t>No se ejecutan las actividades programadas en los planes de talento humano establecidas en la entidad</t>
  </si>
  <si>
    <t>Seguimiento semestral al cumplimiento del cronograma de ejecución de las actividades programadas en los diferentes planes  de talento humano.</t>
  </si>
  <si>
    <t>Deficiente  seguridad  de información.</t>
  </si>
  <si>
    <t>Probabilidad de pérdida de la informacion reposada en el área talento humano, cuando se extravia información como hojas de vidas e historias laborales.</t>
  </si>
  <si>
    <t>Extravio de información como hojas de vidas e historias laborales.</t>
  </si>
  <si>
    <t xml:space="preserve"> inadecuada liquidación de prestaciones sociales y demás conceptos salariales.</t>
  </si>
  <si>
    <t>Revisión del formato de liquidación .</t>
  </si>
  <si>
    <t>Capacitación y actualización permanente para el personal que liquida la nómina y las prestaciones sociales</t>
  </si>
  <si>
    <t>Durante el primer semestre de cada vigencia</t>
  </si>
  <si>
    <t>Oficina con puerta independiente, 
 Circular No. 04 de 2003.</t>
  </si>
  <si>
    <t>Deficiente conocimiento en temas   cambios de normatividad.
Deficiente parametrización de Sofwart utilizado en el proceso de liquidación</t>
  </si>
  <si>
    <t>Verficación de las cifras emitidas por el Sofwart, comparandola con otras herramientas (excel, calculadora, aplicativo etc…)</t>
  </si>
  <si>
    <t xml:space="preserve">digitalizar las historias laborales con el fin de tener respaldo de información relevante ante eventuales perdidas o daño de documentos. </t>
  </si>
  <si>
    <t>Personal</t>
  </si>
  <si>
    <t>Tecnologico</t>
  </si>
  <si>
    <t>Mensual</t>
  </si>
  <si>
    <t>Semestral</t>
  </si>
  <si>
    <t xml:space="preserve">Probabilidad de afectación económica y reputacional por el incumplimiento  en la ejecución de los Planes de Talento Humano, debido a falta de oferta institucional y recursos presupuestales.  </t>
  </si>
  <si>
    <t xml:space="preserve">Solicitar a los responsables de los diferentes planes de talento humano, realizar e informar al área de talento humano los ajustes que sean necesarios de manera oportuna
</t>
  </si>
  <si>
    <t>Probabilidad de afectación económica por errores  en la liquidación de prestaciones sociales, situaciones administrativas y demas factores salariales de talento humano, cuando  por error, desconocimiento o fallas tecnologicas se realiza una inadecuada liquidación de prestaciones sociales y demas conceptos salariales.</t>
  </si>
  <si>
    <t>Inicia con los planes de Talento Humano, ejecución, provision, desarrollo y retiro del talento humano de CORPOCESAR.</t>
  </si>
  <si>
    <t>Anual</t>
  </si>
  <si>
    <t>Digitalizar historias laborales</t>
  </si>
  <si>
    <t>Subdirectora Administrativa y Financiera
Coordinación GIT de talento humano</t>
  </si>
  <si>
    <t>Coordinación GIT de talento humano</t>
  </si>
  <si>
    <t>Semestre</t>
  </si>
  <si>
    <t>Revisión de los datos generadas en el Software, para la realización de la parametrización del mismo</t>
  </si>
  <si>
    <t>SISTEMA INTEGRADO DE GESTIÓN
PLANEACIÓN ESTRATEGICA
MAPA DE RIESGOS Y OPORTUNIDADES POR PROCESOS</t>
  </si>
  <si>
    <t>Gestión del Talento Humano</t>
  </si>
  <si>
    <r>
      <t xml:space="preserve">versión: </t>
    </r>
    <r>
      <rPr>
        <sz val="14"/>
        <color theme="1"/>
        <rFont val="Arial Narrow"/>
        <family val="2"/>
      </rPr>
      <t>4.0</t>
    </r>
  </si>
  <si>
    <t>FECHA: 27/12/2024</t>
  </si>
  <si>
    <t>Fecha Actualización: 22/04/2025</t>
  </si>
  <si>
    <t>Identificación del Riesgo y/o Oportunidad (es)</t>
  </si>
  <si>
    <t>Oportunidad (es)</t>
  </si>
  <si>
    <t>Nivel de la Oportunidad</t>
  </si>
  <si>
    <t>Zona de Oportunidad</t>
  </si>
  <si>
    <t>Evaluación</t>
  </si>
  <si>
    <t>Análisis de Oportunidades</t>
  </si>
  <si>
    <t>Descripción del Control para Riesgo/Oportunidad</t>
  </si>
  <si>
    <t>Análisis de Oportunidades con Tratamiento</t>
  </si>
  <si>
    <t>Nivel de la oportunidad</t>
  </si>
  <si>
    <t>Zona de la Oportunidad con Tratamiento</t>
  </si>
  <si>
    <t xml:space="preserve">Mejoramiento del clima laboral, aumento de la productividad y bienestar de los funcionarios y contratistas a causa del cumplimiento plan de bienestar institucional. </t>
  </si>
  <si>
    <t>Profesionales competentes (formación, integridad y experiencia) para la ejecuciòn de las actividades de la Corporación</t>
  </si>
  <si>
    <t>Realización de Jornada de Inducción y reinducción
Indicadores de desempeño del talento humano</t>
  </si>
  <si>
    <t>Seguimiento a la oferta institucional
Ejecución Jornada de Inducción y Reinducción</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</si>
  <si>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</si>
  <si>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</si>
  <si>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</si>
  <si>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</si>
  <si>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</si>
  <si>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</si>
  <si>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</si>
  <si>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</si>
  <si>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</si>
  <si>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</si>
  <si>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</si>
  <si>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</si>
  <si>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</si>
  <si>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</si>
  <si>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</si>
  <si>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</si>
  <si>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</si>
  <si>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</si>
  <si>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</si>
  <si>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</si>
  <si>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</si>
  <si>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</si>
  <si>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</si>
  <si>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</si>
  <si>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</si>
  <si>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</si>
  <si>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</si>
  <si>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</si>
  <si>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</si>
  <si>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</si>
  <si>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Finalizada</t>
  </si>
  <si>
    <t>Se adelanta junto con el proveedor del Software de nómina, revisión de la liquidación mensual de los emolumentos y deducciones que tienen los servidores publicos y se valida mes a mes con liquidación en Excel</t>
  </si>
  <si>
    <t>En Curso</t>
  </si>
  <si>
    <t xml:space="preserve">Anual </t>
  </si>
  <si>
    <t xml:space="preserve">                                                                                                                                                                                                                                                                                                                                                                                                                                                                                                                                                                 </t>
  </si>
  <si>
    <t>Se adelantó el proceso de digitalización de las historias laborales, la cual se encuentra en un 85%</t>
  </si>
  <si>
    <t>Organizar las Historiass Laborales conforme a lo estipulado en la Circular No. 04 de 2003 emitida por el DAFP y el AGN</t>
  </si>
  <si>
    <t>En total a corte 31 de diciembre de 2025, para el plan institucional de capacitación quedaron aprobados 52 temáticas, de las  cuales se ejecutaron a 30 de diciembre cuarenta (43) para un total de ejecución del plan del 82%.</t>
  </si>
  <si>
    <t>Se concedió estimulos educativos a los funcionarios de planta que adelantaron estudios de pregrado, postgrado y técnico, para el fortalecimiento del talento humano de la entidad, a través del Comité de Gestión y Desempeño. 
Soporte: https://www.corpocesar.gov.co/files/2025/10/otros/Acta_Comite_Institucional_de_Gestion_y_Desempe%C3%B1o__09_Sep_2025.pdf
Con  relacion  a la jornada  de induccion  Y reinducion  mediante oficio interno DG-1000-039  del 11  de marzo del 2025, Se Invito al servidores  de planta y  contratistas a La Jornada de Inducción y Reinducción que se llevó a cabo los días 29 y 31 de marzo de 2025.</t>
  </si>
  <si>
    <t>Las historias laborales a Diciembre 30 de 2025  fueron organizadas en un 100%</t>
  </si>
  <si>
    <t>Durante los días 17 y 21 de junio de 2025, la Coordinadora del GIT para la Gestión del Talento Humano y la Profesional de Apoyo encargada del proceso de la nómina, participaron en una mesa de trabajo para la parametrización y verificación de la implementación de los ajustes normativos de la reforma pensional en SIAN.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</si>
</sst>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6"/>
      <color theme="1"/>
      <name val="Arial Narrow"/>
      <family val="2"/>
    </font>
    <font>
      <b/>
      <sz val="10"/>
      <color theme="1"/>
      <name val="Arial Narrow"/>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6">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style="thin">
        <color theme="9"/>
      </right>
      <top style="thin">
        <color theme="9"/>
      </top>
      <bottom style="thin">
        <color theme="9"/>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left>
      <right style="thin">
        <color theme="9"/>
      </right>
      <top/>
      <bottom style="thin">
        <color theme="9"/>
      </bottom>
      <diagonal/>
    </border>
    <border>
      <left style="thin">
        <color theme="9"/>
      </left>
      <right/>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dashed">
        <color theme="9" tint="-0.24994659260841701"/>
      </left>
      <right style="dashed">
        <color theme="9" tint="-0.24994659260841701"/>
      </right>
      <top/>
      <bottom style="thin">
        <color theme="9" tint="0.39997558519241921"/>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4" fillId="0" borderId="0"/>
  </cellStyleXfs>
  <cellXfs count="51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4" fillId="2"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top" wrapText="1"/>
      <protection hidden="1"/>
    </xf>
    <xf numFmtId="0" fontId="4" fillId="0" borderId="5" xfId="0" applyFont="1" applyBorder="1" applyAlignment="1" applyProtection="1">
      <alignment horizontal="center" vertical="top"/>
      <protection hidden="1"/>
    </xf>
    <xf numFmtId="0" fontId="2" fillId="0" borderId="5" xfId="0" applyFont="1" applyBorder="1" applyAlignment="1" applyProtection="1">
      <alignment horizontal="center" vertical="top" wrapText="1"/>
      <protection locked="0"/>
    </xf>
    <xf numFmtId="0" fontId="1" fillId="0" borderId="5" xfId="0" applyFont="1" applyBorder="1" applyAlignment="1" applyProtection="1">
      <alignment horizontal="center" vertical="top"/>
      <protection locked="0"/>
    </xf>
    <xf numFmtId="0" fontId="4" fillId="0" borderId="5" xfId="0"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locked="0"/>
    </xf>
    <xf numFmtId="0" fontId="26" fillId="3" borderId="0" xfId="0" applyFont="1" applyFill="1" applyAlignment="1">
      <alignment horizontal="justify" vertical="center" wrapText="1"/>
    </xf>
    <xf numFmtId="0" fontId="1" fillId="3" borderId="0" xfId="0" applyFont="1" applyFill="1" applyAlignment="1">
      <alignment horizontal="justify" vertical="center" wrapText="1"/>
    </xf>
    <xf numFmtId="0" fontId="1" fillId="0" borderId="0" xfId="0" applyFont="1" applyAlignment="1">
      <alignment horizontal="justify" vertical="center" wrapText="1"/>
    </xf>
    <xf numFmtId="0" fontId="1" fillId="0" borderId="2" xfId="0" applyFont="1" applyBorder="1" applyAlignment="1" applyProtection="1">
      <alignment horizontal="justify" vertical="center" wrapText="1"/>
      <protection locked="0"/>
    </xf>
    <xf numFmtId="0" fontId="1" fillId="0" borderId="6" xfId="0" applyFont="1" applyBorder="1" applyAlignment="1" applyProtection="1">
      <alignment horizontal="center" vertical="center" wrapText="1"/>
      <protection locked="0"/>
    </xf>
    <xf numFmtId="0" fontId="1" fillId="0" borderId="0" xfId="0" applyFont="1" applyAlignment="1">
      <alignment horizontal="center" vertical="center" wrapText="1"/>
    </xf>
    <xf numFmtId="14" fontId="1" fillId="0" borderId="6"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2" fillId="0" borderId="4" xfId="0" applyFont="1" applyBorder="1" applyAlignment="1" applyProtection="1">
      <alignment vertical="center" wrapText="1"/>
      <protection locked="0"/>
    </xf>
    <xf numFmtId="0" fontId="2" fillId="0" borderId="8"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64" fontId="1" fillId="3" borderId="2" xfId="1" applyNumberFormat="1" applyFont="1" applyFill="1" applyBorder="1" applyAlignment="1">
      <alignment horizontal="center" vertical="center"/>
    </xf>
    <xf numFmtId="0" fontId="1" fillId="0" borderId="2" xfId="0" applyFont="1" applyBorder="1" applyAlignment="1" applyProtection="1">
      <alignment horizontal="center" vertical="center"/>
      <protection locked="0"/>
    </xf>
    <xf numFmtId="0" fontId="1" fillId="3" borderId="0" xfId="0" applyFont="1" applyFill="1" applyAlignment="1">
      <alignment horizontal="center" vertical="center"/>
    </xf>
    <xf numFmtId="0" fontId="6" fillId="0" borderId="2" xfId="0" applyFont="1" applyBorder="1" applyAlignment="1" applyProtection="1">
      <alignment horizontal="center" vertical="center" wrapText="1"/>
      <protection locked="0"/>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2" fillId="0" borderId="5" xfId="0" applyFont="1" applyBorder="1" applyAlignment="1" applyProtection="1">
      <alignment vertical="center" wrapText="1"/>
      <protection locked="0"/>
    </xf>
    <xf numFmtId="0" fontId="2" fillId="0" borderId="93" xfId="0" applyFont="1" applyBorder="1" applyAlignment="1" applyProtection="1">
      <alignment horizontal="center" vertical="center" wrapText="1"/>
      <protection locked="0"/>
    </xf>
    <xf numFmtId="0" fontId="60" fillId="0" borderId="4" xfId="0" applyFont="1" applyBorder="1" applyAlignment="1" applyProtection="1">
      <alignment horizontal="center" vertical="center"/>
      <protection hidden="1"/>
    </xf>
    <xf numFmtId="0" fontId="60"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1" fillId="3" borderId="13" xfId="5" applyFont="1" applyFill="1" applyBorder="1" applyAlignment="1">
      <alignment vertical="center"/>
    </xf>
    <xf numFmtId="0" fontId="61" fillId="3" borderId="0" xfId="5" applyFont="1" applyFill="1" applyAlignment="1">
      <alignment vertical="center"/>
    </xf>
    <xf numFmtId="0" fontId="62" fillId="3" borderId="14" xfId="5" applyFont="1" applyFill="1" applyBorder="1" applyAlignment="1">
      <alignment vertical="center"/>
    </xf>
    <xf numFmtId="0" fontId="61" fillId="3" borderId="15" xfId="5" applyFont="1" applyFill="1" applyBorder="1" applyAlignment="1">
      <alignment vertical="center"/>
    </xf>
    <xf numFmtId="0" fontId="36" fillId="3" borderId="14" xfId="5" applyFont="1" applyFill="1" applyBorder="1" applyAlignment="1">
      <alignment vertical="center"/>
    </xf>
    <xf numFmtId="0" fontId="65" fillId="3" borderId="0" xfId="6" applyFont="1" applyFill="1" applyAlignment="1">
      <alignment horizontal="center" vertical="center"/>
    </xf>
    <xf numFmtId="0" fontId="66" fillId="3" borderId="0" xfId="6" applyFont="1" applyFill="1" applyAlignment="1">
      <alignment horizontal="center" vertical="center" wrapText="1"/>
    </xf>
    <xf numFmtId="0" fontId="66" fillId="3" borderId="0" xfId="6" applyFont="1" applyFill="1" applyAlignment="1">
      <alignment horizontal="center" vertical="center"/>
    </xf>
    <xf numFmtId="0" fontId="67" fillId="17" borderId="33" xfId="6" applyFont="1" applyFill="1" applyBorder="1" applyAlignment="1">
      <alignment horizontal="center" vertical="center" wrapText="1"/>
    </xf>
    <xf numFmtId="0" fontId="67" fillId="17" borderId="33" xfId="6" applyFont="1" applyFill="1" applyBorder="1" applyAlignment="1">
      <alignment horizontal="center" vertical="center"/>
    </xf>
    <xf numFmtId="0" fontId="67" fillId="9" borderId="33" xfId="6" applyFont="1" applyFill="1" applyBorder="1" applyAlignment="1">
      <alignment horizontal="center" vertical="center"/>
    </xf>
    <xf numFmtId="0" fontId="68" fillId="9" borderId="33" xfId="6" applyFont="1" applyFill="1" applyBorder="1" applyAlignment="1">
      <alignment horizontal="center" vertical="center" wrapText="1"/>
    </xf>
    <xf numFmtId="0" fontId="68" fillId="9" borderId="33" xfId="6" applyFont="1" applyFill="1" applyBorder="1" applyAlignment="1">
      <alignment horizontal="center" vertical="center"/>
    </xf>
    <xf numFmtId="0" fontId="67" fillId="18" borderId="33" xfId="6" applyFont="1" applyFill="1" applyBorder="1" applyAlignment="1">
      <alignment horizontal="center" vertical="center"/>
    </xf>
    <xf numFmtId="0" fontId="68" fillId="18" borderId="33" xfId="6" applyFont="1" applyFill="1" applyBorder="1" applyAlignment="1">
      <alignment horizontal="center" vertical="center" wrapText="1"/>
    </xf>
    <xf numFmtId="0" fontId="67" fillId="5" borderId="33" xfId="6" applyFont="1" applyFill="1" applyBorder="1" applyAlignment="1">
      <alignment horizontal="center" vertical="center"/>
    </xf>
    <xf numFmtId="0" fontId="68"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6"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6"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6"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1" fillId="3" borderId="17" xfId="5" applyFont="1" applyFill="1" applyBorder="1" applyAlignment="1">
      <alignment vertical="center"/>
    </xf>
    <xf numFmtId="0" fontId="26" fillId="0" borderId="29" xfId="0" applyFont="1" applyBorder="1" applyAlignment="1">
      <alignment vertical="center"/>
    </xf>
    <xf numFmtId="0" fontId="26" fillId="0" borderId="0" xfId="0" applyFont="1" applyAlignment="1">
      <alignment vertical="center"/>
    </xf>
    <xf numFmtId="0" fontId="1" fillId="3" borderId="2" xfId="0" applyFont="1" applyFill="1" applyBorder="1" applyAlignment="1" applyProtection="1">
      <alignment horizontal="justify" vertical="center" wrapText="1"/>
      <protection locked="0"/>
    </xf>
    <xf numFmtId="0" fontId="4" fillId="2" borderId="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7" xfId="0" applyFont="1" applyFill="1" applyBorder="1" applyAlignment="1">
      <alignment horizontal="center" vertical="center"/>
    </xf>
    <xf numFmtId="0" fontId="4" fillId="2" borderId="89"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3" borderId="0" xfId="0" applyFont="1" applyFill="1" applyAlignment="1">
      <alignment horizontal="left"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86" xfId="0" applyFont="1" applyFill="1" applyBorder="1" applyAlignment="1">
      <alignment horizontal="center" vertical="center"/>
    </xf>
    <xf numFmtId="0" fontId="4" fillId="2" borderId="90"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91" xfId="0" applyFont="1" applyFill="1" applyBorder="1" applyAlignment="1">
      <alignment horizontal="center" vertical="center" textRotation="90" wrapText="1"/>
    </xf>
    <xf numFmtId="0" fontId="4" fillId="2" borderId="92" xfId="0" applyFont="1" applyFill="1" applyBorder="1" applyAlignment="1">
      <alignment horizontal="center" vertical="center" textRotation="90" wrapText="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59" fillId="3" borderId="81" xfId="0" applyFont="1" applyFill="1" applyBorder="1" applyAlignment="1">
      <alignment horizontal="left" vertical="center" wrapText="1"/>
    </xf>
    <xf numFmtId="0" fontId="59" fillId="3" borderId="82" xfId="0" applyFont="1" applyFill="1" applyBorder="1" applyAlignment="1">
      <alignment horizontal="left" vertical="center"/>
    </xf>
    <xf numFmtId="0" fontId="59"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0" fontId="63" fillId="0" borderId="76" xfId="0" applyFont="1" applyBorder="1" applyAlignment="1">
      <alignment horizontal="left"/>
    </xf>
    <xf numFmtId="0" fontId="63" fillId="0" borderId="77" xfId="0" applyFont="1" applyBorder="1" applyAlignment="1">
      <alignment horizontal="left"/>
    </xf>
    <xf numFmtId="0" fontId="63" fillId="0" borderId="75" xfId="0" applyFont="1" applyBorder="1" applyAlignment="1">
      <alignment horizontal="left"/>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4" fillId="2" borderId="33" xfId="0" applyFont="1" applyFill="1" applyBorder="1" applyAlignment="1">
      <alignment horizontal="center" vertical="center"/>
    </xf>
    <xf numFmtId="0" fontId="4" fillId="2" borderId="76"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0" fontId="4" fillId="2" borderId="2" xfId="0" applyFont="1" applyFill="1" applyBorder="1" applyAlignment="1">
      <alignment horizontal="center" vertical="center" textRotation="90" wrapText="1"/>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88" xfId="0"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3" fillId="14" borderId="35" xfId="5" applyFont="1" applyFill="1" applyBorder="1" applyAlignment="1">
      <alignment horizontal="center" vertical="center"/>
    </xf>
    <xf numFmtId="0" fontId="63" fillId="14" borderId="36" xfId="5" applyFont="1" applyFill="1" applyBorder="1" applyAlignment="1">
      <alignment horizontal="center" vertical="center"/>
    </xf>
    <xf numFmtId="0" fontId="63" fillId="14" borderId="47" xfId="5" applyFont="1" applyFill="1" applyBorder="1" applyAlignment="1">
      <alignment horizontal="center" vertical="center"/>
    </xf>
    <xf numFmtId="0" fontId="36" fillId="3" borderId="94"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5" xfId="5" applyFont="1" applyFill="1" applyBorder="1" applyAlignment="1">
      <alignment horizontal="center" vertical="center" wrapText="1"/>
    </xf>
    <xf numFmtId="0" fontId="62" fillId="16" borderId="35" xfId="5" applyFont="1" applyFill="1" applyBorder="1" applyAlignment="1">
      <alignment horizontal="center" vertical="center"/>
    </xf>
    <xf numFmtId="0" fontId="62" fillId="16" borderId="36" xfId="5" applyFont="1" applyFill="1" applyBorder="1" applyAlignment="1">
      <alignment horizontal="center" vertical="center"/>
    </xf>
    <xf numFmtId="0" fontId="62"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63" fillId="8" borderId="44" xfId="5" applyFont="1" applyFill="1" applyBorder="1" applyAlignment="1">
      <alignment horizontal="center" vertical="center" wrapText="1"/>
    </xf>
    <xf numFmtId="0" fontId="63" fillId="8" borderId="45" xfId="5" applyFont="1" applyFill="1" applyBorder="1" applyAlignment="1">
      <alignment horizontal="center" vertical="center" wrapText="1"/>
    </xf>
    <xf numFmtId="0" fontId="63"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5"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99">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ORPOCESAR\Documents\H%20-\Mapas%20de%20Riesgos\2024\PCE_4_%20Mapa%20de%20riesgo%20de%20talento%20humano_DIC%202024.xlsx" TargetMode="External"/><Relationship Id="rId1" Type="http://schemas.openxmlformats.org/officeDocument/2006/relationships/externalLinkPath" Target="file:///C:\Users\CORPOCESAR\Documents\H%20-\Mapas%20de%20Riesgos\2024\PCE_4_%20Mapa%20de%20riesgo%20de%20talento%20humano_DIC%20202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25_%20PCE_3_Mapa%20de%20Riesgos%20y%20Oportunidade_%20Proceso%20Gesti&#243;n%20y%20Mejora%20del%20Sistema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8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98" dataDxfId="97">
  <autoFilter ref="B209:C219" xr:uid="{00000000-0009-0000-0100-000001000000}"/>
  <tableColumns count="2">
    <tableColumn id="1" xr3:uid="{00000000-0010-0000-0000-000001000000}" name="Criterios" dataDxfId="96"/>
    <tableColumn id="2" xr3:uid="{00000000-0010-0000-0000-000002000000}" name="Subcriterios" dataDxfId="9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26" t="s">
        <v>164</v>
      </c>
      <c r="C2" s="327"/>
      <c r="D2" s="327"/>
      <c r="E2" s="327"/>
      <c r="F2" s="327"/>
      <c r="G2" s="327"/>
      <c r="H2" s="328"/>
    </row>
    <row r="3" spans="2:8" x14ac:dyDescent="0.25">
      <c r="B3" s="81"/>
      <c r="C3" s="82"/>
      <c r="D3" s="82"/>
      <c r="E3" s="82"/>
      <c r="F3" s="82"/>
      <c r="G3" s="82"/>
      <c r="H3" s="83"/>
    </row>
    <row r="4" spans="2:8" ht="63" customHeight="1" x14ac:dyDescent="0.25">
      <c r="B4" s="329" t="s">
        <v>207</v>
      </c>
      <c r="C4" s="330"/>
      <c r="D4" s="330"/>
      <c r="E4" s="330"/>
      <c r="F4" s="330"/>
      <c r="G4" s="330"/>
      <c r="H4" s="331"/>
    </row>
    <row r="5" spans="2:8" ht="63" customHeight="1" x14ac:dyDescent="0.25">
      <c r="B5" s="332"/>
      <c r="C5" s="333"/>
      <c r="D5" s="333"/>
      <c r="E5" s="333"/>
      <c r="F5" s="333"/>
      <c r="G5" s="333"/>
      <c r="H5" s="334"/>
    </row>
    <row r="6" spans="2:8" ht="16.5" x14ac:dyDescent="0.25">
      <c r="B6" s="335" t="s">
        <v>162</v>
      </c>
      <c r="C6" s="336"/>
      <c r="D6" s="336"/>
      <c r="E6" s="336"/>
      <c r="F6" s="336"/>
      <c r="G6" s="336"/>
      <c r="H6" s="337"/>
    </row>
    <row r="7" spans="2:8" ht="95.25" customHeight="1" x14ac:dyDescent="0.25">
      <c r="B7" s="345" t="s">
        <v>167</v>
      </c>
      <c r="C7" s="346"/>
      <c r="D7" s="346"/>
      <c r="E7" s="346"/>
      <c r="F7" s="346"/>
      <c r="G7" s="346"/>
      <c r="H7" s="347"/>
    </row>
    <row r="8" spans="2:8" ht="16.5" x14ac:dyDescent="0.25">
      <c r="B8" s="117"/>
      <c r="C8" s="118"/>
      <c r="D8" s="118"/>
      <c r="E8" s="118"/>
      <c r="F8" s="118"/>
      <c r="G8" s="118"/>
      <c r="H8" s="119"/>
    </row>
    <row r="9" spans="2:8" ht="16.5" customHeight="1" x14ac:dyDescent="0.25">
      <c r="B9" s="338" t="s">
        <v>200</v>
      </c>
      <c r="C9" s="339"/>
      <c r="D9" s="339"/>
      <c r="E9" s="339"/>
      <c r="F9" s="339"/>
      <c r="G9" s="339"/>
      <c r="H9" s="340"/>
    </row>
    <row r="10" spans="2:8" ht="44.25" customHeight="1" x14ac:dyDescent="0.25">
      <c r="B10" s="338"/>
      <c r="C10" s="339"/>
      <c r="D10" s="339"/>
      <c r="E10" s="339"/>
      <c r="F10" s="339"/>
      <c r="G10" s="339"/>
      <c r="H10" s="340"/>
    </row>
    <row r="11" spans="2:8" ht="15.75" thickBot="1" x14ac:dyDescent="0.3">
      <c r="B11" s="106"/>
      <c r="C11" s="109"/>
      <c r="D11" s="114"/>
      <c r="E11" s="115"/>
      <c r="F11" s="115"/>
      <c r="G11" s="116"/>
      <c r="H11" s="110"/>
    </row>
    <row r="12" spans="2:8" ht="15.75" thickTop="1" x14ac:dyDescent="0.25">
      <c r="B12" s="106"/>
      <c r="C12" s="341" t="s">
        <v>163</v>
      </c>
      <c r="D12" s="342"/>
      <c r="E12" s="343" t="s">
        <v>201</v>
      </c>
      <c r="F12" s="344"/>
      <c r="G12" s="109"/>
      <c r="H12" s="110"/>
    </row>
    <row r="13" spans="2:8" ht="35.25" customHeight="1" x14ac:dyDescent="0.25">
      <c r="B13" s="106"/>
      <c r="C13" s="313" t="s">
        <v>194</v>
      </c>
      <c r="D13" s="314"/>
      <c r="E13" s="315" t="s">
        <v>199</v>
      </c>
      <c r="F13" s="316"/>
      <c r="G13" s="109"/>
      <c r="H13" s="110"/>
    </row>
    <row r="14" spans="2:8" ht="17.25" customHeight="1" x14ac:dyDescent="0.25">
      <c r="B14" s="106"/>
      <c r="C14" s="313" t="s">
        <v>195</v>
      </c>
      <c r="D14" s="314"/>
      <c r="E14" s="315" t="s">
        <v>197</v>
      </c>
      <c r="F14" s="316"/>
      <c r="G14" s="109"/>
      <c r="H14" s="110"/>
    </row>
    <row r="15" spans="2:8" ht="19.5" customHeight="1" x14ac:dyDescent="0.25">
      <c r="B15" s="106"/>
      <c r="C15" s="313" t="s">
        <v>196</v>
      </c>
      <c r="D15" s="314"/>
      <c r="E15" s="315" t="s">
        <v>198</v>
      </c>
      <c r="F15" s="316"/>
      <c r="G15" s="109"/>
      <c r="H15" s="110"/>
    </row>
    <row r="16" spans="2:8" ht="69.75" customHeight="1" x14ac:dyDescent="0.25">
      <c r="B16" s="106"/>
      <c r="C16" s="313" t="s">
        <v>165</v>
      </c>
      <c r="D16" s="314"/>
      <c r="E16" s="315" t="s">
        <v>166</v>
      </c>
      <c r="F16" s="316"/>
      <c r="G16" s="109"/>
      <c r="H16" s="110"/>
    </row>
    <row r="17" spans="2:8" ht="34.5" customHeight="1" x14ac:dyDescent="0.25">
      <c r="B17" s="106"/>
      <c r="C17" s="317" t="s">
        <v>2</v>
      </c>
      <c r="D17" s="318"/>
      <c r="E17" s="309" t="s">
        <v>208</v>
      </c>
      <c r="F17" s="310"/>
      <c r="G17" s="109"/>
      <c r="H17" s="110"/>
    </row>
    <row r="18" spans="2:8" ht="27.75" customHeight="1" x14ac:dyDescent="0.25">
      <c r="B18" s="106"/>
      <c r="C18" s="317" t="s">
        <v>3</v>
      </c>
      <c r="D18" s="318"/>
      <c r="E18" s="309" t="s">
        <v>209</v>
      </c>
      <c r="F18" s="310"/>
      <c r="G18" s="109"/>
      <c r="H18" s="110"/>
    </row>
    <row r="19" spans="2:8" ht="28.5" customHeight="1" x14ac:dyDescent="0.25">
      <c r="B19" s="106"/>
      <c r="C19" s="317" t="s">
        <v>42</v>
      </c>
      <c r="D19" s="318"/>
      <c r="E19" s="309" t="s">
        <v>210</v>
      </c>
      <c r="F19" s="310"/>
      <c r="G19" s="109"/>
      <c r="H19" s="110"/>
    </row>
    <row r="20" spans="2:8" ht="72.75" customHeight="1" x14ac:dyDescent="0.25">
      <c r="B20" s="106"/>
      <c r="C20" s="317" t="s">
        <v>1</v>
      </c>
      <c r="D20" s="318"/>
      <c r="E20" s="309" t="s">
        <v>211</v>
      </c>
      <c r="F20" s="310"/>
      <c r="G20" s="109"/>
      <c r="H20" s="110"/>
    </row>
    <row r="21" spans="2:8" ht="64.5" customHeight="1" x14ac:dyDescent="0.25">
      <c r="B21" s="106"/>
      <c r="C21" s="317" t="s">
        <v>50</v>
      </c>
      <c r="D21" s="318"/>
      <c r="E21" s="309" t="s">
        <v>169</v>
      </c>
      <c r="F21" s="310"/>
      <c r="G21" s="109"/>
      <c r="H21" s="110"/>
    </row>
    <row r="22" spans="2:8" ht="71.25" customHeight="1" x14ac:dyDescent="0.25">
      <c r="B22" s="106"/>
      <c r="C22" s="317" t="s">
        <v>168</v>
      </c>
      <c r="D22" s="318"/>
      <c r="E22" s="309" t="s">
        <v>170</v>
      </c>
      <c r="F22" s="310"/>
      <c r="G22" s="109"/>
      <c r="H22" s="110"/>
    </row>
    <row r="23" spans="2:8" ht="55.5" customHeight="1" x14ac:dyDescent="0.25">
      <c r="B23" s="106"/>
      <c r="C23" s="311" t="s">
        <v>171</v>
      </c>
      <c r="D23" s="312"/>
      <c r="E23" s="309" t="s">
        <v>172</v>
      </c>
      <c r="F23" s="310"/>
      <c r="G23" s="109"/>
      <c r="H23" s="110"/>
    </row>
    <row r="24" spans="2:8" ht="42" customHeight="1" x14ac:dyDescent="0.25">
      <c r="B24" s="106"/>
      <c r="C24" s="311" t="s">
        <v>48</v>
      </c>
      <c r="D24" s="312"/>
      <c r="E24" s="309" t="s">
        <v>173</v>
      </c>
      <c r="F24" s="310"/>
      <c r="G24" s="109"/>
      <c r="H24" s="110"/>
    </row>
    <row r="25" spans="2:8" ht="59.25" customHeight="1" x14ac:dyDescent="0.25">
      <c r="B25" s="106"/>
      <c r="C25" s="311" t="s">
        <v>161</v>
      </c>
      <c r="D25" s="312"/>
      <c r="E25" s="309" t="s">
        <v>174</v>
      </c>
      <c r="F25" s="310"/>
      <c r="G25" s="109"/>
      <c r="H25" s="110"/>
    </row>
    <row r="26" spans="2:8" ht="23.25" customHeight="1" x14ac:dyDescent="0.25">
      <c r="B26" s="106"/>
      <c r="C26" s="311" t="s">
        <v>12</v>
      </c>
      <c r="D26" s="312"/>
      <c r="E26" s="309" t="s">
        <v>175</v>
      </c>
      <c r="F26" s="310"/>
      <c r="G26" s="109"/>
      <c r="H26" s="110"/>
    </row>
    <row r="27" spans="2:8" ht="30.75" customHeight="1" x14ac:dyDescent="0.25">
      <c r="B27" s="106"/>
      <c r="C27" s="311" t="s">
        <v>179</v>
      </c>
      <c r="D27" s="312"/>
      <c r="E27" s="309" t="s">
        <v>176</v>
      </c>
      <c r="F27" s="310"/>
      <c r="G27" s="109"/>
      <c r="H27" s="110"/>
    </row>
    <row r="28" spans="2:8" ht="35.25" customHeight="1" x14ac:dyDescent="0.25">
      <c r="B28" s="106"/>
      <c r="C28" s="311" t="s">
        <v>180</v>
      </c>
      <c r="D28" s="312"/>
      <c r="E28" s="309" t="s">
        <v>177</v>
      </c>
      <c r="F28" s="310"/>
      <c r="G28" s="109"/>
      <c r="H28" s="110"/>
    </row>
    <row r="29" spans="2:8" ht="33" customHeight="1" x14ac:dyDescent="0.25">
      <c r="B29" s="106"/>
      <c r="C29" s="311" t="s">
        <v>180</v>
      </c>
      <c r="D29" s="312"/>
      <c r="E29" s="309" t="s">
        <v>177</v>
      </c>
      <c r="F29" s="310"/>
      <c r="G29" s="109"/>
      <c r="H29" s="110"/>
    </row>
    <row r="30" spans="2:8" ht="30" customHeight="1" x14ac:dyDescent="0.25">
      <c r="B30" s="106"/>
      <c r="C30" s="311" t="s">
        <v>181</v>
      </c>
      <c r="D30" s="312"/>
      <c r="E30" s="309" t="s">
        <v>178</v>
      </c>
      <c r="F30" s="310"/>
      <c r="G30" s="109"/>
      <c r="H30" s="110"/>
    </row>
    <row r="31" spans="2:8" ht="35.25" customHeight="1" x14ac:dyDescent="0.25">
      <c r="B31" s="106"/>
      <c r="C31" s="311" t="s">
        <v>182</v>
      </c>
      <c r="D31" s="312"/>
      <c r="E31" s="309" t="s">
        <v>183</v>
      </c>
      <c r="F31" s="310"/>
      <c r="G31" s="109"/>
      <c r="H31" s="110"/>
    </row>
    <row r="32" spans="2:8" ht="31.5" customHeight="1" x14ac:dyDescent="0.25">
      <c r="B32" s="106"/>
      <c r="C32" s="311" t="s">
        <v>184</v>
      </c>
      <c r="D32" s="312"/>
      <c r="E32" s="309" t="s">
        <v>185</v>
      </c>
      <c r="F32" s="310"/>
      <c r="G32" s="109"/>
      <c r="H32" s="110"/>
    </row>
    <row r="33" spans="2:8" ht="35.25" customHeight="1" x14ac:dyDescent="0.25">
      <c r="B33" s="106"/>
      <c r="C33" s="311" t="s">
        <v>186</v>
      </c>
      <c r="D33" s="312"/>
      <c r="E33" s="309" t="s">
        <v>187</v>
      </c>
      <c r="F33" s="310"/>
      <c r="G33" s="109"/>
      <c r="H33" s="110"/>
    </row>
    <row r="34" spans="2:8" ht="59.25" customHeight="1" x14ac:dyDescent="0.25">
      <c r="B34" s="106"/>
      <c r="C34" s="311" t="s">
        <v>188</v>
      </c>
      <c r="D34" s="312"/>
      <c r="E34" s="309" t="s">
        <v>189</v>
      </c>
      <c r="F34" s="310"/>
      <c r="G34" s="109"/>
      <c r="H34" s="110"/>
    </row>
    <row r="35" spans="2:8" ht="29.25" customHeight="1" x14ac:dyDescent="0.25">
      <c r="B35" s="106"/>
      <c r="C35" s="311" t="s">
        <v>29</v>
      </c>
      <c r="D35" s="312"/>
      <c r="E35" s="309" t="s">
        <v>190</v>
      </c>
      <c r="F35" s="310"/>
      <c r="G35" s="109"/>
      <c r="H35" s="110"/>
    </row>
    <row r="36" spans="2:8" ht="82.5" customHeight="1" x14ac:dyDescent="0.25">
      <c r="B36" s="106"/>
      <c r="C36" s="311" t="s">
        <v>192</v>
      </c>
      <c r="D36" s="312"/>
      <c r="E36" s="309" t="s">
        <v>191</v>
      </c>
      <c r="F36" s="310"/>
      <c r="G36" s="109"/>
      <c r="H36" s="110"/>
    </row>
    <row r="37" spans="2:8" ht="46.5" customHeight="1" x14ac:dyDescent="0.25">
      <c r="B37" s="106"/>
      <c r="C37" s="311" t="s">
        <v>39</v>
      </c>
      <c r="D37" s="312"/>
      <c r="E37" s="309" t="s">
        <v>193</v>
      </c>
      <c r="F37" s="310"/>
      <c r="G37" s="109"/>
      <c r="H37" s="110"/>
    </row>
    <row r="38" spans="2:8" ht="6.75" customHeight="1" thickBot="1" x14ac:dyDescent="0.3">
      <c r="B38" s="106"/>
      <c r="C38" s="322"/>
      <c r="D38" s="323"/>
      <c r="E38" s="324"/>
      <c r="F38" s="325"/>
      <c r="G38" s="109"/>
      <c r="H38" s="110"/>
    </row>
    <row r="39" spans="2:8" ht="15.75" thickTop="1" x14ac:dyDescent="0.25">
      <c r="B39" s="106"/>
      <c r="C39" s="107"/>
      <c r="D39" s="107"/>
      <c r="E39" s="108"/>
      <c r="F39" s="108"/>
      <c r="G39" s="109"/>
      <c r="H39" s="110"/>
    </row>
    <row r="40" spans="2:8" ht="21" customHeight="1" x14ac:dyDescent="0.25">
      <c r="B40" s="319" t="s">
        <v>202</v>
      </c>
      <c r="C40" s="320"/>
      <c r="D40" s="320"/>
      <c r="E40" s="320"/>
      <c r="F40" s="320"/>
      <c r="G40" s="320"/>
      <c r="H40" s="321"/>
    </row>
    <row r="41" spans="2:8" ht="20.25" customHeight="1" x14ac:dyDescent="0.25">
      <c r="B41" s="319" t="s">
        <v>203</v>
      </c>
      <c r="C41" s="320"/>
      <c r="D41" s="320"/>
      <c r="E41" s="320"/>
      <c r="F41" s="320"/>
      <c r="G41" s="320"/>
      <c r="H41" s="321"/>
    </row>
    <row r="42" spans="2:8" ht="20.25" customHeight="1" x14ac:dyDescent="0.25">
      <c r="B42" s="319" t="s">
        <v>204</v>
      </c>
      <c r="C42" s="320"/>
      <c r="D42" s="320"/>
      <c r="E42" s="320"/>
      <c r="F42" s="320"/>
      <c r="G42" s="320"/>
      <c r="H42" s="321"/>
    </row>
    <row r="43" spans="2:8" ht="20.25" customHeight="1" x14ac:dyDescent="0.25">
      <c r="B43" s="319" t="s">
        <v>205</v>
      </c>
      <c r="C43" s="320"/>
      <c r="D43" s="320"/>
      <c r="E43" s="320"/>
      <c r="F43" s="320"/>
      <c r="G43" s="320"/>
      <c r="H43" s="321"/>
    </row>
    <row r="44" spans="2:8" x14ac:dyDescent="0.25">
      <c r="B44" s="319" t="s">
        <v>206</v>
      </c>
      <c r="C44" s="320"/>
      <c r="D44" s="320"/>
      <c r="E44" s="320"/>
      <c r="F44" s="320"/>
      <c r="G44" s="320"/>
      <c r="H44" s="321"/>
    </row>
    <row r="45" spans="2:8" ht="15.75" thickBot="1" x14ac:dyDescent="0.3">
      <c r="B45" s="111"/>
      <c r="C45" s="112"/>
      <c r="D45" s="112"/>
      <c r="E45" s="112"/>
      <c r="F45" s="112"/>
      <c r="G45" s="112"/>
      <c r="H45" s="113"/>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T59"/>
  <sheetViews>
    <sheetView tabSelected="1" topLeftCell="AF13" zoomScaleNormal="100" workbookViewId="0">
      <selection activeCell="AY13" sqref="AY13"/>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13.140625" style="2" customWidth="1"/>
    <col min="6" max="6" width="16.140625" style="2" customWidth="1"/>
    <col min="7" max="7" width="32.42578125" style="1" customWidth="1"/>
    <col min="8" max="8" width="29.42578125" style="1" customWidth="1"/>
    <col min="9" max="9" width="19" style="5" customWidth="1"/>
    <col min="10" max="10" width="17.85546875" style="1" customWidth="1"/>
    <col min="11" max="11" width="16.5703125" style="1" customWidth="1"/>
    <col min="12" max="12" width="6.28515625" style="1" bestFit="1" customWidth="1"/>
    <col min="13" max="13" width="27.28515625" style="1" bestFit="1" customWidth="1"/>
    <col min="14" max="14" width="16.42578125" style="1" customWidth="1"/>
    <col min="15" max="15" width="17.5703125" style="1" customWidth="1"/>
    <col min="16" max="16" width="6.28515625" style="1" bestFit="1" customWidth="1"/>
    <col min="17" max="17" width="16" style="1" customWidth="1"/>
    <col min="18" max="18" width="8.140625" style="1" customWidth="1"/>
    <col min="19" max="19" width="12.5703125" style="1" customWidth="1"/>
    <col min="20" max="20" width="6.140625" style="1" customWidth="1"/>
    <col min="21" max="21" width="7.28515625" style="1" customWidth="1"/>
    <col min="22" max="22" width="12" style="1" customWidth="1"/>
    <col min="23" max="23" width="13.28515625" style="1" customWidth="1"/>
    <col min="24" max="24" width="5.85546875" style="2" customWidth="1"/>
    <col min="25" max="25" width="31" style="2" customWidth="1"/>
    <col min="26" max="26" width="15.140625" style="2" bestFit="1" customWidth="1"/>
    <col min="27" max="27" width="6.85546875" style="2" customWidth="1"/>
    <col min="28" max="28" width="5" style="2" customWidth="1"/>
    <col min="29" max="29" width="5.5703125" style="2" customWidth="1"/>
    <col min="30" max="30" width="7.140625" style="2" customWidth="1"/>
    <col min="31" max="31" width="6.7109375" style="2" customWidth="1"/>
    <col min="32" max="32" width="7.5703125" style="2" customWidth="1"/>
    <col min="33" max="33" width="8.28515625" style="2" customWidth="1"/>
    <col min="34" max="34" width="8.7109375" style="2" customWidth="1"/>
    <col min="35" max="35" width="10.42578125" style="2" customWidth="1"/>
    <col min="36" max="36" width="9.28515625" style="2" customWidth="1"/>
    <col min="37" max="37" width="9.140625" style="2" customWidth="1"/>
    <col min="38" max="38" width="8.42578125" style="2" customWidth="1"/>
    <col min="39" max="39" width="7.28515625" style="2" customWidth="1"/>
    <col min="40" max="43" width="7.28515625" style="1" customWidth="1"/>
    <col min="44" max="44" width="5.7109375" style="1" customWidth="1"/>
    <col min="45" max="45" width="10" style="1" customWidth="1"/>
    <col min="46" max="46" width="23" style="1" customWidth="1"/>
    <col min="47" max="47" width="18.85546875" style="1" customWidth="1"/>
    <col min="48" max="48" width="16.85546875" style="1" customWidth="1"/>
    <col min="49" max="49" width="14.85546875" style="1" customWidth="1"/>
    <col min="50" max="50" width="42.85546875" style="147" customWidth="1"/>
    <col min="51" max="51" width="21" style="1" customWidth="1"/>
    <col min="52" max="56" width="11.42578125" style="2"/>
    <col min="57" max="16384" width="11.42578125" style="1"/>
  </cols>
  <sheetData>
    <row r="1" spans="1:72" ht="27" customHeight="1" x14ac:dyDescent="0.3">
      <c r="A1" s="247"/>
      <c r="B1" s="247"/>
      <c r="C1" s="247"/>
      <c r="D1" s="247"/>
      <c r="E1" s="247"/>
      <c r="F1" s="248" t="s">
        <v>247</v>
      </c>
      <c r="G1" s="247"/>
      <c r="H1" s="247"/>
      <c r="I1" s="247"/>
      <c r="J1" s="247"/>
      <c r="K1" s="247"/>
      <c r="L1" s="247"/>
      <c r="M1" s="249" t="s">
        <v>216</v>
      </c>
      <c r="N1" s="250"/>
      <c r="O1" s="250"/>
      <c r="P1" s="250"/>
      <c r="Q1" s="251"/>
      <c r="X1" s="137"/>
      <c r="Y1" s="137"/>
      <c r="Z1" s="137"/>
      <c r="AA1" s="137"/>
      <c r="AB1" s="137"/>
      <c r="AC1" s="137"/>
      <c r="AD1" s="137"/>
      <c r="AE1" s="137"/>
      <c r="AF1" s="137"/>
      <c r="AG1" s="137"/>
      <c r="AH1" s="137"/>
      <c r="AI1" s="137"/>
      <c r="AJ1" s="137"/>
      <c r="AK1" s="137"/>
      <c r="AL1" s="137"/>
      <c r="AM1" s="137"/>
      <c r="AT1" s="136"/>
      <c r="AU1" s="136"/>
      <c r="AV1" s="136"/>
      <c r="AW1" s="136"/>
      <c r="AX1" s="145"/>
      <c r="AY1" s="136"/>
      <c r="AZ1" s="175"/>
      <c r="BA1" s="175"/>
      <c r="BB1" s="175"/>
      <c r="BC1" s="175"/>
      <c r="BD1" s="175"/>
      <c r="BE1" s="8"/>
      <c r="BF1" s="8"/>
      <c r="BG1" s="8"/>
      <c r="BH1" s="8"/>
      <c r="BI1" s="8"/>
      <c r="BJ1" s="8"/>
      <c r="BK1" s="8"/>
      <c r="BL1" s="8"/>
      <c r="BM1" s="8"/>
      <c r="BN1" s="8"/>
      <c r="BO1" s="8"/>
      <c r="BP1" s="8"/>
      <c r="BQ1" s="8"/>
      <c r="BR1" s="8"/>
      <c r="BS1" s="8"/>
      <c r="BT1" s="8"/>
    </row>
    <row r="2" spans="1:72" ht="42.6" customHeight="1" x14ac:dyDescent="0.3">
      <c r="A2" s="247"/>
      <c r="B2" s="247"/>
      <c r="C2" s="247"/>
      <c r="D2" s="247"/>
      <c r="E2" s="247"/>
      <c r="F2" s="247"/>
      <c r="G2" s="247"/>
      <c r="H2" s="247"/>
      <c r="I2" s="247"/>
      <c r="J2" s="247"/>
      <c r="K2" s="247"/>
      <c r="L2" s="247"/>
      <c r="M2" s="252" t="s">
        <v>249</v>
      </c>
      <c r="N2" s="253"/>
      <c r="O2" s="253"/>
      <c r="P2" s="253"/>
      <c r="Q2" s="254"/>
      <c r="R2" s="159"/>
      <c r="S2" s="159"/>
      <c r="T2" s="159"/>
      <c r="U2" s="159"/>
      <c r="V2" s="159"/>
      <c r="W2" s="159"/>
      <c r="X2" s="137"/>
      <c r="Y2" s="137"/>
      <c r="Z2" s="137"/>
      <c r="AA2" s="137"/>
      <c r="AB2" s="137"/>
      <c r="AC2" s="137"/>
      <c r="AD2" s="137"/>
      <c r="AE2" s="137"/>
      <c r="AF2" s="137"/>
      <c r="AG2" s="137"/>
      <c r="AH2" s="137"/>
      <c r="AI2" s="137"/>
      <c r="AJ2" s="137"/>
      <c r="AK2" s="137"/>
      <c r="AL2" s="137"/>
      <c r="AM2" s="137"/>
      <c r="AN2" s="215"/>
      <c r="AO2" s="215"/>
      <c r="AP2" s="215"/>
      <c r="AQ2" s="215"/>
      <c r="AR2" s="215"/>
      <c r="AS2" s="215"/>
      <c r="AT2" s="136"/>
      <c r="AU2" s="136"/>
      <c r="AV2" s="136"/>
      <c r="AW2" s="136"/>
      <c r="AX2" s="145"/>
      <c r="AY2" s="136"/>
      <c r="AZ2" s="175"/>
      <c r="BA2" s="175"/>
      <c r="BB2" s="175"/>
      <c r="BC2" s="175"/>
      <c r="BD2" s="175"/>
      <c r="BE2" s="8"/>
      <c r="BF2" s="8"/>
      <c r="BG2" s="8"/>
      <c r="BH2" s="8"/>
      <c r="BI2" s="8"/>
      <c r="BJ2" s="8"/>
      <c r="BK2" s="8"/>
      <c r="BL2" s="8"/>
      <c r="BM2" s="8"/>
      <c r="BN2" s="8"/>
      <c r="BO2" s="8"/>
      <c r="BP2" s="8"/>
      <c r="BQ2" s="8"/>
      <c r="BR2" s="8"/>
      <c r="BS2" s="8"/>
      <c r="BT2" s="8"/>
    </row>
    <row r="3" spans="1:72" ht="24" customHeight="1" x14ac:dyDescent="0.3">
      <c r="A3" s="247"/>
      <c r="B3" s="247"/>
      <c r="C3" s="247"/>
      <c r="D3" s="247"/>
      <c r="E3" s="247"/>
      <c r="F3" s="247"/>
      <c r="G3" s="247"/>
      <c r="H3" s="247"/>
      <c r="I3" s="247"/>
      <c r="J3" s="247"/>
      <c r="K3" s="247"/>
      <c r="L3" s="247"/>
      <c r="M3" s="252" t="s">
        <v>250</v>
      </c>
      <c r="N3" s="253"/>
      <c r="O3" s="253"/>
      <c r="P3" s="253"/>
      <c r="Q3" s="254"/>
      <c r="R3" s="160"/>
      <c r="S3" s="160"/>
      <c r="T3" s="160"/>
      <c r="U3" s="160"/>
      <c r="V3" s="160"/>
      <c r="W3" s="160"/>
      <c r="X3" s="137"/>
      <c r="Y3" s="137"/>
      <c r="Z3" s="137"/>
      <c r="AA3" s="137"/>
      <c r="AB3" s="137"/>
      <c r="AC3" s="137"/>
      <c r="AD3" s="137"/>
      <c r="AE3" s="137"/>
      <c r="AF3" s="137"/>
      <c r="AG3" s="137"/>
      <c r="AH3" s="137"/>
      <c r="AI3" s="137"/>
      <c r="AJ3" s="137"/>
      <c r="AK3" s="137"/>
      <c r="AL3" s="137"/>
      <c r="AM3" s="137"/>
      <c r="AN3" s="216"/>
      <c r="AO3" s="216"/>
      <c r="AP3" s="216"/>
      <c r="AQ3" s="216"/>
      <c r="AR3" s="216"/>
      <c r="AS3" s="216"/>
      <c r="AT3" s="137"/>
      <c r="AU3" s="137"/>
      <c r="AV3" s="137"/>
      <c r="AW3" s="137"/>
      <c r="AX3" s="145"/>
      <c r="AY3" s="137"/>
      <c r="AZ3" s="175"/>
      <c r="BA3" s="175"/>
      <c r="BB3" s="175"/>
      <c r="BC3" s="175"/>
      <c r="BD3" s="175"/>
      <c r="BE3" s="8"/>
      <c r="BF3" s="8"/>
      <c r="BG3" s="8"/>
      <c r="BH3" s="8"/>
      <c r="BI3" s="8"/>
      <c r="BJ3" s="8"/>
      <c r="BK3" s="8"/>
      <c r="BL3" s="8"/>
      <c r="BM3" s="8"/>
      <c r="BN3" s="8"/>
      <c r="BO3" s="8"/>
      <c r="BP3" s="8"/>
      <c r="BQ3" s="8"/>
      <c r="BR3" s="8"/>
      <c r="BS3" s="8"/>
      <c r="BT3" s="8"/>
    </row>
    <row r="4" spans="1:72" ht="28.15" customHeight="1" x14ac:dyDescent="0.3">
      <c r="A4" s="247"/>
      <c r="B4" s="247"/>
      <c r="C4" s="247"/>
      <c r="D4" s="247"/>
      <c r="E4" s="247"/>
      <c r="F4" s="247"/>
      <c r="G4" s="247"/>
      <c r="H4" s="247"/>
      <c r="I4" s="247"/>
      <c r="J4" s="247"/>
      <c r="K4" s="247"/>
      <c r="L4" s="247"/>
      <c r="M4" s="255" t="s">
        <v>251</v>
      </c>
      <c r="N4" s="256"/>
      <c r="O4" s="256"/>
      <c r="P4" s="256"/>
      <c r="Q4" s="257"/>
      <c r="R4" s="8"/>
      <c r="S4" s="8"/>
      <c r="T4" s="8"/>
      <c r="U4" s="8"/>
      <c r="V4" s="8"/>
      <c r="W4" s="8"/>
      <c r="X4" s="175"/>
      <c r="Y4" s="175"/>
      <c r="Z4" s="175"/>
      <c r="AA4" s="175"/>
      <c r="AB4" s="175"/>
      <c r="AC4" s="175"/>
      <c r="AD4" s="175"/>
      <c r="AE4" s="175"/>
      <c r="AF4" s="175"/>
      <c r="AG4" s="175"/>
      <c r="AH4" s="175"/>
      <c r="AI4" s="175"/>
      <c r="AJ4" s="175"/>
      <c r="AK4" s="175"/>
      <c r="AL4" s="175"/>
      <c r="AM4" s="175"/>
      <c r="AN4" s="8"/>
      <c r="AO4" s="8"/>
      <c r="AP4" s="8"/>
      <c r="AQ4" s="8"/>
      <c r="AR4" s="8"/>
      <c r="AS4" s="8"/>
      <c r="AT4" s="8"/>
      <c r="AU4" s="8"/>
      <c r="AV4" s="8"/>
      <c r="AW4" s="8"/>
      <c r="AX4" s="146"/>
      <c r="AY4" s="8"/>
      <c r="AZ4" s="175"/>
      <c r="BA4" s="175"/>
      <c r="BB4" s="175"/>
      <c r="BC4" s="175"/>
      <c r="BD4" s="175"/>
      <c r="BE4" s="8"/>
      <c r="BF4" s="8"/>
      <c r="BG4" s="8"/>
      <c r="BH4" s="8"/>
      <c r="BI4" s="8"/>
      <c r="BJ4" s="8"/>
      <c r="BK4" s="8"/>
      <c r="BL4" s="8"/>
      <c r="BM4" s="8"/>
      <c r="BN4" s="8"/>
      <c r="BO4" s="8"/>
      <c r="BP4" s="8"/>
      <c r="BQ4" s="8"/>
      <c r="BR4" s="8"/>
      <c r="BS4" s="8"/>
      <c r="BT4" s="8"/>
    </row>
    <row r="5" spans="1:72" ht="26.25" customHeight="1" x14ac:dyDescent="0.3">
      <c r="A5" s="258" t="s">
        <v>43</v>
      </c>
      <c r="B5" s="259"/>
      <c r="C5" s="260"/>
      <c r="D5" s="238" t="s">
        <v>248</v>
      </c>
      <c r="E5" s="239"/>
      <c r="F5" s="239"/>
      <c r="G5" s="239"/>
      <c r="H5" s="239"/>
      <c r="I5" s="239"/>
      <c r="J5" s="239"/>
      <c r="K5" s="239"/>
      <c r="L5" s="239"/>
      <c r="M5" s="239"/>
      <c r="N5" s="239"/>
      <c r="O5" s="239"/>
      <c r="P5" s="239"/>
      <c r="Q5" s="240"/>
      <c r="R5" s="161"/>
      <c r="S5" s="161"/>
      <c r="T5" s="161"/>
      <c r="U5" s="161"/>
      <c r="V5" s="161"/>
      <c r="W5" s="161"/>
      <c r="X5" s="228"/>
      <c r="Y5" s="228"/>
      <c r="Z5" s="228"/>
      <c r="AA5" s="175"/>
      <c r="AB5" s="175"/>
      <c r="AC5" s="175"/>
      <c r="AD5" s="175"/>
      <c r="AE5" s="175"/>
      <c r="AF5" s="175"/>
      <c r="AG5" s="175"/>
      <c r="AH5" s="175"/>
      <c r="AI5" s="175"/>
      <c r="AJ5" s="175"/>
      <c r="AK5" s="175"/>
      <c r="AL5" s="175"/>
      <c r="AM5" s="175"/>
      <c r="AN5" s="8"/>
      <c r="AO5" s="8"/>
      <c r="AP5" s="8"/>
      <c r="AQ5" s="8"/>
      <c r="AR5" s="8"/>
      <c r="AS5" s="8"/>
      <c r="AT5" s="8"/>
      <c r="AU5" s="8"/>
      <c r="AV5" s="8"/>
      <c r="AW5" s="8"/>
      <c r="AX5" s="146"/>
      <c r="AY5" s="8"/>
      <c r="AZ5" s="175"/>
      <c r="BA5" s="175"/>
      <c r="BB5" s="175"/>
      <c r="BC5" s="175"/>
      <c r="BD5" s="175"/>
      <c r="BE5" s="8"/>
      <c r="BF5" s="8"/>
      <c r="BG5" s="8"/>
      <c r="BH5" s="8"/>
      <c r="BI5" s="8"/>
      <c r="BJ5" s="8"/>
      <c r="BK5" s="8"/>
      <c r="BL5" s="8"/>
      <c r="BM5" s="8"/>
      <c r="BN5" s="8"/>
      <c r="BO5" s="8"/>
      <c r="BP5" s="8"/>
      <c r="BQ5" s="8"/>
      <c r="BR5" s="8"/>
      <c r="BS5" s="8"/>
      <c r="BT5" s="8"/>
    </row>
    <row r="6" spans="1:72" ht="39.6" customHeight="1" x14ac:dyDescent="0.3">
      <c r="A6" s="261" t="s">
        <v>130</v>
      </c>
      <c r="B6" s="262"/>
      <c r="C6" s="263"/>
      <c r="D6" s="241" t="s">
        <v>217</v>
      </c>
      <c r="E6" s="242"/>
      <c r="F6" s="242"/>
      <c r="G6" s="242"/>
      <c r="H6" s="242"/>
      <c r="I6" s="242"/>
      <c r="J6" s="242"/>
      <c r="K6" s="242"/>
      <c r="L6" s="242"/>
      <c r="M6" s="242"/>
      <c r="N6" s="242"/>
      <c r="O6" s="242"/>
      <c r="P6" s="242"/>
      <c r="Q6" s="243"/>
      <c r="R6" s="162"/>
      <c r="S6" s="162"/>
      <c r="T6" s="162"/>
      <c r="U6" s="162"/>
      <c r="V6" s="162"/>
      <c r="W6" s="162"/>
      <c r="X6" s="175"/>
      <c r="Y6" s="175"/>
      <c r="Z6" s="175"/>
      <c r="AA6" s="175"/>
      <c r="AB6" s="175"/>
      <c r="AC6" s="175"/>
      <c r="AD6" s="175"/>
      <c r="AE6" s="175"/>
      <c r="AF6" s="175"/>
      <c r="AG6" s="175"/>
      <c r="AH6" s="175"/>
      <c r="AI6" s="175"/>
      <c r="AJ6" s="175"/>
      <c r="AK6" s="175"/>
      <c r="AL6" s="175"/>
      <c r="AM6" s="175"/>
      <c r="AN6" s="8"/>
      <c r="AO6" s="8"/>
      <c r="AP6" s="8"/>
      <c r="AQ6" s="8"/>
      <c r="AR6" s="8"/>
      <c r="AS6" s="8"/>
      <c r="AT6" s="8"/>
      <c r="AU6" s="8"/>
      <c r="AV6" s="8"/>
      <c r="AW6" s="8"/>
      <c r="AX6" s="146"/>
      <c r="AY6" s="8"/>
      <c r="AZ6" s="175"/>
      <c r="BA6" s="175"/>
      <c r="BB6" s="175"/>
      <c r="BC6" s="175"/>
      <c r="BD6" s="175"/>
      <c r="BE6" s="8"/>
      <c r="BF6" s="8"/>
      <c r="BG6" s="8"/>
      <c r="BH6" s="8"/>
      <c r="BI6" s="8"/>
      <c r="BJ6" s="8"/>
      <c r="BK6" s="8"/>
      <c r="BL6" s="8"/>
      <c r="BM6" s="8"/>
      <c r="BN6" s="8"/>
      <c r="BO6" s="8"/>
      <c r="BP6" s="8"/>
      <c r="BQ6" s="8"/>
      <c r="BR6" s="8"/>
      <c r="BS6" s="8"/>
      <c r="BT6" s="8"/>
    </row>
    <row r="7" spans="1:72" ht="49.5" customHeight="1" x14ac:dyDescent="0.3">
      <c r="A7" s="264" t="s">
        <v>44</v>
      </c>
      <c r="B7" s="265"/>
      <c r="C7" s="266"/>
      <c r="D7" s="244" t="s">
        <v>240</v>
      </c>
      <c r="E7" s="245"/>
      <c r="F7" s="245"/>
      <c r="G7" s="245"/>
      <c r="H7" s="245"/>
      <c r="I7" s="245"/>
      <c r="J7" s="245"/>
      <c r="K7" s="245"/>
      <c r="L7" s="245"/>
      <c r="M7" s="245"/>
      <c r="N7" s="245"/>
      <c r="O7" s="245"/>
      <c r="P7" s="245"/>
      <c r="Q7" s="246"/>
      <c r="R7" s="162"/>
      <c r="S7" s="162"/>
      <c r="T7" s="162"/>
      <c r="U7" s="162"/>
      <c r="V7" s="162"/>
      <c r="W7" s="162"/>
      <c r="X7" s="175"/>
      <c r="Y7" s="175"/>
      <c r="Z7" s="175"/>
      <c r="AA7" s="175"/>
      <c r="AB7" s="175"/>
      <c r="AC7" s="175"/>
      <c r="AD7" s="175"/>
      <c r="AE7" s="175"/>
      <c r="AF7" s="175"/>
      <c r="AG7" s="175"/>
      <c r="AH7" s="175"/>
      <c r="AI7" s="175"/>
      <c r="AJ7" s="175"/>
      <c r="AK7" s="175"/>
      <c r="AL7" s="175"/>
      <c r="AM7" s="175"/>
      <c r="AN7" s="8"/>
      <c r="AO7" s="8"/>
      <c r="AP7" s="8"/>
      <c r="AQ7" s="8"/>
      <c r="AR7" s="8"/>
      <c r="AS7" s="8"/>
      <c r="AT7" s="8"/>
      <c r="AU7" s="8"/>
      <c r="AV7" s="8"/>
      <c r="AW7" s="8"/>
      <c r="AX7" s="146"/>
      <c r="AY7" s="8"/>
      <c r="AZ7" s="175"/>
      <c r="BA7" s="175"/>
      <c r="BB7" s="175"/>
      <c r="BC7" s="175"/>
      <c r="BD7" s="175"/>
      <c r="BE7" s="8"/>
      <c r="BF7" s="8"/>
      <c r="BG7" s="8"/>
      <c r="BH7" s="8"/>
      <c r="BI7" s="8"/>
      <c r="BJ7" s="8"/>
      <c r="BK7" s="8"/>
      <c r="BL7" s="8"/>
      <c r="BM7" s="8"/>
      <c r="BN7" s="8"/>
      <c r="BO7" s="8"/>
      <c r="BP7" s="8"/>
      <c r="BQ7" s="8"/>
      <c r="BR7" s="8"/>
      <c r="BS7" s="8"/>
      <c r="BT7" s="8"/>
    </row>
    <row r="8" spans="1:72" x14ac:dyDescent="0.3">
      <c r="A8" s="267" t="s">
        <v>252</v>
      </c>
      <c r="B8" s="267"/>
      <c r="C8" s="267"/>
      <c r="D8" s="267"/>
      <c r="E8" s="267"/>
      <c r="F8" s="267"/>
      <c r="G8" s="267"/>
      <c r="H8" s="267"/>
      <c r="I8" s="267"/>
      <c r="J8" s="267"/>
      <c r="K8" s="267" t="s">
        <v>139</v>
      </c>
      <c r="L8" s="267"/>
      <c r="M8" s="267"/>
      <c r="N8" s="267"/>
      <c r="O8" s="267"/>
      <c r="P8" s="267"/>
      <c r="Q8" s="268"/>
      <c r="R8" s="223" t="s">
        <v>257</v>
      </c>
      <c r="S8" s="223"/>
      <c r="T8" s="223"/>
      <c r="U8" s="223"/>
      <c r="V8" s="223"/>
      <c r="W8" s="223"/>
      <c r="X8" s="219" t="s">
        <v>140</v>
      </c>
      <c r="Y8" s="219"/>
      <c r="Z8" s="219"/>
      <c r="AA8" s="219"/>
      <c r="AB8" s="219"/>
      <c r="AC8" s="219"/>
      <c r="AD8" s="219"/>
      <c r="AE8" s="219"/>
      <c r="AF8" s="220"/>
      <c r="AG8" s="218" t="s">
        <v>141</v>
      </c>
      <c r="AH8" s="219"/>
      <c r="AI8" s="219"/>
      <c r="AJ8" s="219"/>
      <c r="AK8" s="219"/>
      <c r="AL8" s="219"/>
      <c r="AM8" s="220"/>
      <c r="AN8" s="229" t="s">
        <v>259</v>
      </c>
      <c r="AO8" s="230"/>
      <c r="AP8" s="230"/>
      <c r="AQ8" s="230"/>
      <c r="AR8" s="231"/>
      <c r="AS8" s="231"/>
      <c r="AT8" s="218" t="s">
        <v>34</v>
      </c>
      <c r="AU8" s="219"/>
      <c r="AV8" s="219"/>
      <c r="AW8" s="219"/>
      <c r="AX8" s="219"/>
      <c r="AY8" s="220"/>
      <c r="AZ8" s="175"/>
      <c r="BA8" s="175"/>
      <c r="BB8" s="175"/>
      <c r="BC8" s="175"/>
      <c r="BD8" s="175"/>
      <c r="BE8" s="8"/>
      <c r="BF8" s="8"/>
      <c r="BG8" s="8"/>
      <c r="BH8" s="8"/>
      <c r="BI8" s="8"/>
      <c r="BJ8" s="8"/>
      <c r="BK8" s="8"/>
      <c r="BL8" s="8"/>
      <c r="BM8" s="8"/>
      <c r="BN8" s="8"/>
      <c r="BO8" s="8"/>
      <c r="BP8" s="8"/>
      <c r="BQ8" s="8"/>
      <c r="BR8" s="8"/>
      <c r="BS8" s="8"/>
      <c r="BT8" s="8"/>
    </row>
    <row r="9" spans="1:72" ht="16.5" customHeight="1" x14ac:dyDescent="0.3">
      <c r="A9" s="297" t="s">
        <v>0</v>
      </c>
      <c r="B9" s="133"/>
      <c r="C9" s="300" t="s">
        <v>2</v>
      </c>
      <c r="D9" s="132"/>
      <c r="E9" s="232" t="s">
        <v>214</v>
      </c>
      <c r="F9" s="232" t="s">
        <v>215</v>
      </c>
      <c r="G9" s="300" t="s">
        <v>1</v>
      </c>
      <c r="H9" s="135"/>
      <c r="I9" s="299" t="s">
        <v>50</v>
      </c>
      <c r="J9" s="232" t="s">
        <v>135</v>
      </c>
      <c r="K9" s="299" t="s">
        <v>33</v>
      </c>
      <c r="L9" s="302" t="s">
        <v>5</v>
      </c>
      <c r="M9" s="299" t="s">
        <v>87</v>
      </c>
      <c r="N9" s="299" t="s">
        <v>92</v>
      </c>
      <c r="O9" s="303" t="s">
        <v>45</v>
      </c>
      <c r="P9" s="302" t="s">
        <v>5</v>
      </c>
      <c r="Q9" s="232" t="s">
        <v>48</v>
      </c>
      <c r="R9" s="306" t="s">
        <v>28</v>
      </c>
      <c r="S9" s="306"/>
      <c r="T9" s="306"/>
      <c r="U9" s="306"/>
      <c r="V9" s="224" t="s">
        <v>256</v>
      </c>
      <c r="W9" s="225"/>
      <c r="X9" s="226" t="s">
        <v>11</v>
      </c>
      <c r="Y9" s="221" t="s">
        <v>258</v>
      </c>
      <c r="Z9" s="222" t="s">
        <v>12</v>
      </c>
      <c r="AA9" s="221" t="s">
        <v>8</v>
      </c>
      <c r="AB9" s="221"/>
      <c r="AC9" s="221"/>
      <c r="AD9" s="221"/>
      <c r="AE9" s="221"/>
      <c r="AF9" s="221"/>
      <c r="AG9" s="296" t="s">
        <v>138</v>
      </c>
      <c r="AH9" s="296" t="s">
        <v>46</v>
      </c>
      <c r="AI9" s="296" t="s">
        <v>5</v>
      </c>
      <c r="AJ9" s="296" t="s">
        <v>47</v>
      </c>
      <c r="AK9" s="296" t="s">
        <v>5</v>
      </c>
      <c r="AL9" s="296" t="s">
        <v>49</v>
      </c>
      <c r="AM9" s="226" t="s">
        <v>29</v>
      </c>
      <c r="AN9" s="233" t="s">
        <v>28</v>
      </c>
      <c r="AO9" s="233"/>
      <c r="AP9" s="233"/>
      <c r="AQ9" s="233"/>
      <c r="AR9" s="234" t="s">
        <v>256</v>
      </c>
      <c r="AS9" s="235"/>
      <c r="AT9" s="221" t="s">
        <v>34</v>
      </c>
      <c r="AU9" s="221" t="s">
        <v>35</v>
      </c>
      <c r="AV9" s="221" t="s">
        <v>36</v>
      </c>
      <c r="AW9" s="221" t="s">
        <v>38</v>
      </c>
      <c r="AX9" s="221" t="s">
        <v>37</v>
      </c>
      <c r="AY9" s="221" t="s">
        <v>39</v>
      </c>
      <c r="AZ9" s="175"/>
      <c r="BA9" s="175" t="s">
        <v>300</v>
      </c>
      <c r="BB9" s="175"/>
      <c r="BC9" s="175"/>
      <c r="BD9" s="175"/>
      <c r="BE9" s="8"/>
      <c r="BF9" s="8"/>
      <c r="BG9" s="8"/>
      <c r="BH9" s="8"/>
      <c r="BI9" s="8"/>
      <c r="BJ9" s="8"/>
      <c r="BK9" s="8"/>
      <c r="BL9" s="8"/>
      <c r="BM9" s="8"/>
      <c r="BN9" s="8"/>
      <c r="BO9" s="8"/>
      <c r="BP9" s="8"/>
      <c r="BQ9" s="8"/>
      <c r="BR9" s="8"/>
      <c r="BS9" s="8"/>
      <c r="BT9" s="8"/>
    </row>
    <row r="10" spans="1:72" s="4" customFormat="1" ht="85.5" customHeight="1" x14ac:dyDescent="0.25">
      <c r="A10" s="298"/>
      <c r="B10" s="131" t="s">
        <v>212</v>
      </c>
      <c r="C10" s="301"/>
      <c r="D10" s="130" t="s">
        <v>213</v>
      </c>
      <c r="E10" s="221"/>
      <c r="F10" s="221"/>
      <c r="G10" s="301"/>
      <c r="H10" s="132" t="s">
        <v>253</v>
      </c>
      <c r="I10" s="232"/>
      <c r="J10" s="221"/>
      <c r="K10" s="232"/>
      <c r="L10" s="218"/>
      <c r="M10" s="232"/>
      <c r="N10" s="232"/>
      <c r="O10" s="218"/>
      <c r="P10" s="218"/>
      <c r="Q10" s="221"/>
      <c r="R10" s="304" t="s">
        <v>4</v>
      </c>
      <c r="S10" s="305"/>
      <c r="T10" s="304" t="s">
        <v>2</v>
      </c>
      <c r="U10" s="305"/>
      <c r="V10" s="154" t="s">
        <v>254</v>
      </c>
      <c r="W10" s="154" t="s">
        <v>255</v>
      </c>
      <c r="X10" s="227"/>
      <c r="Y10" s="221"/>
      <c r="Z10" s="232"/>
      <c r="AA10" s="7" t="s">
        <v>13</v>
      </c>
      <c r="AB10" s="7" t="s">
        <v>17</v>
      </c>
      <c r="AC10" s="7" t="s">
        <v>28</v>
      </c>
      <c r="AD10" s="7" t="s">
        <v>18</v>
      </c>
      <c r="AE10" s="7" t="s">
        <v>21</v>
      </c>
      <c r="AF10" s="7" t="s">
        <v>24</v>
      </c>
      <c r="AG10" s="296"/>
      <c r="AH10" s="296"/>
      <c r="AI10" s="296"/>
      <c r="AJ10" s="296"/>
      <c r="AK10" s="296"/>
      <c r="AL10" s="296"/>
      <c r="AM10" s="227"/>
      <c r="AN10" s="236" t="s">
        <v>4</v>
      </c>
      <c r="AO10" s="237"/>
      <c r="AP10" s="236" t="s">
        <v>2</v>
      </c>
      <c r="AQ10" s="237"/>
      <c r="AR10" s="177" t="s">
        <v>260</v>
      </c>
      <c r="AS10" s="155" t="s">
        <v>261</v>
      </c>
      <c r="AT10" s="221"/>
      <c r="AU10" s="221"/>
      <c r="AV10" s="221"/>
      <c r="AW10" s="222"/>
      <c r="AX10" s="222"/>
      <c r="AY10" s="222"/>
      <c r="AZ10" s="25"/>
      <c r="BA10" s="25"/>
      <c r="BB10" s="25"/>
      <c r="BC10" s="25"/>
      <c r="BD10" s="25"/>
      <c r="BE10" s="25"/>
      <c r="BF10" s="25"/>
      <c r="BG10" s="25"/>
      <c r="BH10" s="25"/>
      <c r="BI10" s="25"/>
      <c r="BJ10" s="25"/>
      <c r="BK10" s="25"/>
      <c r="BL10" s="25"/>
      <c r="BM10" s="25"/>
      <c r="BN10" s="25"/>
      <c r="BO10" s="25"/>
      <c r="BP10" s="25"/>
      <c r="BQ10" s="25"/>
      <c r="BR10" s="25"/>
      <c r="BS10" s="25"/>
      <c r="BT10" s="25"/>
    </row>
    <row r="11" spans="1:72" s="3" customFormat="1" ht="167.25" customHeight="1" x14ac:dyDescent="0.25">
      <c r="A11" s="278">
        <v>1</v>
      </c>
      <c r="B11" s="307" t="s">
        <v>218</v>
      </c>
      <c r="C11" s="281" t="s">
        <v>134</v>
      </c>
      <c r="D11" s="127" t="s">
        <v>233</v>
      </c>
      <c r="E11" s="281" t="s">
        <v>219</v>
      </c>
      <c r="F11" s="281" t="s">
        <v>220</v>
      </c>
      <c r="G11" s="284" t="s">
        <v>237</v>
      </c>
      <c r="H11" s="158" t="s">
        <v>262</v>
      </c>
      <c r="I11" s="281" t="s">
        <v>123</v>
      </c>
      <c r="J11" s="287">
        <v>50</v>
      </c>
      <c r="K11" s="290" t="str">
        <f>IF(J11&lt;=0,"",IF(J11&lt;=2,"Muy Baja",IF(J11&lt;=24,"Baja",IF(J11&lt;=500,"Media",IF(J11&lt;=5000,"Alta","Muy Alta")))))</f>
        <v>Media</v>
      </c>
      <c r="L11" s="272">
        <f>IF(K11="","",IF(K11="Muy Baja",0.2,IF(K11="Baja",0.4,IF(K11="Media",0.6,IF(K11="Alta",0.8,IF(K11="Muy Alta",1,))))))</f>
        <v>0.6</v>
      </c>
      <c r="M11" s="293" t="s">
        <v>153</v>
      </c>
      <c r="N11" s="272" t="str">
        <f>IF(NOT(ISERROR(MATCH(M11,'Tabla Impacto'!$B$221:$B$223,0))),'Tabla Impacto'!$F$223&amp;"Por favor no seleccionar los criterios de impacto(Afectación Económica o presupuestal y Pérdida Reputacional)",M11)</f>
        <v xml:space="preserve">     El riesgo afecta la imagen de la entidad con algunos usuarios de relevancia frente al logro de los objetivos</v>
      </c>
      <c r="O11" s="290" t="str">
        <f>IF(OR(N11='Tabla Impacto'!$C$11,N11='Tabla Impacto'!$D$11),"Leve",IF(OR(N11='Tabla Impacto'!$C$12,N11='Tabla Impacto'!$D$12),"Menor",IF(OR(N11='Tabla Impacto'!$C$13,N11='Tabla Impacto'!$D$13),"Moderado",IF(OR(N11='Tabla Impacto'!$C$14,N11='Tabla Impacto'!$D$14),"Mayor",IF(OR(N11='Tabla Impacto'!$C$15,N11='Tabla Impacto'!$D$15),"Catastrófico","")))))</f>
        <v>Moderado</v>
      </c>
      <c r="P11" s="272">
        <f>IF(O11="","",IF(O11="Leve",0.2,IF(O11="Menor",0.4,IF(O11="Moderado",0.6,IF(O11="Mayor",0.8,IF(O11="Catastrófico",1,))))))</f>
        <v>0.6</v>
      </c>
      <c r="Q11" s="275" t="str">
        <f>IF(OR(AND(K11="Muy Baja",O11="Leve"),AND(K11="Muy Baja",O11="Menor"),AND(K11="Baja",O11="Leve")),"Bajo",IF(OR(AND(K11="Muy baja",O11="Moderado"),AND(K11="Baja",O11="Menor"),AND(K11="Baja",O11="Moderado"),AND(K11="Media",O11="Leve"),AND(K11="Media",O11="Menor"),AND(K11="Media",O11="Moderado"),AND(K11="Alta",O11="Leve"),AND(K11="Alta",O11="Menor")),"Moderado",IF(OR(AND(K11="Muy Baja",O11="Mayor"),AND(K11="Baja",O11="Mayor"),AND(K11="Media",O11="Mayor"),AND(K11="Alta",O11="Moderado"),AND(K11="Alta",O11="Mayor"),AND(K11="Muy Alta",O11="Leve"),AND(K11="Muy Alta",O11="Menor"),AND(K11="Muy Alta",O11="Moderado"),AND(K11="Muy Alta",O11="Mayor")),"Alto",IF(OR(AND(K11="Muy Baja",O11="Catastrófico"),AND(K11="Baja",O11="Catastrófico"),AND(K11="Media",O11="Catastrófico"),AND(K11="Alta",O11="Catastrófico"),AND(K11="Muy Alta",O11="Catastrófico")),"Extremo",""))))</f>
        <v>Moderado</v>
      </c>
      <c r="R11" s="181">
        <v>3</v>
      </c>
      <c r="S11" s="181" t="str">
        <f>+IF(R11=5,"CASI SEGURO",(IF(R11=4,"PROBABLE",(IF(R11=3,"POSIBLE",(IF(R11=2,"RARA VEZ",(IF(R11=1,"IMPROBABLE","")))))))))</f>
        <v>POSIBLE</v>
      </c>
      <c r="T11" s="181">
        <v>5</v>
      </c>
      <c r="U11" s="181" t="str">
        <f>+IF(T11=5,"ALTO",(IF(T11=3,"MEDIO",(IF(T11=1,"BAJO",IF(OR(T11=2,T11=4),"NO APLICA",""))))))</f>
        <v>ALTO</v>
      </c>
      <c r="V11" s="181">
        <f>IF(AND(R11&lt;&gt;"",T11&lt;&gt;"",U11&lt;&gt;"NO APLICA"),R11*T11,"")</f>
        <v>15</v>
      </c>
      <c r="W11" s="181" t="str">
        <f>IF(AND(V11&lt;4,V11&gt;0),"BAJA",IF(AND(V11&gt;9,V11&lt;26),"ALTA",IF(AND(V11&gt;3,V11&lt;10),"MEDIA","")))</f>
        <v>ALTA</v>
      </c>
      <c r="X11" s="6">
        <v>1</v>
      </c>
      <c r="Y11" s="176" t="s">
        <v>221</v>
      </c>
      <c r="Z11" s="165" t="str">
        <f t="shared" ref="Z11:Z17" si="0">IF(OR(AA11="Preventivo",AA11="Detectivo"),"Probabilidad",IF(AA11="Correctivo","Impacto",""))</f>
        <v>Probabilidad</v>
      </c>
      <c r="AA11" s="166" t="s">
        <v>14</v>
      </c>
      <c r="AB11" s="166" t="s">
        <v>9</v>
      </c>
      <c r="AC11" s="167" t="str">
        <f>IF(AND(AA11="Preventivo",AB11="Automático"),"50%",IF(AND(AA11="Preventivo",AB11="Manual"),"40%",IF(AND(AA11="Detectivo",AB11="Automático"),"40%",IF(AND(AA11="Detectivo",AB11="Manual"),"30%",IF(AND(AA11="Correctivo",AB11="Automático"),"35%",IF(AND(AA11="Correctivo",AB11="Manual"),"25%",""))))))</f>
        <v>40%</v>
      </c>
      <c r="AD11" s="166" t="s">
        <v>19</v>
      </c>
      <c r="AE11" s="166" t="s">
        <v>22</v>
      </c>
      <c r="AF11" s="166" t="s">
        <v>119</v>
      </c>
      <c r="AG11" s="168">
        <f>IFERROR(IF(Z11="Probabilidad",(L11-(+L11*AC11)),IF(Z11="Impacto",L11,"")),"")</f>
        <v>0.36</v>
      </c>
      <c r="AH11" s="169" t="str">
        <f>IFERROR(IF(AG11="","",IF(AG11&lt;=0.2,"Muy Baja",IF(AG11&lt;=0.4,"Baja",IF(AG11&lt;=0.6,"Media",IF(AG11&lt;=0.8,"Alta","Muy Alta"))))),"")</f>
        <v>Baja</v>
      </c>
      <c r="AI11" s="170">
        <f>+AG11</f>
        <v>0.36</v>
      </c>
      <c r="AJ11" s="169" t="str">
        <f>IFERROR(IF(AK11="","",IF(AK11&lt;=0.2,"Leve",IF(AK11&lt;=0.4,"Menor",IF(AK11&lt;=0.6,"Moderado",IF(AK11&lt;=0.8,"Mayor","Catastrófico"))))),"")</f>
        <v>Moderado</v>
      </c>
      <c r="AK11" s="170">
        <f>IFERROR(IF(Z11="Impacto",(P11-(+P11*AC11)),IF(Z11="Probabilidad",P11,"")),"")</f>
        <v>0.6</v>
      </c>
      <c r="AL11" s="171" t="str">
        <f>IFERROR(IF(OR(AND(AH11="Muy Baja",AJ11="Leve"),AND(AH11="Muy Baja",AJ11="Menor"),AND(AH11="Baja",AJ11="Leve")),"Bajo",IF(OR(AND(AH11="Muy baja",AJ11="Moderado"),AND(AH11="Baja",AJ11="Menor"),AND(AH11="Baja",AJ11="Moderado"),AND(AH11="Media",AJ11="Leve"),AND(AH11="Media",AJ11="Menor"),AND(AH11="Media",AJ11="Moderado"),AND(AH11="Alta",AJ11="Leve"),AND(AH11="Alta",AJ11="Menor")),"Moderado",IF(OR(AND(AH11="Muy Baja",AJ11="Mayor"),AND(AH11="Baja",AJ11="Mayor"),AND(AH11="Media",AJ11="Mayor"),AND(AH11="Alta",AJ11="Moderado"),AND(AH11="Alta",AJ11="Mayor"),AND(AH11="Muy Alta",AJ11="Leve"),AND(AH11="Muy Alta",AJ11="Menor"),AND(AH11="Muy Alta",AJ11="Moderado"),AND(AH11="Muy Alta",AJ11="Mayor")),"Alto",IF(OR(AND(AH11="Muy Baja",AJ11="Catastrófico"),AND(AH11="Baja",AJ11="Catastrófico"),AND(AH11="Media",AJ11="Catastrófico"),AND(AH11="Alta",AJ11="Catastrófico"),AND(AH11="Muy Alta",AJ11="Catastrófico")),"Extremo","")))),"")</f>
        <v>Moderado</v>
      </c>
      <c r="AM11" s="172" t="s">
        <v>136</v>
      </c>
      <c r="AN11" s="181">
        <v>4</v>
      </c>
      <c r="AO11" s="182" t="str">
        <f>+IF(AN11=5,"CASI SEGURO",(IF(AN11=4,"PROBABLE",(IF(AN11=3,"POSIBLE",(IF(AN11=2,"RARA VEZ",(IF(AN11=1,"IMPROBABLE","")))))))))</f>
        <v>PROBABLE</v>
      </c>
      <c r="AP11" s="181">
        <v>5</v>
      </c>
      <c r="AQ11" s="182" t="str">
        <f>+IF(AP11=5,"ALTO",(IF(AP11=3,"MEDIO",(IF(AP11=1,"BAJO",IF(OR(AP11=2,AP11=4),"NO APLICA",""))))))</f>
        <v>ALTO</v>
      </c>
      <c r="AR11" s="181">
        <f>IF(AND(AN11&lt;&gt;"",AP11&lt;&gt;"",AQ11&lt;&gt;"NO APLICA"),AN11*AP11,"")</f>
        <v>20</v>
      </c>
      <c r="AS11" s="182" t="str">
        <f>IF(AND(AR11&lt;4,AR11&gt;0),"BAJA",IF(AND(AR11&gt;9,AR11&lt;26),"ALTA",IF(AND(AR11&gt;3,AR11&lt;10),"MEDIA","")))</f>
        <v>ALTA</v>
      </c>
      <c r="AT11" s="138" t="s">
        <v>238</v>
      </c>
      <c r="AU11" s="138" t="s">
        <v>243</v>
      </c>
      <c r="AV11" s="149" t="s">
        <v>236</v>
      </c>
      <c r="AW11" s="148" t="s">
        <v>236</v>
      </c>
      <c r="AX11" s="148" t="s">
        <v>303</v>
      </c>
      <c r="AY11" s="138" t="s">
        <v>296</v>
      </c>
      <c r="AZ11" s="175"/>
      <c r="BA11" s="175"/>
      <c r="BB11" s="175"/>
      <c r="BC11" s="175"/>
      <c r="BD11" s="175"/>
      <c r="BE11" s="26"/>
      <c r="BF11" s="26"/>
      <c r="BG11" s="26"/>
      <c r="BH11" s="26"/>
      <c r="BI11" s="26"/>
      <c r="BJ11" s="26"/>
      <c r="BK11" s="26"/>
      <c r="BL11" s="26"/>
      <c r="BM11" s="26"/>
      <c r="BN11" s="26"/>
      <c r="BO11" s="26"/>
      <c r="BP11" s="26"/>
      <c r="BQ11" s="26"/>
      <c r="BR11" s="26"/>
      <c r="BS11" s="26"/>
      <c r="BT11" s="26"/>
    </row>
    <row r="12" spans="1:72" ht="276" customHeight="1" x14ac:dyDescent="0.3">
      <c r="A12" s="279"/>
      <c r="B12" s="308"/>
      <c r="C12" s="282"/>
      <c r="D12" s="127"/>
      <c r="E12" s="282"/>
      <c r="F12" s="282"/>
      <c r="G12" s="285"/>
      <c r="H12" s="180" t="s">
        <v>263</v>
      </c>
      <c r="I12" s="282"/>
      <c r="J12" s="288"/>
      <c r="K12" s="291"/>
      <c r="L12" s="273"/>
      <c r="M12" s="294"/>
      <c r="N12" s="273">
        <f>IF(NOT(ISERROR(MATCH(M12,_xlfn.ANCHORARRAY(G15),0))),#REF!&amp;"Por favor no seleccionar los criterios de impacto",M12)</f>
        <v>0</v>
      </c>
      <c r="O12" s="291"/>
      <c r="P12" s="273"/>
      <c r="Q12" s="276"/>
      <c r="R12" s="181">
        <v>3</v>
      </c>
      <c r="S12" s="181" t="str">
        <f t="shared" ref="S12:S58" si="1">+IF(R12=5,"CASI SEGURO",(IF(R12=4,"PROBABLE",(IF(R12=3,"POSIBLE",(IF(R12=2,"RARA VEZ",(IF(R12=1,"IMPROBABLE","")))))))))</f>
        <v>POSIBLE</v>
      </c>
      <c r="T12" s="181">
        <v>5</v>
      </c>
      <c r="U12" s="181" t="str">
        <f t="shared" ref="U12:U15" si="2">+IF(T12=5,"ALTO",(IF(T12=3,"MEDIO",(IF(T12=1,"BAJO",IF(OR(T12=2,T12=4),"NO APLICA",""))))))</f>
        <v>ALTO</v>
      </c>
      <c r="V12" s="181">
        <f t="shared" ref="V12:V58" si="3">IF(AND(R12&lt;&gt;"",T12&lt;&gt;"",U12&lt;&gt;"NO APLICA"),R12*T12,"")</f>
        <v>15</v>
      </c>
      <c r="W12" s="181" t="str">
        <f t="shared" ref="W12:W58" si="4">IF(AND(V12&lt;4,V12&gt;0),"BAJA",IF(AND(V12&gt;9,V12&lt;26),"ALTA",IF(AND(V12&gt;3,V12&lt;10),"MEDIA","")))</f>
        <v>ALTA</v>
      </c>
      <c r="X12" s="6">
        <v>2</v>
      </c>
      <c r="Y12" s="176" t="s">
        <v>264</v>
      </c>
      <c r="Z12" s="165" t="str">
        <f t="shared" si="0"/>
        <v/>
      </c>
      <c r="AA12" s="166"/>
      <c r="AB12" s="166"/>
      <c r="AC12" s="167" t="str">
        <f t="shared" ref="AC12" si="5">IF(AND(AA12="Preventivo",AB12="Automático"),"50%",IF(AND(AA12="Preventivo",AB12="Manual"),"40%",IF(AND(AA12="Detectivo",AB12="Automático"),"40%",IF(AND(AA12="Detectivo",AB12="Manual"),"30%",IF(AND(AA12="Correctivo",AB12="Automático"),"35%",IF(AND(AA12="Correctivo",AB12="Manual"),"25%",""))))))</f>
        <v/>
      </c>
      <c r="AD12" s="166"/>
      <c r="AE12" s="166"/>
      <c r="AF12" s="166"/>
      <c r="AG12" s="168" t="str">
        <f>IFERROR(IF(AND(Z11="Probabilidad",Z12="Probabilidad"),(AI11-(+AI11*AC12)),IF(Z12="Probabilidad",(R11-(+R11*AC12)),IF(Z12="Impacto",AI11,""))),"")</f>
        <v/>
      </c>
      <c r="AH12" s="169" t="str">
        <f t="shared" ref="AH12:AH47" si="6">IFERROR(IF(AG12="","",IF(AG12&lt;=0.2,"Muy Baja",IF(AG12&lt;=0.4,"Baja",IF(AG12&lt;=0.6,"Media",IF(AG12&lt;=0.8,"Alta","Muy Alta"))))),"")</f>
        <v/>
      </c>
      <c r="AI12" s="170" t="str">
        <f t="shared" ref="AI12" si="7">+AG12</f>
        <v/>
      </c>
      <c r="AJ12" s="169" t="str">
        <f t="shared" ref="AJ12:AJ47" si="8">IFERROR(IF(AK12="","",IF(AK12&lt;=0.2,"Leve",IF(AK12&lt;=0.4,"Menor",IF(AK12&lt;=0.6,"Moderado",IF(AK12&lt;=0.8,"Mayor","Catastrófico"))))),"")</f>
        <v/>
      </c>
      <c r="AK12" s="170" t="str">
        <f>IFERROR(IF(AND(Z11="Impacto",Z12="Impacto"),(AK11-(+AK11*AC12)),IF(Z12="Impacto",(V11-(+V11*AC12)),IF(Z12="Probabilidad",AK11,""))),"")</f>
        <v/>
      </c>
      <c r="AL12" s="171" t="str">
        <f t="shared" ref="AL12" si="9">IFERROR(IF(OR(AND(AH12="Muy Baja",AJ12="Leve"),AND(AH12="Muy Baja",AJ12="Menor"),AND(AH12="Baja",AJ12="Leve")),"Bajo",IF(OR(AND(AH12="Muy baja",AJ12="Moderado"),AND(AH12="Baja",AJ12="Menor"),AND(AH12="Baja",AJ12="Moderado"),AND(AH12="Media",AJ12="Leve"),AND(AH12="Media",AJ12="Menor"),AND(AH12="Media",AJ12="Moderado"),AND(AH12="Alta",AJ12="Leve"),AND(AH12="Alta",AJ12="Menor")),"Moderado",IF(OR(AND(AH12="Muy Baja",AJ12="Mayor"),AND(AH12="Baja",AJ12="Mayor"),AND(AH12="Media",AJ12="Mayor"),AND(AH12="Alta",AJ12="Moderado"),AND(AH12="Alta",AJ12="Mayor"),AND(AH12="Muy Alta",AJ12="Leve"),AND(AH12="Muy Alta",AJ12="Menor"),AND(AH12="Muy Alta",AJ12="Moderado"),AND(AH12="Muy Alta",AJ12="Mayor")),"Alto",IF(OR(AND(AH12="Muy Baja",AJ12="Catastrófico"),AND(AH12="Baja",AJ12="Catastrófico"),AND(AH12="Media",AJ12="Catastrófico"),AND(AH12="Alta",AJ12="Catastrófico"),AND(AH12="Muy Alta",AJ12="Catastrófico")),"Extremo","")))),"")</f>
        <v/>
      </c>
      <c r="AM12" s="172"/>
      <c r="AN12" s="163">
        <v>4</v>
      </c>
      <c r="AO12" s="178" t="str">
        <f t="shared" ref="AO12:AO30" si="10">+IF(AN12=5,"CASI SEGURO",(IF(AN12=4,"PROBABLE",(IF(AN12=3,"POSIBLE",(IF(AN12=2,"RARA VEZ",(IF(AN12=1,"IMPROBABLE","")))))))))</f>
        <v>PROBABLE</v>
      </c>
      <c r="AP12" s="163">
        <v>5</v>
      </c>
      <c r="AQ12" s="178" t="str">
        <f t="shared" ref="AQ12:AQ30" si="11">+IF(AP12=5,"ALTO",(IF(AP12=3,"MEDIO",(IF(AP12=1,"BAJO",IF(OR(AP12=2,AP12=4),"NO APLICA",""))))))</f>
        <v>ALTO</v>
      </c>
      <c r="AR12" s="163">
        <f t="shared" ref="AR12:AR30" si="12">IF(AND(AN12&lt;&gt;"",AP12&lt;&gt;"",AQ12&lt;&gt;"NO APLICA"),AN12*AP12,"")</f>
        <v>20</v>
      </c>
      <c r="AS12" s="178" t="str">
        <f t="shared" ref="AS12:AS30" si="13">IF(AND(AR12&lt;4,AR12&gt;0),"BAJA",IF(AND(AR12&gt;9,AR12&lt;26),"ALTA",IF(AND(AR12&gt;3,AR12&lt;10),"MEDIA","")))</f>
        <v>ALTA</v>
      </c>
      <c r="AT12" s="138" t="s">
        <v>265</v>
      </c>
      <c r="AU12" s="138" t="s">
        <v>243</v>
      </c>
      <c r="AV12" s="151">
        <v>45745</v>
      </c>
      <c r="AW12" s="148" t="s">
        <v>299</v>
      </c>
      <c r="AX12" s="217" t="s">
        <v>304</v>
      </c>
      <c r="AY12" s="138" t="s">
        <v>296</v>
      </c>
      <c r="AZ12" s="175"/>
      <c r="BA12" s="175"/>
      <c r="BB12" s="175"/>
      <c r="BC12" s="175"/>
      <c r="BD12" s="175"/>
      <c r="BE12" s="8"/>
      <c r="BF12" s="8"/>
      <c r="BG12" s="8"/>
      <c r="BH12" s="8"/>
      <c r="BI12" s="8"/>
      <c r="BJ12" s="8"/>
      <c r="BK12" s="8"/>
      <c r="BL12" s="8"/>
      <c r="BM12" s="8"/>
      <c r="BN12" s="8"/>
      <c r="BO12" s="8"/>
      <c r="BP12" s="8"/>
      <c r="BQ12" s="8"/>
      <c r="BR12" s="8"/>
      <c r="BS12" s="8"/>
      <c r="BT12" s="8"/>
    </row>
    <row r="13" spans="1:72" ht="151.5" customHeight="1" x14ac:dyDescent="0.3">
      <c r="A13" s="278">
        <v>2</v>
      </c>
      <c r="B13" s="124"/>
      <c r="C13" s="281" t="s">
        <v>134</v>
      </c>
      <c r="D13" s="127" t="s">
        <v>233</v>
      </c>
      <c r="E13" s="281" t="s">
        <v>222</v>
      </c>
      <c r="F13" s="281" t="s">
        <v>224</v>
      </c>
      <c r="G13" s="284" t="s">
        <v>223</v>
      </c>
      <c r="H13" s="157"/>
      <c r="I13" s="281" t="s">
        <v>123</v>
      </c>
      <c r="J13" s="287">
        <v>80</v>
      </c>
      <c r="K13" s="290" t="str">
        <f>IF(J13&lt;=0,"",IF(J13&lt;=2,"Muy Baja",IF(J13&lt;=24,"Baja",IF(J13&lt;=500,"Media",IF(J13&lt;=5000,"Alta","Muy Alta")))))</f>
        <v>Media</v>
      </c>
      <c r="L13" s="272">
        <f>IF(K13="","",IF(K13="Muy Baja",0.2,IF(K13="Baja",0.4,IF(K13="Media",0.6,IF(K13="Alta",0.8,IF(K13="Muy Alta",1,))))))</f>
        <v>0.6</v>
      </c>
      <c r="M13" s="293" t="s">
        <v>152</v>
      </c>
      <c r="N13" s="272" t="str">
        <f>IF(NOT(ISERROR(MATCH(M13,'Tabla Impacto'!$B$221:$B$223,0))),'Tabla Impacto'!$F$223&amp;"Por favor no seleccionar los criterios de impacto(Afectación Económica o presupuestal y Pérdida Reputacional)",M13)</f>
        <v xml:space="preserve">     El riesgo afecta la imagen de la entidad internamente, de conocimiento general, nivel interno, de junta dircetiva y accionistas y/o de provedores</v>
      </c>
      <c r="O13" s="290" t="str">
        <f>IF(OR(N13='Tabla Impacto'!$C$11,N13='Tabla Impacto'!$D$11),"Leve",IF(OR(N13='Tabla Impacto'!$C$12,N13='Tabla Impacto'!$D$12),"Menor",IF(OR(N13='Tabla Impacto'!$C$13,N13='Tabla Impacto'!$D$13),"Moderado",IF(OR(N13='Tabla Impacto'!$C$14,N13='Tabla Impacto'!$D$14),"Mayor",IF(OR(N13='Tabla Impacto'!$C$15,N13='Tabla Impacto'!$D$15),"Catastrófico","")))))</f>
        <v>Menor</v>
      </c>
      <c r="P13" s="272">
        <f>IF(O13="","",IF(O13="Leve",0.2,IF(O13="Menor",0.4,IF(O13="Moderado",0.6,IF(O13="Mayor",0.8,IF(O13="Catastrófico",1,))))))</f>
        <v>0.4</v>
      </c>
      <c r="Q13" s="275" t="str">
        <f>IF(OR(AND(K13="Muy Baja",O13="Leve"),AND(K13="Muy Baja",O13="Menor"),AND(K13="Baja",O13="Leve")),"Bajo",IF(OR(AND(K13="Muy baja",O13="Moderado"),AND(K13="Baja",O13="Menor"),AND(K13="Baja",O13="Moderado"),AND(K13="Media",O13="Leve"),AND(K13="Media",O13="Menor"),AND(K13="Media",O13="Moderado"),AND(K13="Alta",O13="Leve"),AND(K13="Alta",O13="Menor")),"Moderado",IF(OR(AND(K13="Muy Baja",O13="Mayor"),AND(K13="Baja",O13="Mayor"),AND(K13="Media",O13="Mayor"),AND(K13="Alta",O13="Moderado"),AND(K13="Alta",O13="Mayor"),AND(K13="Muy Alta",O13="Leve"),AND(K13="Muy Alta",O13="Menor"),AND(K13="Muy Alta",O13="Moderado"),AND(K13="Muy Alta",O13="Mayor")),"Alto",IF(OR(AND(K13="Muy Baja",O13="Catastrófico"),AND(K13="Baja",O13="Catastrófico"),AND(K13="Media",O13="Catastrófico"),AND(K13="Alta",O13="Catastrófico"),AND(K13="Muy Alta",O13="Catastrófico")),"Extremo",""))))</f>
        <v>Moderado</v>
      </c>
      <c r="R13" s="164"/>
      <c r="S13" s="164" t="str">
        <f t="shared" si="1"/>
        <v/>
      </c>
      <c r="T13" s="164"/>
      <c r="U13" s="163" t="str">
        <f t="shared" si="2"/>
        <v/>
      </c>
      <c r="V13" s="164" t="str">
        <f t="shared" si="3"/>
        <v/>
      </c>
      <c r="W13" s="164" t="str">
        <f t="shared" si="4"/>
        <v/>
      </c>
      <c r="X13" s="6">
        <v>1</v>
      </c>
      <c r="Y13" s="176" t="s">
        <v>229</v>
      </c>
      <c r="Z13" s="165" t="str">
        <f t="shared" si="0"/>
        <v>Probabilidad</v>
      </c>
      <c r="AA13" s="166" t="s">
        <v>14</v>
      </c>
      <c r="AB13" s="166" t="s">
        <v>9</v>
      </c>
      <c r="AC13" s="167" t="str">
        <f>IF(AND(AA13="Preventivo",AB13="Automático"),"50%",IF(AND(AA13="Preventivo",AB13="Manual"),"40%",IF(AND(AA13="Detectivo",AB13="Automático"),"40%",IF(AND(AA13="Detectivo",AB13="Manual"),"30%",IF(AND(AA13="Correctivo",AB13="Automático"),"35%",IF(AND(AA13="Correctivo",AB13="Manual"),"25%",""))))))</f>
        <v>40%</v>
      </c>
      <c r="AD13" s="166" t="s">
        <v>19</v>
      </c>
      <c r="AE13" s="166" t="s">
        <v>22</v>
      </c>
      <c r="AF13" s="166" t="s">
        <v>119</v>
      </c>
      <c r="AG13" s="168">
        <f>IFERROR(IF(Z13="Probabilidad",(R13-(+R13*AC13)),IF(Z13="Impacto",R13,"")),"")</f>
        <v>0</v>
      </c>
      <c r="AH13" s="169" t="str">
        <f>IFERROR(IF(AG13="","",IF(AG13&lt;=0.2,"Muy Baja",IF(AG13&lt;=0.4,"Baja",IF(AG13&lt;=0.6,"Media",IF(AG13&lt;=0.8,"Alta","Muy Alta"))))),"")</f>
        <v>Muy Baja</v>
      </c>
      <c r="AI13" s="170">
        <f>+AG13</f>
        <v>0</v>
      </c>
      <c r="AJ13" s="169" t="str">
        <f>IFERROR(IF(AK13="","",IF(AK13&lt;=0.2,"Leve",IF(AK13&lt;=0.4,"Menor",IF(AK13&lt;=0.6,"Moderado",IF(AK13&lt;=0.8,"Mayor","Catastrófico"))))),"")</f>
        <v/>
      </c>
      <c r="AK13" s="170" t="str">
        <f>IFERROR(IF(Z13="Impacto",(V13-(+V13*AC13)),IF(Z13="Probabilidad",V13,"")),"")</f>
        <v/>
      </c>
      <c r="AL13" s="171" t="str">
        <f>IFERROR(IF(OR(AND(AH13="Muy Baja",AJ13="Leve"),AND(AH13="Muy Baja",AJ13="Menor"),AND(AH13="Baja",AJ13="Leve")),"Bajo",IF(OR(AND(AH13="Muy baja",AJ13="Moderado"),AND(AH13="Baja",AJ13="Menor"),AND(AH13="Baja",AJ13="Moderado"),AND(AH13="Media",AJ13="Leve"),AND(AH13="Media",AJ13="Menor"),AND(AH13="Media",AJ13="Moderado"),AND(AH13="Alta",AJ13="Leve"),AND(AH13="Alta",AJ13="Menor")),"Moderado",IF(OR(AND(AH13="Muy Baja",AJ13="Mayor"),AND(AH13="Baja",AJ13="Mayor"),AND(AH13="Media",AJ13="Mayor"),AND(AH13="Alta",AJ13="Moderado"),AND(AH13="Alta",AJ13="Mayor"),AND(AH13="Muy Alta",AJ13="Leve"),AND(AH13="Muy Alta",AJ13="Menor"),AND(AH13="Muy Alta",AJ13="Moderado"),AND(AH13="Muy Alta",AJ13="Mayor")),"Alto",IF(OR(AND(AH13="Muy Baja",AJ13="Catastrófico"),AND(AH13="Baja",AJ13="Catastrófico"),AND(AH13="Media",AJ13="Catastrófico"),AND(AH13="Alta",AJ13="Catastrófico"),AND(AH13="Muy Alta",AJ13="Catastrófico")),"Extremo","")))),"")</f>
        <v/>
      </c>
      <c r="AM13" s="172" t="s">
        <v>136</v>
      </c>
      <c r="AN13" s="163"/>
      <c r="AO13" s="178" t="str">
        <f t="shared" si="10"/>
        <v/>
      </c>
      <c r="AP13" s="163"/>
      <c r="AQ13" s="178" t="str">
        <f t="shared" si="11"/>
        <v/>
      </c>
      <c r="AR13" s="163" t="str">
        <f t="shared" si="12"/>
        <v/>
      </c>
      <c r="AS13" s="178" t="str">
        <f t="shared" si="13"/>
        <v/>
      </c>
      <c r="AT13" s="138" t="s">
        <v>302</v>
      </c>
      <c r="AU13" s="138" t="s">
        <v>244</v>
      </c>
      <c r="AV13" s="149" t="s">
        <v>235</v>
      </c>
      <c r="AW13" s="148" t="s">
        <v>235</v>
      </c>
      <c r="AX13" s="148" t="s">
        <v>305</v>
      </c>
      <c r="AY13" s="138" t="s">
        <v>296</v>
      </c>
      <c r="AZ13" s="175"/>
      <c r="BA13" s="175"/>
      <c r="BB13" s="175"/>
      <c r="BC13" s="175"/>
      <c r="BD13" s="175"/>
      <c r="BE13" s="8"/>
      <c r="BF13" s="8"/>
      <c r="BG13" s="8"/>
      <c r="BH13" s="8"/>
      <c r="BI13" s="8"/>
      <c r="BJ13" s="8"/>
      <c r="BK13" s="8"/>
      <c r="BL13" s="8"/>
      <c r="BM13" s="8"/>
      <c r="BN13" s="8"/>
      <c r="BO13" s="8"/>
      <c r="BP13" s="8"/>
      <c r="BQ13" s="8"/>
      <c r="BR13" s="8"/>
      <c r="BS13" s="8"/>
      <c r="BT13" s="8"/>
    </row>
    <row r="14" spans="1:72" ht="151.5" customHeight="1" x14ac:dyDescent="0.3">
      <c r="A14" s="279"/>
      <c r="B14" s="125"/>
      <c r="C14" s="282"/>
      <c r="D14" s="127"/>
      <c r="E14" s="282"/>
      <c r="F14" s="282"/>
      <c r="G14" s="285"/>
      <c r="H14" s="156"/>
      <c r="I14" s="282"/>
      <c r="J14" s="288"/>
      <c r="K14" s="291"/>
      <c r="L14" s="273"/>
      <c r="M14" s="294"/>
      <c r="N14" s="273">
        <f>IF(NOT(ISERROR(MATCH(M14,_xlfn.ANCHORARRAY(#REF!),0))),#REF!&amp;"Por favor no seleccionar los criterios de impacto",M14)</f>
        <v>0</v>
      </c>
      <c r="O14" s="291"/>
      <c r="P14" s="273"/>
      <c r="Q14" s="276"/>
      <c r="R14" s="163"/>
      <c r="S14" s="163" t="str">
        <f t="shared" si="1"/>
        <v/>
      </c>
      <c r="T14" s="163"/>
      <c r="U14" s="163" t="str">
        <f t="shared" si="2"/>
        <v/>
      </c>
      <c r="V14" s="163" t="str">
        <f t="shared" si="3"/>
        <v/>
      </c>
      <c r="W14" s="163" t="str">
        <f t="shared" si="4"/>
        <v/>
      </c>
      <c r="X14" s="6">
        <v>2</v>
      </c>
      <c r="Y14" s="176" t="s">
        <v>232</v>
      </c>
      <c r="Z14" s="165" t="str">
        <f t="shared" si="0"/>
        <v>Probabilidad</v>
      </c>
      <c r="AA14" s="166" t="s">
        <v>14</v>
      </c>
      <c r="AB14" s="166" t="s">
        <v>9</v>
      </c>
      <c r="AC14" s="167" t="str">
        <f t="shared" ref="AC14" si="14">IF(AND(AA14="Preventivo",AB14="Automático"),"50%",IF(AND(AA14="Preventivo",AB14="Manual"),"40%",IF(AND(AA14="Detectivo",AB14="Automático"),"40%",IF(AND(AA14="Detectivo",AB14="Manual"),"30%",IF(AND(AA14="Correctivo",AB14="Automático"),"35%",IF(AND(AA14="Correctivo",AB14="Manual"),"25%",""))))))</f>
        <v>40%</v>
      </c>
      <c r="AD14" s="166" t="s">
        <v>19</v>
      </c>
      <c r="AE14" s="166" t="s">
        <v>22</v>
      </c>
      <c r="AF14" s="166" t="s">
        <v>119</v>
      </c>
      <c r="AG14" s="168">
        <f>IFERROR(IF(AND(Z13="Probabilidad",Z14="Probabilidad"),(AI13-(+AI13*AC14)),IF(Z14="Probabilidad",(R13-(+R13*AC14)),IF(Z14="Impacto",AI13,""))),"")</f>
        <v>0</v>
      </c>
      <c r="AH14" s="169" t="str">
        <f t="shared" si="6"/>
        <v>Muy Baja</v>
      </c>
      <c r="AI14" s="170">
        <f t="shared" ref="AI14" si="15">+AG14</f>
        <v>0</v>
      </c>
      <c r="AJ14" s="169" t="str">
        <f t="shared" si="8"/>
        <v/>
      </c>
      <c r="AK14" s="170" t="str">
        <f>IFERROR(IF(AND(Z13="Impacto",Z14="Impacto"),(AK13-(+AK13*AC14)),IF(Z14="Impacto",(V13-(+V13*AC14)),IF(Z14="Probabilidad",AK13,""))),"")</f>
        <v/>
      </c>
      <c r="AL14" s="171" t="str">
        <f t="shared" ref="AL14" si="16">IFERROR(IF(OR(AND(AH14="Muy Baja",AJ14="Leve"),AND(AH14="Muy Baja",AJ14="Menor"),AND(AH14="Baja",AJ14="Leve")),"Bajo",IF(OR(AND(AH14="Muy baja",AJ14="Moderado"),AND(AH14="Baja",AJ14="Menor"),AND(AH14="Baja",AJ14="Moderado"),AND(AH14="Media",AJ14="Leve"),AND(AH14="Media",AJ14="Menor"),AND(AH14="Media",AJ14="Moderado"),AND(AH14="Alta",AJ14="Leve"),AND(AH14="Alta",AJ14="Menor")),"Moderado",IF(OR(AND(AH14="Muy Baja",AJ14="Mayor"),AND(AH14="Baja",AJ14="Mayor"),AND(AH14="Media",AJ14="Mayor"),AND(AH14="Alta",AJ14="Moderado"),AND(AH14="Alta",AJ14="Mayor"),AND(AH14="Muy Alta",AJ14="Leve"),AND(AH14="Muy Alta",AJ14="Menor"),AND(AH14="Muy Alta",AJ14="Moderado"),AND(AH14="Muy Alta",AJ14="Mayor")),"Alto",IF(OR(AND(AH14="Muy Baja",AJ14="Catastrófico"),AND(AH14="Baja",AJ14="Catastrófico"),AND(AH14="Media",AJ14="Catastrófico"),AND(AH14="Alta",AJ14="Catastrófico"),AND(AH14="Muy Alta",AJ14="Catastrófico")),"Extremo","")))),"")</f>
        <v/>
      </c>
      <c r="AM14" s="172" t="s">
        <v>136</v>
      </c>
      <c r="AN14" s="163"/>
      <c r="AO14" s="178" t="str">
        <f t="shared" si="10"/>
        <v/>
      </c>
      <c r="AP14" s="163"/>
      <c r="AQ14" s="178" t="str">
        <f t="shared" si="11"/>
        <v/>
      </c>
      <c r="AR14" s="163" t="str">
        <f t="shared" si="12"/>
        <v/>
      </c>
      <c r="AS14" s="178" t="str">
        <f t="shared" si="13"/>
        <v/>
      </c>
      <c r="AT14" s="138" t="s">
        <v>242</v>
      </c>
      <c r="AU14" s="138" t="s">
        <v>244</v>
      </c>
      <c r="AV14" s="151" t="s">
        <v>241</v>
      </c>
      <c r="AW14" s="148" t="s">
        <v>236</v>
      </c>
      <c r="AX14" s="148" t="s">
        <v>301</v>
      </c>
      <c r="AY14" s="138" t="s">
        <v>298</v>
      </c>
      <c r="AZ14" s="175"/>
      <c r="BA14" s="175"/>
      <c r="BB14" s="175"/>
      <c r="BC14" s="175"/>
      <c r="BD14" s="175"/>
      <c r="BE14" s="8"/>
      <c r="BF14" s="8"/>
      <c r="BG14" s="8"/>
      <c r="BH14" s="8"/>
      <c r="BI14" s="8"/>
      <c r="BJ14" s="8"/>
      <c r="BK14" s="8"/>
      <c r="BL14" s="8"/>
      <c r="BM14" s="8"/>
      <c r="BN14" s="8"/>
      <c r="BO14" s="8"/>
      <c r="BP14" s="8"/>
      <c r="BQ14" s="8"/>
      <c r="BR14" s="8"/>
      <c r="BS14" s="8"/>
      <c r="BT14" s="8"/>
    </row>
    <row r="15" spans="1:72" ht="151.5" customHeight="1" x14ac:dyDescent="0.3">
      <c r="A15" s="278">
        <v>3</v>
      </c>
      <c r="B15" s="124"/>
      <c r="C15" s="281" t="s">
        <v>133</v>
      </c>
      <c r="D15" s="127" t="s">
        <v>234</v>
      </c>
      <c r="E15" s="281" t="s">
        <v>230</v>
      </c>
      <c r="F15" s="281" t="s">
        <v>225</v>
      </c>
      <c r="G15" s="284" t="s">
        <v>239</v>
      </c>
      <c r="H15" s="179"/>
      <c r="I15" s="281" t="s">
        <v>123</v>
      </c>
      <c r="J15" s="287">
        <v>77</v>
      </c>
      <c r="K15" s="290" t="str">
        <f>IF(J15&lt;=0,"",IF(J15&lt;=2,"Muy Baja",IF(J15&lt;=24,"Baja",IF(J15&lt;=500,"Media",IF(J15&lt;=5000,"Alta","Muy Alta")))))</f>
        <v>Media</v>
      </c>
      <c r="L15" s="272">
        <f>IF(K15="","",IF(K15="Muy Baja",0.2,IF(K15="Baja",0.4,IF(K15="Media",0.6,IF(K15="Alta",0.8,IF(K15="Muy Alta",1,))))))</f>
        <v>0.6</v>
      </c>
      <c r="M15" s="293" t="s">
        <v>148</v>
      </c>
      <c r="N15" s="272" t="str">
        <f>IF(NOT(ISERROR(MATCH(M15,'Tabla Impacto'!$B$221:$B$223,0))),'Tabla Impacto'!$F$223&amp;"Por favor no seleccionar los criterios de impacto(Afectación Económica o presupuestal y Pérdida Reputacional)",M15)</f>
        <v xml:space="preserve">     Entre 10 y 50 SMLMV </v>
      </c>
      <c r="O15" s="290" t="str">
        <f>IF(OR(N15='Tabla Impacto'!$C$11,N15='Tabla Impacto'!$D$11),"Leve",IF(OR(N15='Tabla Impacto'!$C$12,N15='Tabla Impacto'!$D$12),"Menor",IF(OR(N15='Tabla Impacto'!$C$13,N15='Tabla Impacto'!$D$13),"Moderado",IF(OR(N15='Tabla Impacto'!$C$14,N15='Tabla Impacto'!$D$14),"Mayor",IF(OR(N15='Tabla Impacto'!$C$15,N15='Tabla Impacto'!$D$15),"Catastrófico","")))))</f>
        <v>Menor</v>
      </c>
      <c r="P15" s="272">
        <f>IF(O15="","",IF(O15="Leve",0.2,IF(O15="Menor",0.4,IF(O15="Moderado",0.6,IF(O15="Mayor",0.8,IF(O15="Catastrófico",1,))))))</f>
        <v>0.4</v>
      </c>
      <c r="Q15" s="275" t="str">
        <f>IF(OR(AND(K15="Muy Baja",O15="Leve"),AND(K15="Muy Baja",O15="Menor"),AND(K15="Baja",O15="Leve")),"Bajo",IF(OR(AND(K15="Muy baja",O15="Moderado"),AND(K15="Baja",O15="Menor"),AND(K15="Baja",O15="Moderado"),AND(K15="Media",O15="Leve"),AND(K15="Media",O15="Menor"),AND(K15="Media",O15="Moderado"),AND(K15="Alta",O15="Leve"),AND(K15="Alta",O15="Menor")),"Moderado",IF(OR(AND(K15="Muy Baja",O15="Mayor"),AND(K15="Baja",O15="Mayor"),AND(K15="Media",O15="Mayor"),AND(K15="Alta",O15="Moderado"),AND(K15="Alta",O15="Mayor"),AND(K15="Muy Alta",O15="Leve"),AND(K15="Muy Alta",O15="Menor"),AND(K15="Muy Alta",O15="Moderado"),AND(K15="Muy Alta",O15="Mayor")),"Alto",IF(OR(AND(K15="Muy Baja",O15="Catastrófico"),AND(K15="Baja",O15="Catastrófico"),AND(K15="Media",O15="Catastrófico"),AND(K15="Alta",O15="Catastrófico"),AND(K15="Muy Alta",O15="Catastrófico")),"Extremo",""))))</f>
        <v>Moderado</v>
      </c>
      <c r="R15" s="164"/>
      <c r="S15" s="164" t="str">
        <f t="shared" si="1"/>
        <v/>
      </c>
      <c r="T15" s="164"/>
      <c r="U15" s="163" t="str">
        <f t="shared" si="2"/>
        <v/>
      </c>
      <c r="V15" s="164" t="str">
        <f t="shared" si="3"/>
        <v/>
      </c>
      <c r="W15" s="164" t="str">
        <f t="shared" si="4"/>
        <v/>
      </c>
      <c r="X15" s="6">
        <v>1</v>
      </c>
      <c r="Y15" s="176" t="s">
        <v>226</v>
      </c>
      <c r="Z15" s="165" t="str">
        <f t="shared" si="0"/>
        <v>Probabilidad</v>
      </c>
      <c r="AA15" s="166" t="s">
        <v>14</v>
      </c>
      <c r="AB15" s="166" t="s">
        <v>10</v>
      </c>
      <c r="AC15" s="167" t="str">
        <f>IF(AND(AA15="Preventivo",AB15="Automático"),"50%",IF(AND(AA15="Preventivo",AB15="Manual"),"40%",IF(AND(AA15="Detectivo",AB15="Automático"),"40%",IF(AND(AA15="Detectivo",AB15="Manual"),"30%",IF(AND(AA15="Correctivo",AB15="Automático"),"35%",IF(AND(AA15="Correctivo",AB15="Manual"),"25%",""))))))</f>
        <v>50%</v>
      </c>
      <c r="AD15" s="166" t="s">
        <v>19</v>
      </c>
      <c r="AE15" s="166" t="s">
        <v>22</v>
      </c>
      <c r="AF15" s="166" t="s">
        <v>119</v>
      </c>
      <c r="AG15" s="168">
        <f>IFERROR(IF(Z15="Probabilidad",(R15-(+R15*AC15)),IF(Z15="Impacto",R15,"")),"")</f>
        <v>0</v>
      </c>
      <c r="AH15" s="169" t="str">
        <f>IFERROR(IF(AG15="","",IF(AG15&lt;=0.2,"Muy Baja",IF(AG15&lt;=0.4,"Baja",IF(AG15&lt;=0.6,"Media",IF(AG15&lt;=0.8,"Alta","Muy Alta"))))),"")</f>
        <v>Muy Baja</v>
      </c>
      <c r="AI15" s="170">
        <f>+AG15</f>
        <v>0</v>
      </c>
      <c r="AJ15" s="169" t="str">
        <f>IFERROR(IF(AK15="","",IF(AK15&lt;=0.2,"Leve",IF(AK15&lt;=0.4,"Menor",IF(AK15&lt;=0.6,"Moderado",IF(AK15&lt;=0.8,"Mayor","Catastrófico"))))),"")</f>
        <v/>
      </c>
      <c r="AK15" s="170" t="str">
        <f>IFERROR(IF(Z15="Impacto",(V15-(+V15*AC15)),IF(Z15="Probabilidad",V15,"")),"")</f>
        <v/>
      </c>
      <c r="AL15" s="171" t="str">
        <f>IFERROR(IF(OR(AND(AH15="Muy Baja",AJ15="Leve"),AND(AH15="Muy Baja",AJ15="Menor"),AND(AH15="Baja",AJ15="Leve")),"Bajo",IF(OR(AND(AH15="Muy baja",AJ15="Moderado"),AND(AH15="Baja",AJ15="Menor"),AND(AH15="Baja",AJ15="Moderado"),AND(AH15="Media",AJ15="Leve"),AND(AH15="Media",AJ15="Menor"),AND(AH15="Media",AJ15="Moderado"),AND(AH15="Alta",AJ15="Leve"),AND(AH15="Alta",AJ15="Menor")),"Moderado",IF(OR(AND(AH15="Muy Baja",AJ15="Mayor"),AND(AH15="Baja",AJ15="Mayor"),AND(AH15="Media",AJ15="Mayor"),AND(AH15="Alta",AJ15="Moderado"),AND(AH15="Alta",AJ15="Mayor"),AND(AH15="Muy Alta",AJ15="Leve"),AND(AH15="Muy Alta",AJ15="Menor"),AND(AH15="Muy Alta",AJ15="Moderado"),AND(AH15="Muy Alta",AJ15="Mayor")),"Alto",IF(OR(AND(AH15="Muy Baja",AJ15="Catastrófico"),AND(AH15="Baja",AJ15="Catastrófico"),AND(AH15="Media",AJ15="Catastrófico"),AND(AH15="Alta",AJ15="Catastrófico"),AND(AH15="Muy Alta",AJ15="Catastrófico")),"Extremo","")))),"")</f>
        <v/>
      </c>
      <c r="AM15" s="172" t="s">
        <v>136</v>
      </c>
      <c r="AN15" s="163">
        <v>5</v>
      </c>
      <c r="AO15" s="178" t="str">
        <f t="shared" si="10"/>
        <v>CASI SEGURO</v>
      </c>
      <c r="AP15" s="163">
        <v>5</v>
      </c>
      <c r="AQ15" s="178" t="str">
        <f t="shared" si="11"/>
        <v>ALTO</v>
      </c>
      <c r="AR15" s="163">
        <f t="shared" si="12"/>
        <v>25</v>
      </c>
      <c r="AS15" s="178" t="str">
        <f t="shared" si="13"/>
        <v>ALTA</v>
      </c>
      <c r="AT15" s="138" t="s">
        <v>227</v>
      </c>
      <c r="AU15" s="138" t="s">
        <v>244</v>
      </c>
      <c r="AV15" s="149" t="s">
        <v>228</v>
      </c>
      <c r="AW15" s="148" t="s">
        <v>245</v>
      </c>
      <c r="AX15" s="217" t="s">
        <v>306</v>
      </c>
      <c r="AY15" s="138" t="s">
        <v>296</v>
      </c>
      <c r="AZ15" s="175"/>
      <c r="BA15" s="175"/>
      <c r="BB15" s="175"/>
      <c r="BC15" s="175"/>
      <c r="BD15" s="175"/>
      <c r="BE15" s="8"/>
      <c r="BF15" s="8"/>
      <c r="BG15" s="8"/>
      <c r="BH15" s="8"/>
      <c r="BI15" s="8"/>
      <c r="BJ15" s="8"/>
      <c r="BK15" s="8"/>
      <c r="BL15" s="8"/>
      <c r="BM15" s="8"/>
      <c r="BN15" s="8"/>
      <c r="BO15" s="8"/>
      <c r="BP15" s="8"/>
      <c r="BQ15" s="8"/>
      <c r="BR15" s="8"/>
      <c r="BS15" s="8"/>
      <c r="BT15" s="8"/>
    </row>
    <row r="16" spans="1:72" ht="151.5" customHeight="1" x14ac:dyDescent="0.3">
      <c r="A16" s="279"/>
      <c r="B16" s="125"/>
      <c r="C16" s="282"/>
      <c r="D16" s="127" t="s">
        <v>233</v>
      </c>
      <c r="E16" s="282"/>
      <c r="F16" s="282"/>
      <c r="G16" s="285"/>
      <c r="H16" s="158"/>
      <c r="I16" s="282"/>
      <c r="J16" s="288"/>
      <c r="K16" s="291"/>
      <c r="L16" s="273"/>
      <c r="M16" s="294"/>
      <c r="N16" s="273">
        <f>IF(NOT(ISERROR(MATCH(M16,_xlfn.ANCHORARRAY(#REF!),0))),#REF!&amp;"Por favor no seleccionar los criterios de impacto",M16)</f>
        <v>0</v>
      </c>
      <c r="O16" s="291"/>
      <c r="P16" s="273"/>
      <c r="Q16" s="276"/>
      <c r="R16" s="164"/>
      <c r="S16" s="164" t="str">
        <f t="shared" si="1"/>
        <v/>
      </c>
      <c r="T16" s="164"/>
      <c r="U16" s="164" t="str">
        <f t="shared" ref="U16:U58" si="17">+IF(T16=5,"ALTO",(IF(T16=3,"MEDIO",(IF(T16=1,"BAJO",IF(OR(T16=2,T16=4),"NO APLICA",""))))))</f>
        <v/>
      </c>
      <c r="V16" s="164" t="str">
        <f t="shared" si="3"/>
        <v/>
      </c>
      <c r="W16" s="164" t="str">
        <f t="shared" si="4"/>
        <v/>
      </c>
      <c r="X16" s="6">
        <v>2</v>
      </c>
      <c r="Y16" s="176" t="s">
        <v>231</v>
      </c>
      <c r="Z16" s="165" t="str">
        <f t="shared" si="0"/>
        <v>Probabilidad</v>
      </c>
      <c r="AA16" s="166" t="s">
        <v>14</v>
      </c>
      <c r="AB16" s="166" t="s">
        <v>9</v>
      </c>
      <c r="AC16" s="167" t="str">
        <f t="shared" ref="AC16:AC17" si="18">IF(AND(AA16="Preventivo",AB16="Automático"),"50%",IF(AND(AA16="Preventivo",AB16="Manual"),"40%",IF(AND(AA16="Detectivo",AB16="Automático"),"40%",IF(AND(AA16="Detectivo",AB16="Manual"),"30%",IF(AND(AA16="Correctivo",AB16="Automático"),"35%",IF(AND(AA16="Correctivo",AB16="Manual"),"25%",""))))))</f>
        <v>40%</v>
      </c>
      <c r="AD16" s="166" t="s">
        <v>19</v>
      </c>
      <c r="AE16" s="166" t="s">
        <v>22</v>
      </c>
      <c r="AF16" s="166" t="s">
        <v>119</v>
      </c>
      <c r="AG16" s="173">
        <f>IFERROR(IF(AND(Z15="Probabilidad",Z16="Probabilidad"),(AI15-(+AI15*AC16)),IF(Z16="Probabilidad",(R15-(+R15*AC16)),IF(Z16="Impacto",AI15,""))),"")</f>
        <v>0</v>
      </c>
      <c r="AH16" s="169" t="str">
        <f t="shared" si="6"/>
        <v>Muy Baja</v>
      </c>
      <c r="AI16" s="170">
        <f t="shared" ref="AI16:AI17" si="19">+AG16</f>
        <v>0</v>
      </c>
      <c r="AJ16" s="169" t="str">
        <f t="shared" si="8"/>
        <v/>
      </c>
      <c r="AK16" s="170" t="str">
        <f>IFERROR(IF(AND(Z15="Impacto",Z16="Impacto"),(AK15-(+AK15*AC16)),IF(Z16="Impacto",(V15-(+V15*AC16)),IF(Z16="Probabilidad",AK15,""))),"")</f>
        <v/>
      </c>
      <c r="AL16" s="171" t="str">
        <f t="shared" ref="AL16:AL17" si="20">IFERROR(IF(OR(AND(AH16="Muy Baja",AJ16="Leve"),AND(AH16="Muy Baja",AJ16="Menor"),AND(AH16="Baja",AJ16="Leve")),"Bajo",IF(OR(AND(AH16="Muy baja",AJ16="Moderado"),AND(AH16="Baja",AJ16="Menor"),AND(AH16="Baja",AJ16="Moderado"),AND(AH16="Media",AJ16="Leve"),AND(AH16="Media",AJ16="Menor"),AND(AH16="Media",AJ16="Moderado"),AND(AH16="Alta",AJ16="Leve"),AND(AH16="Alta",AJ16="Menor")),"Moderado",IF(OR(AND(AH16="Muy Baja",AJ16="Mayor"),AND(AH16="Baja",AJ16="Mayor"),AND(AH16="Media",AJ16="Mayor"),AND(AH16="Alta",AJ16="Moderado"),AND(AH16="Alta",AJ16="Mayor"),AND(AH16="Muy Alta",AJ16="Leve"),AND(AH16="Muy Alta",AJ16="Menor"),AND(AH16="Muy Alta",AJ16="Moderado"),AND(AH16="Muy Alta",AJ16="Mayor")),"Alto",IF(OR(AND(AH16="Muy Baja",AJ16="Catastrófico"),AND(AH16="Baja",AJ16="Catastrófico"),AND(AH16="Media",AJ16="Catastrófico"),AND(AH16="Alta",AJ16="Catastrófico"),AND(AH16="Muy Alta",AJ16="Catastrófico")),"Extremo","")))),"")</f>
        <v/>
      </c>
      <c r="AM16" s="172"/>
      <c r="AN16" s="163">
        <v>5</v>
      </c>
      <c r="AO16" s="178" t="str">
        <f t="shared" si="10"/>
        <v>CASI SEGURO</v>
      </c>
      <c r="AP16" s="163">
        <v>5</v>
      </c>
      <c r="AQ16" s="178" t="str">
        <f t="shared" si="11"/>
        <v>ALTO</v>
      </c>
      <c r="AR16" s="163">
        <f t="shared" si="12"/>
        <v>25</v>
      </c>
      <c r="AS16" s="178" t="str">
        <f t="shared" si="13"/>
        <v>ALTA</v>
      </c>
      <c r="AT16" s="138" t="s">
        <v>246</v>
      </c>
      <c r="AU16" s="138" t="s">
        <v>244</v>
      </c>
      <c r="AV16" s="151" t="s">
        <v>235</v>
      </c>
      <c r="AW16" s="148" t="s">
        <v>235</v>
      </c>
      <c r="AX16" s="148" t="s">
        <v>297</v>
      </c>
      <c r="AY16" s="138" t="s">
        <v>296</v>
      </c>
      <c r="AZ16" s="175"/>
      <c r="BA16" s="175"/>
      <c r="BB16" s="175"/>
      <c r="BC16" s="175"/>
      <c r="BD16" s="175"/>
      <c r="BE16" s="8"/>
      <c r="BF16" s="8"/>
      <c r="BG16" s="8"/>
      <c r="BH16" s="8"/>
      <c r="BI16" s="8"/>
      <c r="BJ16" s="8"/>
      <c r="BK16" s="8"/>
      <c r="BL16" s="8"/>
      <c r="BM16" s="8"/>
      <c r="BN16" s="8"/>
      <c r="BO16" s="8"/>
      <c r="BP16" s="8"/>
      <c r="BQ16" s="8"/>
      <c r="BR16" s="8"/>
      <c r="BS16" s="8"/>
      <c r="BT16" s="8"/>
    </row>
    <row r="17" spans="1:72" ht="151.5" customHeight="1" x14ac:dyDescent="0.3">
      <c r="A17" s="126"/>
      <c r="B17" s="126"/>
      <c r="C17" s="129"/>
      <c r="D17" s="129"/>
      <c r="E17" s="129"/>
      <c r="F17" s="129"/>
      <c r="G17" s="141"/>
      <c r="H17" s="152"/>
      <c r="I17" s="129"/>
      <c r="J17" s="142"/>
      <c r="K17" s="143"/>
      <c r="L17" s="139"/>
      <c r="M17" s="144"/>
      <c r="N17" s="139">
        <f t="shared" ref="N17" si="21">IF(NOT(ISERROR(MATCH(M17,_xlfn.ANCHORARRAY(G28),0))),L30&amp;"Por favor no seleccionar los criterios de impacto",M17)</f>
        <v>0</v>
      </c>
      <c r="O17" s="143"/>
      <c r="P17" s="139"/>
      <c r="Q17" s="140"/>
      <c r="R17" s="164"/>
      <c r="S17" s="164" t="str">
        <f t="shared" si="1"/>
        <v/>
      </c>
      <c r="T17" s="164"/>
      <c r="U17" s="164" t="str">
        <f t="shared" si="17"/>
        <v/>
      </c>
      <c r="V17" s="164" t="str">
        <f t="shared" si="3"/>
        <v/>
      </c>
      <c r="W17" s="164" t="str">
        <f t="shared" si="4"/>
        <v/>
      </c>
      <c r="X17" s="6"/>
      <c r="Y17" s="176"/>
      <c r="Z17" s="165" t="str">
        <f t="shared" si="0"/>
        <v/>
      </c>
      <c r="AA17" s="166"/>
      <c r="AB17" s="166"/>
      <c r="AC17" s="167" t="str">
        <f t="shared" si="18"/>
        <v/>
      </c>
      <c r="AD17" s="166"/>
      <c r="AE17" s="166"/>
      <c r="AF17" s="166"/>
      <c r="AG17" s="168" t="str">
        <f>IFERROR(IF(AND(#REF!="Probabilidad",Z17="Probabilidad"),(#REF!-(+#REF!*AC17)),IF(AND(#REF!="Impacto",Z17="Probabilidad"),(#REF!-(+#REF!*AC17)),IF(Z17="Impacto",#REF!,""))),"")</f>
        <v/>
      </c>
      <c r="AH17" s="169" t="str">
        <f t="shared" si="6"/>
        <v/>
      </c>
      <c r="AI17" s="170" t="str">
        <f t="shared" si="19"/>
        <v/>
      </c>
      <c r="AJ17" s="169" t="str">
        <f t="shared" si="8"/>
        <v/>
      </c>
      <c r="AK17" s="170" t="str">
        <f>IFERROR(IF(AND(#REF!="Impacto",Z17="Impacto"),(#REF!-(+#REF!*AC17)),IF(AND(#REF!="Probabilidad",Z17="Impacto"),(#REF!-(+#REF!*AC17)),IF(Z17="Probabilidad",#REF!,""))),"")</f>
        <v/>
      </c>
      <c r="AL17" s="171" t="str">
        <f t="shared" si="20"/>
        <v/>
      </c>
      <c r="AM17" s="172"/>
      <c r="AN17" s="163"/>
      <c r="AO17" s="178" t="str">
        <f t="shared" si="10"/>
        <v/>
      </c>
      <c r="AP17" s="163"/>
      <c r="AQ17" s="178" t="str">
        <f t="shared" si="11"/>
        <v/>
      </c>
      <c r="AR17" s="163" t="str">
        <f t="shared" si="12"/>
        <v/>
      </c>
      <c r="AS17" s="178" t="str">
        <f t="shared" si="13"/>
        <v/>
      </c>
      <c r="AT17" s="121"/>
      <c r="AU17" s="122"/>
      <c r="AV17" s="123"/>
      <c r="AW17" s="148"/>
      <c r="AX17" s="148"/>
      <c r="AY17" s="138"/>
      <c r="AZ17" s="175"/>
      <c r="BA17" s="175"/>
      <c r="BB17" s="175"/>
      <c r="BC17" s="175"/>
      <c r="BD17" s="175"/>
      <c r="BE17" s="8"/>
      <c r="BF17" s="8"/>
      <c r="BG17" s="8"/>
      <c r="BH17" s="8"/>
      <c r="BI17" s="8"/>
      <c r="BJ17" s="8"/>
      <c r="BK17" s="8"/>
      <c r="BL17" s="8"/>
      <c r="BM17" s="8"/>
      <c r="BN17" s="8"/>
      <c r="BO17" s="8"/>
      <c r="BP17" s="8"/>
      <c r="BQ17" s="8"/>
      <c r="BR17" s="8"/>
      <c r="BS17" s="8"/>
      <c r="BT17" s="8"/>
    </row>
    <row r="18" spans="1:72" ht="151.5" customHeight="1" x14ac:dyDescent="0.3">
      <c r="A18" s="278">
        <v>6</v>
      </c>
      <c r="B18" s="124"/>
      <c r="C18" s="281"/>
      <c r="D18" s="127"/>
      <c r="E18" s="281"/>
      <c r="F18" s="281"/>
      <c r="G18" s="284"/>
      <c r="H18" s="153"/>
      <c r="I18" s="281"/>
      <c r="J18" s="287"/>
      <c r="K18" s="290" t="str">
        <f>IF(J18&lt;=0,"",IF(J18&lt;=2,"Muy Baja",IF(J18&lt;=24,"Baja",IF(J18&lt;=500,"Media",IF(J18&lt;=5000,"Alta","Muy Alta")))))</f>
        <v/>
      </c>
      <c r="L18" s="272" t="str">
        <f>IF(K18="","",IF(K18="Muy Baja",0.2,IF(K18="Baja",0.4,IF(K18="Media",0.6,IF(K18="Alta",0.8,IF(K18="Muy Alta",1,))))))</f>
        <v/>
      </c>
      <c r="M18" s="293"/>
      <c r="N18" s="272">
        <f>IF(NOT(ISERROR(MATCH(M18,'Tabla Impacto'!$B$221:$B$223,0))),'Tabla Impacto'!$F$223&amp;"Por favor no seleccionar los criterios de impacto(Afectación Económica o presupuestal y Pérdida Reputacional)",M18)</f>
        <v>0</v>
      </c>
      <c r="O18" s="290" t="str">
        <f>IF(OR(N18='Tabla Impacto'!$C$11,N18='Tabla Impacto'!$D$11),"Leve",IF(OR(N18='Tabla Impacto'!$C$12,N18='Tabla Impacto'!$D$12),"Menor",IF(OR(N18='Tabla Impacto'!$C$13,N18='Tabla Impacto'!$D$13),"Moderado",IF(OR(N18='Tabla Impacto'!$C$14,N18='Tabla Impacto'!$D$14),"Mayor",IF(OR(N18='Tabla Impacto'!$C$15,N18='Tabla Impacto'!$D$15),"Catastrófico","")))))</f>
        <v/>
      </c>
      <c r="P18" s="272" t="str">
        <f>IF(O18="","",IF(O18="Leve",0.2,IF(O18="Menor",0.4,IF(O18="Moderado",0.6,IF(O18="Mayor",0.8,IF(O18="Catastrófico",1,))))))</f>
        <v/>
      </c>
      <c r="Q18" s="275" t="str">
        <f>IF(OR(AND(K18="Muy Baja",O18="Leve"),AND(K18="Muy Baja",O18="Menor"),AND(K18="Baja",O18="Leve")),"Bajo",IF(OR(AND(K18="Muy baja",O18="Moderado"),AND(K18="Baja",O18="Menor"),AND(K18="Baja",O18="Moderado"),AND(K18="Media",O18="Leve"),AND(K18="Media",O18="Menor"),AND(K18="Media",O18="Moderado"),AND(K18="Alta",O18="Leve"),AND(K18="Alta",O18="Menor")),"Moderado",IF(OR(AND(K18="Muy Baja",O18="Mayor"),AND(K18="Baja",O18="Mayor"),AND(K18="Media",O18="Mayor"),AND(K18="Alta",O18="Moderado"),AND(K18="Alta",O18="Mayor"),AND(K18="Muy Alta",O18="Leve"),AND(K18="Muy Alta",O18="Menor"),AND(K18="Muy Alta",O18="Moderado"),AND(K18="Muy Alta",O18="Mayor")),"Alto",IF(OR(AND(K18="Muy Baja",O18="Catastrófico"),AND(K18="Baja",O18="Catastrófico"),AND(K18="Media",O18="Catastrófico"),AND(K18="Alta",O18="Catastrófico"),AND(K18="Muy Alta",O18="Catastrófico")),"Extremo",""))))</f>
        <v/>
      </c>
      <c r="R18" s="164"/>
      <c r="S18" s="164" t="str">
        <f t="shared" si="1"/>
        <v/>
      </c>
      <c r="T18" s="164"/>
      <c r="U18" s="164" t="str">
        <f t="shared" si="17"/>
        <v/>
      </c>
      <c r="V18" s="164" t="str">
        <f t="shared" si="3"/>
        <v/>
      </c>
      <c r="W18" s="164" t="str">
        <f t="shared" si="4"/>
        <v/>
      </c>
      <c r="X18" s="6"/>
      <c r="Y18" s="176"/>
      <c r="Z18" s="165" t="str">
        <f>IF(OR(AA18="Preventivo",AA18="Detectivo"),"Probabilidad",IF(AA18="Correctivo","Impacto",""))</f>
        <v/>
      </c>
      <c r="AA18" s="166"/>
      <c r="AB18" s="166"/>
      <c r="AC18" s="167" t="str">
        <f>IF(AND(AA18="Preventivo",AB18="Automático"),"50%",IF(AND(AA18="Preventivo",AB18="Manual"),"40%",IF(AND(AA18="Detectivo",AB18="Automático"),"40%",IF(AND(AA18="Detectivo",AB18="Manual"),"30%",IF(AND(AA18="Correctivo",AB18="Automático"),"35%",IF(AND(AA18="Correctivo",AB18="Manual"),"25%",""))))))</f>
        <v/>
      </c>
      <c r="AD18" s="166"/>
      <c r="AE18" s="166"/>
      <c r="AF18" s="166"/>
      <c r="AG18" s="168" t="str">
        <f>IFERROR(IF(Z18="Probabilidad",(R18-(+R18*AC18)),IF(Z18="Impacto",R18,"")),"")</f>
        <v/>
      </c>
      <c r="AH18" s="169" t="str">
        <f>IFERROR(IF(AG18="","",IF(AG18&lt;=0.2,"Muy Baja",IF(AG18&lt;=0.4,"Baja",IF(AG18&lt;=0.6,"Media",IF(AG18&lt;=0.8,"Alta","Muy Alta"))))),"")</f>
        <v/>
      </c>
      <c r="AI18" s="170" t="str">
        <f>+AG18</f>
        <v/>
      </c>
      <c r="AJ18" s="169" t="str">
        <f>IFERROR(IF(AK18="","",IF(AK18&lt;=0.2,"Leve",IF(AK18&lt;=0.4,"Menor",IF(AK18&lt;=0.6,"Moderado",IF(AK18&lt;=0.8,"Mayor","Catastrófico"))))),"")</f>
        <v/>
      </c>
      <c r="AK18" s="170" t="str">
        <f>IFERROR(IF(Z18="Impacto",(V18-(+V18*AC18)),IF(Z18="Probabilidad",V18,"")),"")</f>
        <v/>
      </c>
      <c r="AL18" s="171" t="str">
        <f>IFERROR(IF(OR(AND(AH18="Muy Baja",AJ18="Leve"),AND(AH18="Muy Baja",AJ18="Menor"),AND(AH18="Baja",AJ18="Leve")),"Bajo",IF(OR(AND(AH18="Muy baja",AJ18="Moderado"),AND(AH18="Baja",AJ18="Menor"),AND(AH18="Baja",AJ18="Moderado"),AND(AH18="Media",AJ18="Leve"),AND(AH18="Media",AJ18="Menor"),AND(AH18="Media",AJ18="Moderado"),AND(AH18="Alta",AJ18="Leve"),AND(AH18="Alta",AJ18="Menor")),"Moderado",IF(OR(AND(AH18="Muy Baja",AJ18="Mayor"),AND(AH18="Baja",AJ18="Mayor"),AND(AH18="Media",AJ18="Mayor"),AND(AH18="Alta",AJ18="Moderado"),AND(AH18="Alta",AJ18="Mayor"),AND(AH18="Muy Alta",AJ18="Leve"),AND(AH18="Muy Alta",AJ18="Menor"),AND(AH18="Muy Alta",AJ18="Moderado"),AND(AH18="Muy Alta",AJ18="Mayor")),"Alto",IF(OR(AND(AH18="Muy Baja",AJ18="Catastrófico"),AND(AH18="Baja",AJ18="Catastrófico"),AND(AH18="Media",AJ18="Catastrófico"),AND(AH18="Alta",AJ18="Catastrófico"),AND(AH18="Muy Alta",AJ18="Catastrófico")),"Extremo","")))),"")</f>
        <v/>
      </c>
      <c r="AM18" s="172"/>
      <c r="AN18" s="163"/>
      <c r="AO18" s="178" t="str">
        <f t="shared" si="10"/>
        <v/>
      </c>
      <c r="AP18" s="163"/>
      <c r="AQ18" s="178" t="str">
        <f t="shared" si="11"/>
        <v/>
      </c>
      <c r="AR18" s="163" t="str">
        <f t="shared" si="12"/>
        <v/>
      </c>
      <c r="AS18" s="178" t="str">
        <f t="shared" si="13"/>
        <v/>
      </c>
      <c r="AT18" s="121"/>
      <c r="AU18" s="122"/>
      <c r="AV18" s="123"/>
      <c r="AW18" s="148"/>
      <c r="AX18" s="148"/>
      <c r="AY18" s="138"/>
      <c r="AZ18" s="175"/>
      <c r="BA18" s="175"/>
      <c r="BB18" s="175"/>
      <c r="BC18" s="175"/>
      <c r="BD18" s="175"/>
      <c r="BE18" s="8"/>
      <c r="BF18" s="8"/>
      <c r="BG18" s="8"/>
      <c r="BH18" s="8"/>
      <c r="BI18" s="8"/>
      <c r="BJ18" s="8"/>
      <c r="BK18" s="8"/>
      <c r="BL18" s="8"/>
      <c r="BM18" s="8"/>
      <c r="BN18" s="8"/>
      <c r="BO18" s="8"/>
      <c r="BP18" s="8"/>
      <c r="BQ18" s="8"/>
      <c r="BR18" s="8"/>
      <c r="BS18" s="8"/>
      <c r="BT18" s="8"/>
    </row>
    <row r="19" spans="1:72" ht="151.5" customHeight="1" x14ac:dyDescent="0.3">
      <c r="A19" s="279"/>
      <c r="B19" s="125"/>
      <c r="C19" s="282"/>
      <c r="D19" s="128"/>
      <c r="E19" s="282"/>
      <c r="F19" s="282"/>
      <c r="G19" s="285"/>
      <c r="H19" s="153"/>
      <c r="I19" s="282"/>
      <c r="J19" s="288"/>
      <c r="K19" s="291"/>
      <c r="L19" s="273"/>
      <c r="M19" s="294"/>
      <c r="N19" s="273">
        <f t="shared" ref="N19:N23" si="22">IF(NOT(ISERROR(MATCH(M19,_xlfn.ANCHORARRAY(G30),0))),L32&amp;"Por favor no seleccionar los criterios de impacto",M19)</f>
        <v>0</v>
      </c>
      <c r="O19" s="291"/>
      <c r="P19" s="273"/>
      <c r="Q19" s="276"/>
      <c r="R19" s="164"/>
      <c r="S19" s="164" t="str">
        <f t="shared" si="1"/>
        <v/>
      </c>
      <c r="T19" s="164"/>
      <c r="U19" s="164" t="str">
        <f t="shared" si="17"/>
        <v/>
      </c>
      <c r="V19" s="164" t="str">
        <f t="shared" si="3"/>
        <v/>
      </c>
      <c r="W19" s="164" t="str">
        <f t="shared" si="4"/>
        <v/>
      </c>
      <c r="X19" s="6"/>
      <c r="Y19" s="176"/>
      <c r="Z19" s="165" t="str">
        <f>IF(OR(AA19="Preventivo",AA19="Detectivo"),"Probabilidad",IF(AA19="Correctivo","Impacto",""))</f>
        <v/>
      </c>
      <c r="AA19" s="166"/>
      <c r="AB19" s="166"/>
      <c r="AC19" s="167" t="str">
        <f t="shared" ref="AC19:AC23" si="23">IF(AND(AA19="Preventivo",AB19="Automático"),"50%",IF(AND(AA19="Preventivo",AB19="Manual"),"40%",IF(AND(AA19="Detectivo",AB19="Automático"),"40%",IF(AND(AA19="Detectivo",AB19="Manual"),"30%",IF(AND(AA19="Correctivo",AB19="Automático"),"35%",IF(AND(AA19="Correctivo",AB19="Manual"),"25%",""))))))</f>
        <v/>
      </c>
      <c r="AD19" s="166"/>
      <c r="AE19" s="166"/>
      <c r="AF19" s="166"/>
      <c r="AG19" s="168" t="str">
        <f>IFERROR(IF(AND(Z18="Probabilidad",Z19="Probabilidad"),(AI18-(+AI18*AC19)),IF(Z19="Probabilidad",(R18-(+R18*AC19)),IF(Z19="Impacto",AI18,""))),"")</f>
        <v/>
      </c>
      <c r="AH19" s="169" t="str">
        <f t="shared" si="6"/>
        <v/>
      </c>
      <c r="AI19" s="170" t="str">
        <f t="shared" ref="AI19:AI23" si="24">+AG19</f>
        <v/>
      </c>
      <c r="AJ19" s="169" t="str">
        <f t="shared" si="8"/>
        <v/>
      </c>
      <c r="AK19" s="170" t="str">
        <f>IFERROR(IF(AND(Z18="Impacto",Z19="Impacto"),(AK18-(+AK18*AC19)),IF(Z19="Impacto",(V18-(+V18*AC19)),IF(Z19="Probabilidad",AK18,""))),"")</f>
        <v/>
      </c>
      <c r="AL19" s="171" t="str">
        <f t="shared" ref="AL19:AL20" si="25">IFERROR(IF(OR(AND(AH19="Muy Baja",AJ19="Leve"),AND(AH19="Muy Baja",AJ19="Menor"),AND(AH19="Baja",AJ19="Leve")),"Bajo",IF(OR(AND(AH19="Muy baja",AJ19="Moderado"),AND(AH19="Baja",AJ19="Menor"),AND(AH19="Baja",AJ19="Moderado"),AND(AH19="Media",AJ19="Leve"),AND(AH19="Media",AJ19="Menor"),AND(AH19="Media",AJ19="Moderado"),AND(AH19="Alta",AJ19="Leve"),AND(AH19="Alta",AJ19="Menor")),"Moderado",IF(OR(AND(AH19="Muy Baja",AJ19="Mayor"),AND(AH19="Baja",AJ19="Mayor"),AND(AH19="Media",AJ19="Mayor"),AND(AH19="Alta",AJ19="Moderado"),AND(AH19="Alta",AJ19="Mayor"),AND(AH19="Muy Alta",AJ19="Leve"),AND(AH19="Muy Alta",AJ19="Menor"),AND(AH19="Muy Alta",AJ19="Moderado"),AND(AH19="Muy Alta",AJ19="Mayor")),"Alto",IF(OR(AND(AH19="Muy Baja",AJ19="Catastrófico"),AND(AH19="Baja",AJ19="Catastrófico"),AND(AH19="Media",AJ19="Catastrófico"),AND(AH19="Alta",AJ19="Catastrófico"),AND(AH19="Muy Alta",AJ19="Catastrófico")),"Extremo","")))),"")</f>
        <v/>
      </c>
      <c r="AM19" s="172"/>
      <c r="AN19" s="163"/>
      <c r="AO19" s="178" t="str">
        <f t="shared" si="10"/>
        <v/>
      </c>
      <c r="AP19" s="163"/>
      <c r="AQ19" s="178" t="str">
        <f t="shared" si="11"/>
        <v/>
      </c>
      <c r="AR19" s="163" t="str">
        <f t="shared" si="12"/>
        <v/>
      </c>
      <c r="AS19" s="178" t="str">
        <f t="shared" si="13"/>
        <v/>
      </c>
      <c r="AT19" s="121"/>
      <c r="AU19" s="122"/>
      <c r="AV19" s="123"/>
      <c r="AW19" s="148"/>
      <c r="AX19" s="148"/>
      <c r="AY19" s="138"/>
      <c r="AZ19" s="175"/>
      <c r="BA19" s="175"/>
      <c r="BB19" s="175"/>
      <c r="BC19" s="175"/>
      <c r="BD19" s="175"/>
      <c r="BE19" s="8"/>
      <c r="BF19" s="8"/>
      <c r="BG19" s="8"/>
      <c r="BH19" s="8"/>
      <c r="BI19" s="8"/>
      <c r="BJ19" s="8"/>
      <c r="BK19" s="8"/>
      <c r="BL19" s="8"/>
      <c r="BM19" s="8"/>
      <c r="BN19" s="8"/>
      <c r="BO19" s="8"/>
      <c r="BP19" s="8"/>
      <c r="BQ19" s="8"/>
      <c r="BR19" s="8"/>
      <c r="BS19" s="8"/>
      <c r="BT19" s="8"/>
    </row>
    <row r="20" spans="1:72" ht="151.5" customHeight="1" x14ac:dyDescent="0.3">
      <c r="A20" s="279"/>
      <c r="B20" s="125"/>
      <c r="C20" s="282"/>
      <c r="D20" s="128"/>
      <c r="E20" s="282"/>
      <c r="F20" s="282"/>
      <c r="G20" s="285"/>
      <c r="H20" s="153"/>
      <c r="I20" s="282"/>
      <c r="J20" s="288"/>
      <c r="K20" s="291"/>
      <c r="L20" s="273"/>
      <c r="M20" s="294"/>
      <c r="N20" s="273">
        <f t="shared" si="22"/>
        <v>0</v>
      </c>
      <c r="O20" s="291"/>
      <c r="P20" s="273"/>
      <c r="Q20" s="276"/>
      <c r="R20" s="164"/>
      <c r="S20" s="164" t="str">
        <f t="shared" si="1"/>
        <v/>
      </c>
      <c r="T20" s="164"/>
      <c r="U20" s="164" t="str">
        <f t="shared" si="17"/>
        <v/>
      </c>
      <c r="V20" s="164" t="str">
        <f t="shared" si="3"/>
        <v/>
      </c>
      <c r="W20" s="164" t="str">
        <f t="shared" si="4"/>
        <v/>
      </c>
      <c r="X20" s="6"/>
      <c r="Y20" s="174"/>
      <c r="Z20" s="165" t="str">
        <f>IF(OR(AA20="Preventivo",AA20="Detectivo"),"Probabilidad",IF(AA20="Correctivo","Impacto",""))</f>
        <v/>
      </c>
      <c r="AA20" s="166"/>
      <c r="AB20" s="166"/>
      <c r="AC20" s="167" t="str">
        <f t="shared" si="23"/>
        <v/>
      </c>
      <c r="AD20" s="166"/>
      <c r="AE20" s="166"/>
      <c r="AF20" s="166"/>
      <c r="AG20" s="168" t="str">
        <f>IFERROR(IF(AND(Z19="Probabilidad",Z20="Probabilidad"),(AI19-(+AI19*AC20)),IF(AND(Z19="Impacto",Z20="Probabilidad"),(AI18-(+AI18*AC20)),IF(Z20="Impacto",AI19,""))),"")</f>
        <v/>
      </c>
      <c r="AH20" s="169" t="str">
        <f t="shared" si="6"/>
        <v/>
      </c>
      <c r="AI20" s="170" t="str">
        <f t="shared" si="24"/>
        <v/>
      </c>
      <c r="AJ20" s="169" t="str">
        <f t="shared" si="8"/>
        <v/>
      </c>
      <c r="AK20" s="170" t="str">
        <f>IFERROR(IF(AND(Z19="Impacto",Z20="Impacto"),(AK19-(+AK19*AC20)),IF(AND(Z19="Probabilidad",Z20="Impacto"),(AK18-(+AK18*AC20)),IF(Z20="Probabilidad",AK19,""))),"")</f>
        <v/>
      </c>
      <c r="AL20" s="171" t="str">
        <f t="shared" si="25"/>
        <v/>
      </c>
      <c r="AM20" s="172"/>
      <c r="AN20" s="163"/>
      <c r="AO20" s="178" t="str">
        <f t="shared" si="10"/>
        <v/>
      </c>
      <c r="AP20" s="163"/>
      <c r="AQ20" s="178" t="str">
        <f t="shared" si="11"/>
        <v/>
      </c>
      <c r="AR20" s="163" t="str">
        <f t="shared" si="12"/>
        <v/>
      </c>
      <c r="AS20" s="178" t="str">
        <f t="shared" si="13"/>
        <v/>
      </c>
      <c r="AT20" s="121"/>
      <c r="AU20" s="122"/>
      <c r="AV20" s="123"/>
      <c r="AW20" s="148"/>
      <c r="AX20" s="148"/>
      <c r="AY20" s="138"/>
      <c r="AZ20" s="175"/>
      <c r="BA20" s="175"/>
      <c r="BB20" s="175"/>
      <c r="BC20" s="175"/>
      <c r="BD20" s="175"/>
      <c r="BE20" s="8"/>
      <c r="BF20" s="8"/>
      <c r="BG20" s="8"/>
      <c r="BH20" s="8"/>
      <c r="BI20" s="8"/>
      <c r="BJ20" s="8"/>
      <c r="BK20" s="8"/>
      <c r="BL20" s="8"/>
      <c r="BM20" s="8"/>
      <c r="BN20" s="8"/>
      <c r="BO20" s="8"/>
      <c r="BP20" s="8"/>
      <c r="BQ20" s="8"/>
      <c r="BR20" s="8"/>
      <c r="BS20" s="8"/>
      <c r="BT20" s="8"/>
    </row>
    <row r="21" spans="1:72" ht="151.5" customHeight="1" x14ac:dyDescent="0.3">
      <c r="A21" s="279"/>
      <c r="B21" s="125"/>
      <c r="C21" s="282"/>
      <c r="D21" s="128"/>
      <c r="E21" s="282"/>
      <c r="F21" s="282"/>
      <c r="G21" s="285"/>
      <c r="H21" s="153"/>
      <c r="I21" s="282"/>
      <c r="J21" s="288"/>
      <c r="K21" s="291"/>
      <c r="L21" s="273"/>
      <c r="M21" s="294"/>
      <c r="N21" s="273">
        <f t="shared" si="22"/>
        <v>0</v>
      </c>
      <c r="O21" s="291"/>
      <c r="P21" s="273"/>
      <c r="Q21" s="276"/>
      <c r="R21" s="164"/>
      <c r="S21" s="164" t="str">
        <f t="shared" si="1"/>
        <v/>
      </c>
      <c r="T21" s="164"/>
      <c r="U21" s="164" t="str">
        <f t="shared" si="17"/>
        <v/>
      </c>
      <c r="V21" s="164" t="str">
        <f t="shared" si="3"/>
        <v/>
      </c>
      <c r="W21" s="164" t="str">
        <f t="shared" si="4"/>
        <v/>
      </c>
      <c r="X21" s="6"/>
      <c r="Y21" s="176"/>
      <c r="Z21" s="165" t="str">
        <f t="shared" ref="Z21:Z23" si="26">IF(OR(AA21="Preventivo",AA21="Detectivo"),"Probabilidad",IF(AA21="Correctivo","Impacto",""))</f>
        <v/>
      </c>
      <c r="AA21" s="166"/>
      <c r="AB21" s="166"/>
      <c r="AC21" s="167" t="str">
        <f t="shared" si="23"/>
        <v/>
      </c>
      <c r="AD21" s="166"/>
      <c r="AE21" s="166"/>
      <c r="AF21" s="166"/>
      <c r="AG21" s="168" t="str">
        <f t="shared" ref="AG21:AG23" si="27">IFERROR(IF(AND(Z20="Probabilidad",Z21="Probabilidad"),(AI20-(+AI20*AC21)),IF(AND(Z20="Impacto",Z21="Probabilidad"),(AI19-(+AI19*AC21)),IF(Z21="Impacto",AI20,""))),"")</f>
        <v/>
      </c>
      <c r="AH21" s="169" t="str">
        <f t="shared" si="6"/>
        <v/>
      </c>
      <c r="AI21" s="170" t="str">
        <f t="shared" si="24"/>
        <v/>
      </c>
      <c r="AJ21" s="169" t="str">
        <f t="shared" si="8"/>
        <v/>
      </c>
      <c r="AK21" s="170" t="str">
        <f t="shared" ref="AK21:AK23" si="28">IFERROR(IF(AND(Z20="Impacto",Z21="Impacto"),(AK20-(+AK20*AC21)),IF(AND(Z20="Probabilidad",Z21="Impacto"),(AK19-(+AK19*AC21)),IF(Z21="Probabilidad",AK20,""))),"")</f>
        <v/>
      </c>
      <c r="AL21" s="171" t="str">
        <f>IFERROR(IF(OR(AND(AH21="Muy Baja",AJ21="Leve"),AND(AH21="Muy Baja",AJ21="Menor"),AND(AH21="Baja",AJ21="Leve")),"Bajo",IF(OR(AND(AH21="Muy baja",AJ21="Moderado"),AND(AH21="Baja",AJ21="Menor"),AND(AH21="Baja",AJ21="Moderado"),AND(AH21="Media",AJ21="Leve"),AND(AH21="Media",AJ21="Menor"),AND(AH21="Media",AJ21="Moderado"),AND(AH21="Alta",AJ21="Leve"),AND(AH21="Alta",AJ21="Menor")),"Moderado",IF(OR(AND(AH21="Muy Baja",AJ21="Mayor"),AND(AH21="Baja",AJ21="Mayor"),AND(AH21="Media",AJ21="Mayor"),AND(AH21="Alta",AJ21="Moderado"),AND(AH21="Alta",AJ21="Mayor"),AND(AH21="Muy Alta",AJ21="Leve"),AND(AH21="Muy Alta",AJ21="Menor"),AND(AH21="Muy Alta",AJ21="Moderado"),AND(AH21="Muy Alta",AJ21="Mayor")),"Alto",IF(OR(AND(AH21="Muy Baja",AJ21="Catastrófico"),AND(AH21="Baja",AJ21="Catastrófico"),AND(AH21="Media",AJ21="Catastrófico"),AND(AH21="Alta",AJ21="Catastrófico"),AND(AH21="Muy Alta",AJ21="Catastrófico")),"Extremo","")))),"")</f>
        <v/>
      </c>
      <c r="AM21" s="172"/>
      <c r="AN21" s="163"/>
      <c r="AO21" s="178" t="str">
        <f t="shared" si="10"/>
        <v/>
      </c>
      <c r="AP21" s="163"/>
      <c r="AQ21" s="178" t="str">
        <f t="shared" si="11"/>
        <v/>
      </c>
      <c r="AR21" s="163" t="str">
        <f t="shared" si="12"/>
        <v/>
      </c>
      <c r="AS21" s="178" t="str">
        <f t="shared" si="13"/>
        <v/>
      </c>
      <c r="AT21" s="121"/>
      <c r="AU21" s="122"/>
      <c r="AV21" s="123"/>
      <c r="AW21" s="148"/>
      <c r="AX21" s="148"/>
      <c r="AY21" s="138"/>
      <c r="AZ21" s="175"/>
      <c r="BA21" s="175"/>
      <c r="BB21" s="175"/>
      <c r="BC21" s="175"/>
      <c r="BD21" s="175"/>
      <c r="BE21" s="8"/>
      <c r="BF21" s="8"/>
      <c r="BG21" s="8"/>
      <c r="BH21" s="8"/>
      <c r="BI21" s="8"/>
      <c r="BJ21" s="8"/>
      <c r="BK21" s="8"/>
      <c r="BL21" s="8"/>
      <c r="BM21" s="8"/>
      <c r="BN21" s="8"/>
      <c r="BO21" s="8"/>
      <c r="BP21" s="8"/>
      <c r="BQ21" s="8"/>
      <c r="BR21" s="8"/>
      <c r="BS21" s="8"/>
      <c r="BT21" s="8"/>
    </row>
    <row r="22" spans="1:72" ht="151.5" customHeight="1" x14ac:dyDescent="0.3">
      <c r="A22" s="279"/>
      <c r="B22" s="125"/>
      <c r="C22" s="282"/>
      <c r="D22" s="128"/>
      <c r="E22" s="282"/>
      <c r="F22" s="282"/>
      <c r="G22" s="285"/>
      <c r="H22" s="141"/>
      <c r="I22" s="282"/>
      <c r="J22" s="288"/>
      <c r="K22" s="291"/>
      <c r="L22" s="273"/>
      <c r="M22" s="294"/>
      <c r="N22" s="273">
        <f t="shared" si="22"/>
        <v>0</v>
      </c>
      <c r="O22" s="291"/>
      <c r="P22" s="273"/>
      <c r="Q22" s="276"/>
      <c r="R22" s="164"/>
      <c r="S22" s="164" t="str">
        <f t="shared" si="1"/>
        <v/>
      </c>
      <c r="T22" s="164"/>
      <c r="U22" s="164" t="str">
        <f t="shared" si="17"/>
        <v/>
      </c>
      <c r="V22" s="164" t="str">
        <f t="shared" si="3"/>
        <v/>
      </c>
      <c r="W22" s="164" t="str">
        <f t="shared" si="4"/>
        <v/>
      </c>
      <c r="X22" s="6">
        <v>5</v>
      </c>
      <c r="Y22" s="176"/>
      <c r="Z22" s="165" t="str">
        <f t="shared" si="26"/>
        <v/>
      </c>
      <c r="AA22" s="166"/>
      <c r="AB22" s="166"/>
      <c r="AC22" s="167" t="str">
        <f t="shared" si="23"/>
        <v/>
      </c>
      <c r="AD22" s="166"/>
      <c r="AE22" s="166"/>
      <c r="AF22" s="166"/>
      <c r="AG22" s="168" t="str">
        <f t="shared" si="27"/>
        <v/>
      </c>
      <c r="AH22" s="169" t="str">
        <f t="shared" si="6"/>
        <v/>
      </c>
      <c r="AI22" s="170" t="str">
        <f t="shared" si="24"/>
        <v/>
      </c>
      <c r="AJ22" s="169" t="str">
        <f t="shared" si="8"/>
        <v/>
      </c>
      <c r="AK22" s="170" t="str">
        <f t="shared" si="28"/>
        <v/>
      </c>
      <c r="AL22" s="171" t="str">
        <f t="shared" ref="AL22" si="29">IFERROR(IF(OR(AND(AH22="Muy Baja",AJ22="Leve"),AND(AH22="Muy Baja",AJ22="Menor"),AND(AH22="Baja",AJ22="Leve")),"Bajo",IF(OR(AND(AH22="Muy baja",AJ22="Moderado"),AND(AH22="Baja",AJ22="Menor"),AND(AH22="Baja",AJ22="Moderado"),AND(AH22="Media",AJ22="Leve"),AND(AH22="Media",AJ22="Menor"),AND(AH22="Media",AJ22="Moderado"),AND(AH22="Alta",AJ22="Leve"),AND(AH22="Alta",AJ22="Menor")),"Moderado",IF(OR(AND(AH22="Muy Baja",AJ22="Mayor"),AND(AH22="Baja",AJ22="Mayor"),AND(AH22="Media",AJ22="Mayor"),AND(AH22="Alta",AJ22="Moderado"),AND(AH22="Alta",AJ22="Mayor"),AND(AH22="Muy Alta",AJ22="Leve"),AND(AH22="Muy Alta",AJ22="Menor"),AND(AH22="Muy Alta",AJ22="Moderado"),AND(AH22="Muy Alta",AJ22="Mayor")),"Alto",IF(OR(AND(AH22="Muy Baja",AJ22="Catastrófico"),AND(AH22="Baja",AJ22="Catastrófico"),AND(AH22="Media",AJ22="Catastrófico"),AND(AH22="Alta",AJ22="Catastrófico"),AND(AH22="Muy Alta",AJ22="Catastrófico")),"Extremo","")))),"")</f>
        <v/>
      </c>
      <c r="AM22" s="172"/>
      <c r="AN22" s="163"/>
      <c r="AO22" s="178" t="str">
        <f t="shared" si="10"/>
        <v/>
      </c>
      <c r="AP22" s="163"/>
      <c r="AQ22" s="178" t="str">
        <f t="shared" si="11"/>
        <v/>
      </c>
      <c r="AR22" s="163" t="str">
        <f t="shared" si="12"/>
        <v/>
      </c>
      <c r="AS22" s="178" t="str">
        <f t="shared" si="13"/>
        <v/>
      </c>
      <c r="AT22" s="121"/>
      <c r="AU22" s="122"/>
      <c r="AV22" s="123"/>
      <c r="AW22" s="148"/>
      <c r="AX22" s="148"/>
      <c r="AY22" s="138"/>
      <c r="AZ22" s="175"/>
      <c r="BA22" s="175"/>
      <c r="BB22" s="175"/>
      <c r="BC22" s="175"/>
      <c r="BD22" s="175"/>
      <c r="BE22" s="8"/>
      <c r="BF22" s="8"/>
      <c r="BG22" s="8"/>
      <c r="BH22" s="8"/>
      <c r="BI22" s="8"/>
      <c r="BJ22" s="8"/>
      <c r="BK22" s="8"/>
      <c r="BL22" s="8"/>
      <c r="BM22" s="8"/>
      <c r="BN22" s="8"/>
      <c r="BO22" s="8"/>
      <c r="BP22" s="8"/>
      <c r="BQ22" s="8"/>
      <c r="BR22" s="8"/>
      <c r="BS22" s="8"/>
      <c r="BT22" s="8"/>
    </row>
    <row r="23" spans="1:72" ht="151.5" customHeight="1" x14ac:dyDescent="0.3">
      <c r="A23" s="280"/>
      <c r="B23" s="126"/>
      <c r="C23" s="283"/>
      <c r="D23" s="129"/>
      <c r="E23" s="283"/>
      <c r="F23" s="283"/>
      <c r="G23" s="286"/>
      <c r="H23" s="152"/>
      <c r="I23" s="283"/>
      <c r="J23" s="289"/>
      <c r="K23" s="292"/>
      <c r="L23" s="274"/>
      <c r="M23" s="295"/>
      <c r="N23" s="274">
        <f t="shared" si="22"/>
        <v>0</v>
      </c>
      <c r="O23" s="292"/>
      <c r="P23" s="274"/>
      <c r="Q23" s="277"/>
      <c r="R23" s="164"/>
      <c r="S23" s="164" t="str">
        <f t="shared" si="1"/>
        <v/>
      </c>
      <c r="T23" s="164"/>
      <c r="U23" s="164" t="str">
        <f t="shared" si="17"/>
        <v/>
      </c>
      <c r="V23" s="164" t="str">
        <f t="shared" si="3"/>
        <v/>
      </c>
      <c r="W23" s="164" t="str">
        <f t="shared" si="4"/>
        <v/>
      </c>
      <c r="X23" s="6">
        <v>6</v>
      </c>
      <c r="Y23" s="176"/>
      <c r="Z23" s="165" t="str">
        <f t="shared" si="26"/>
        <v/>
      </c>
      <c r="AA23" s="166"/>
      <c r="AB23" s="166"/>
      <c r="AC23" s="167" t="str">
        <f t="shared" si="23"/>
        <v/>
      </c>
      <c r="AD23" s="166"/>
      <c r="AE23" s="166"/>
      <c r="AF23" s="166"/>
      <c r="AG23" s="168" t="str">
        <f t="shared" si="27"/>
        <v/>
      </c>
      <c r="AH23" s="169" t="str">
        <f t="shared" si="6"/>
        <v/>
      </c>
      <c r="AI23" s="170" t="str">
        <f t="shared" si="24"/>
        <v/>
      </c>
      <c r="AJ23" s="169" t="str">
        <f>IFERROR(IF(AK23="","",IF(AK23&lt;=0.2,"Leve",IF(AK23&lt;=0.4,"Menor",IF(AK23&lt;=0.6,"Moderado",IF(AK23&lt;=0.8,"Mayor","Catastrófico"))))),"")</f>
        <v/>
      </c>
      <c r="AK23" s="170" t="str">
        <f t="shared" si="28"/>
        <v/>
      </c>
      <c r="AL23" s="171" t="str">
        <f>IFERROR(IF(OR(AND(AH23="Muy Baja",AJ23="Leve"),AND(AH23="Muy Baja",AJ23="Menor"),AND(AH23="Baja",AJ23="Leve")),"Bajo",IF(OR(AND(AH23="Muy baja",AJ23="Moderado"),AND(AH23="Baja",AJ23="Menor"),AND(AH23="Baja",AJ23="Moderado"),AND(AH23="Media",AJ23="Leve"),AND(AH23="Media",AJ23="Menor"),AND(AH23="Media",AJ23="Moderado"),AND(AH23="Alta",AJ23="Leve"),AND(AH23="Alta",AJ23="Menor")),"Moderado",IF(OR(AND(AH23="Muy Baja",AJ23="Mayor"),AND(AH23="Baja",AJ23="Mayor"),AND(AH23="Media",AJ23="Mayor"),AND(AH23="Alta",AJ23="Moderado"),AND(AH23="Alta",AJ23="Mayor"),AND(AH23="Muy Alta",AJ23="Leve"),AND(AH23="Muy Alta",AJ23="Menor"),AND(AH23="Muy Alta",AJ23="Moderado"),AND(AH23="Muy Alta",AJ23="Mayor")),"Alto",IF(OR(AND(AH23="Muy Baja",AJ23="Catastrófico"),AND(AH23="Baja",AJ23="Catastrófico"),AND(AH23="Media",AJ23="Catastrófico"),AND(AH23="Alta",AJ23="Catastrófico"),AND(AH23="Muy Alta",AJ23="Catastrófico")),"Extremo","")))),"")</f>
        <v/>
      </c>
      <c r="AM23" s="172"/>
      <c r="AN23" s="163"/>
      <c r="AO23" s="178" t="str">
        <f t="shared" si="10"/>
        <v/>
      </c>
      <c r="AP23" s="163"/>
      <c r="AQ23" s="178" t="str">
        <f t="shared" si="11"/>
        <v/>
      </c>
      <c r="AR23" s="163" t="str">
        <f t="shared" si="12"/>
        <v/>
      </c>
      <c r="AS23" s="178" t="str">
        <f t="shared" si="13"/>
        <v/>
      </c>
      <c r="AT23" s="121"/>
      <c r="AU23" s="122"/>
      <c r="AV23" s="123"/>
      <c r="AW23" s="148"/>
      <c r="AX23" s="148"/>
      <c r="AY23" s="138"/>
      <c r="AZ23" s="175"/>
      <c r="BA23" s="175"/>
      <c r="BB23" s="175"/>
      <c r="BC23" s="175"/>
      <c r="BD23" s="175"/>
      <c r="BE23" s="8"/>
      <c r="BF23" s="8"/>
      <c r="BG23" s="8"/>
      <c r="BH23" s="8"/>
      <c r="BI23" s="8"/>
      <c r="BJ23" s="8"/>
      <c r="BK23" s="8"/>
      <c r="BL23" s="8"/>
      <c r="BM23" s="8"/>
      <c r="BN23" s="8"/>
      <c r="BO23" s="8"/>
      <c r="BP23" s="8"/>
      <c r="BQ23" s="8"/>
      <c r="BR23" s="8"/>
      <c r="BS23" s="8"/>
      <c r="BT23" s="8"/>
    </row>
    <row r="24" spans="1:72" ht="151.5" customHeight="1" x14ac:dyDescent="0.3">
      <c r="A24" s="278">
        <v>7</v>
      </c>
      <c r="B24" s="124"/>
      <c r="C24" s="281"/>
      <c r="D24" s="127"/>
      <c r="E24" s="281"/>
      <c r="F24" s="281"/>
      <c r="G24" s="284"/>
      <c r="H24" s="153"/>
      <c r="I24" s="281"/>
      <c r="J24" s="287"/>
      <c r="K24" s="290" t="str">
        <f>IF(J24&lt;=0,"",IF(J24&lt;=2,"Muy Baja",IF(J24&lt;=24,"Baja",IF(J24&lt;=500,"Media",IF(J24&lt;=5000,"Alta","Muy Alta")))))</f>
        <v/>
      </c>
      <c r="L24" s="272" t="str">
        <f>IF(K24="","",IF(K24="Muy Baja",0.2,IF(K24="Baja",0.4,IF(K24="Media",0.6,IF(K24="Alta",0.8,IF(K24="Muy Alta",1,))))))</f>
        <v/>
      </c>
      <c r="M24" s="293"/>
      <c r="N24" s="272">
        <f>IF(NOT(ISERROR(MATCH(M24,'Tabla Impacto'!$B$221:$B$223,0))),'Tabla Impacto'!$F$223&amp;"Por favor no seleccionar los criterios de impacto(Afectación Económica o presupuestal y Pérdida Reputacional)",M24)</f>
        <v>0</v>
      </c>
      <c r="O24" s="290" t="str">
        <f>IF(OR(N24='Tabla Impacto'!$C$11,N24='Tabla Impacto'!$D$11),"Leve",IF(OR(N24='Tabla Impacto'!$C$12,N24='Tabla Impacto'!$D$12),"Menor",IF(OR(N24='Tabla Impacto'!$C$13,N24='Tabla Impacto'!$D$13),"Moderado",IF(OR(N24='Tabla Impacto'!$C$14,N24='Tabla Impacto'!$D$14),"Mayor",IF(OR(N24='Tabla Impacto'!$C$15,N24='Tabla Impacto'!$D$15),"Catastrófico","")))))</f>
        <v/>
      </c>
      <c r="P24" s="272" t="str">
        <f>IF(O24="","",IF(O24="Leve",0.2,IF(O24="Menor",0.4,IF(O24="Moderado",0.6,IF(O24="Mayor",0.8,IF(O24="Catastrófico",1,))))))</f>
        <v/>
      </c>
      <c r="Q24" s="275" t="str">
        <f>IF(OR(AND(K24="Muy Baja",O24="Leve"),AND(K24="Muy Baja",O24="Menor"),AND(K24="Baja",O24="Leve")),"Bajo",IF(OR(AND(K24="Muy baja",O24="Moderado"),AND(K24="Baja",O24="Menor"),AND(K24="Baja",O24="Moderado"),AND(K24="Media",O24="Leve"),AND(K24="Media",O24="Menor"),AND(K24="Media",O24="Moderado"),AND(K24="Alta",O24="Leve"),AND(K24="Alta",O24="Menor")),"Moderado",IF(OR(AND(K24="Muy Baja",O24="Mayor"),AND(K24="Baja",O24="Mayor"),AND(K24="Media",O24="Mayor"),AND(K24="Alta",O24="Moderado"),AND(K24="Alta",O24="Mayor"),AND(K24="Muy Alta",O24="Leve"),AND(K24="Muy Alta",O24="Menor"),AND(K24="Muy Alta",O24="Moderado"),AND(K24="Muy Alta",O24="Mayor")),"Alto",IF(OR(AND(K24="Muy Baja",O24="Catastrófico"),AND(K24="Baja",O24="Catastrófico"),AND(K24="Media",O24="Catastrófico"),AND(K24="Alta",O24="Catastrófico"),AND(K24="Muy Alta",O24="Catastrófico")),"Extremo",""))))</f>
        <v/>
      </c>
      <c r="R24" s="164"/>
      <c r="S24" s="164" t="str">
        <f t="shared" si="1"/>
        <v/>
      </c>
      <c r="T24" s="164"/>
      <c r="U24" s="164" t="str">
        <f t="shared" si="17"/>
        <v/>
      </c>
      <c r="V24" s="164" t="str">
        <f t="shared" si="3"/>
        <v/>
      </c>
      <c r="W24" s="164" t="str">
        <f t="shared" si="4"/>
        <v/>
      </c>
      <c r="X24" s="6">
        <v>1</v>
      </c>
      <c r="Y24" s="176"/>
      <c r="Z24" s="165" t="str">
        <f>IF(OR(AA24="Preventivo",AA24="Detectivo"),"Probabilidad",IF(AA24="Correctivo","Impacto",""))</f>
        <v/>
      </c>
      <c r="AA24" s="166"/>
      <c r="AB24" s="166"/>
      <c r="AC24" s="167" t="str">
        <f>IF(AND(AA24="Preventivo",AB24="Automático"),"50%",IF(AND(AA24="Preventivo",AB24="Manual"),"40%",IF(AND(AA24="Detectivo",AB24="Automático"),"40%",IF(AND(AA24="Detectivo",AB24="Manual"),"30%",IF(AND(AA24="Correctivo",AB24="Automático"),"35%",IF(AND(AA24="Correctivo",AB24="Manual"),"25%",""))))))</f>
        <v/>
      </c>
      <c r="AD24" s="166"/>
      <c r="AE24" s="166"/>
      <c r="AF24" s="166"/>
      <c r="AG24" s="168" t="str">
        <f>IFERROR(IF(Z24="Probabilidad",(R24-(+R24*AC24)),IF(Z24="Impacto",R24,"")),"")</f>
        <v/>
      </c>
      <c r="AH24" s="169" t="str">
        <f>IFERROR(IF(AG24="","",IF(AG24&lt;=0.2,"Muy Baja",IF(AG24&lt;=0.4,"Baja",IF(AG24&lt;=0.6,"Media",IF(AG24&lt;=0.8,"Alta","Muy Alta"))))),"")</f>
        <v/>
      </c>
      <c r="AI24" s="170" t="str">
        <f>+AG24</f>
        <v/>
      </c>
      <c r="AJ24" s="169" t="str">
        <f>IFERROR(IF(AK24="","",IF(AK24&lt;=0.2,"Leve",IF(AK24&lt;=0.4,"Menor",IF(AK24&lt;=0.6,"Moderado",IF(AK24&lt;=0.8,"Mayor","Catastrófico"))))),"")</f>
        <v/>
      </c>
      <c r="AK24" s="170" t="str">
        <f>IFERROR(IF(Z24="Impacto",(V24-(+V24*AC24)),IF(Z24="Probabilidad",V24,"")),"")</f>
        <v/>
      </c>
      <c r="AL24" s="171" t="str">
        <f>IFERROR(IF(OR(AND(AH24="Muy Baja",AJ24="Leve"),AND(AH24="Muy Baja",AJ24="Menor"),AND(AH24="Baja",AJ24="Leve")),"Bajo",IF(OR(AND(AH24="Muy baja",AJ24="Moderado"),AND(AH24="Baja",AJ24="Menor"),AND(AH24="Baja",AJ24="Moderado"),AND(AH24="Media",AJ24="Leve"),AND(AH24="Media",AJ24="Menor"),AND(AH24="Media",AJ24="Moderado"),AND(AH24="Alta",AJ24="Leve"),AND(AH24="Alta",AJ24="Menor")),"Moderado",IF(OR(AND(AH24="Muy Baja",AJ24="Mayor"),AND(AH24="Baja",AJ24="Mayor"),AND(AH24="Media",AJ24="Mayor"),AND(AH24="Alta",AJ24="Moderado"),AND(AH24="Alta",AJ24="Mayor"),AND(AH24="Muy Alta",AJ24="Leve"),AND(AH24="Muy Alta",AJ24="Menor"),AND(AH24="Muy Alta",AJ24="Moderado"),AND(AH24="Muy Alta",AJ24="Mayor")),"Alto",IF(OR(AND(AH24="Muy Baja",AJ24="Catastrófico"),AND(AH24="Baja",AJ24="Catastrófico"),AND(AH24="Media",AJ24="Catastrófico"),AND(AH24="Alta",AJ24="Catastrófico"),AND(AH24="Muy Alta",AJ24="Catastrófico")),"Extremo","")))),"")</f>
        <v/>
      </c>
      <c r="AM24" s="172"/>
      <c r="AN24" s="163"/>
      <c r="AO24" s="178" t="str">
        <f t="shared" si="10"/>
        <v/>
      </c>
      <c r="AP24" s="163"/>
      <c r="AQ24" s="178" t="str">
        <f t="shared" si="11"/>
        <v/>
      </c>
      <c r="AR24" s="163" t="str">
        <f t="shared" si="12"/>
        <v/>
      </c>
      <c r="AS24" s="178" t="str">
        <f t="shared" si="13"/>
        <v/>
      </c>
      <c r="AT24" s="121"/>
      <c r="AU24" s="122"/>
      <c r="AV24" s="123"/>
      <c r="AW24" s="148"/>
      <c r="AX24" s="148"/>
      <c r="AY24" s="138"/>
      <c r="AZ24" s="175"/>
      <c r="BA24" s="175"/>
      <c r="BB24" s="175"/>
      <c r="BC24" s="175"/>
      <c r="BD24" s="175"/>
      <c r="BE24" s="8"/>
      <c r="BF24" s="8"/>
      <c r="BG24" s="8"/>
      <c r="BH24" s="8"/>
      <c r="BI24" s="8"/>
      <c r="BJ24" s="8"/>
      <c r="BK24" s="8"/>
      <c r="BL24" s="8"/>
      <c r="BM24" s="8"/>
      <c r="BN24" s="8"/>
      <c r="BO24" s="8"/>
      <c r="BP24" s="8"/>
      <c r="BQ24" s="8"/>
      <c r="BR24" s="8"/>
      <c r="BS24" s="8"/>
      <c r="BT24" s="8"/>
    </row>
    <row r="25" spans="1:72" ht="151.5" customHeight="1" x14ac:dyDescent="0.3">
      <c r="A25" s="279"/>
      <c r="B25" s="125"/>
      <c r="C25" s="282"/>
      <c r="D25" s="128"/>
      <c r="E25" s="282"/>
      <c r="F25" s="282"/>
      <c r="G25" s="285"/>
      <c r="H25" s="153"/>
      <c r="I25" s="282"/>
      <c r="J25" s="288"/>
      <c r="K25" s="291"/>
      <c r="L25" s="273"/>
      <c r="M25" s="294"/>
      <c r="N25" s="273">
        <f t="shared" ref="N25:N29" si="30">IF(NOT(ISERROR(MATCH(M25,_xlfn.ANCHORARRAY(G36),0))),L38&amp;"Por favor no seleccionar los criterios de impacto",M25)</f>
        <v>0</v>
      </c>
      <c r="O25" s="291"/>
      <c r="P25" s="273"/>
      <c r="Q25" s="276"/>
      <c r="R25" s="164"/>
      <c r="S25" s="164" t="str">
        <f t="shared" si="1"/>
        <v/>
      </c>
      <c r="T25" s="164"/>
      <c r="U25" s="164" t="str">
        <f t="shared" si="17"/>
        <v/>
      </c>
      <c r="V25" s="164" t="str">
        <f t="shared" si="3"/>
        <v/>
      </c>
      <c r="W25" s="164" t="str">
        <f t="shared" si="4"/>
        <v/>
      </c>
      <c r="X25" s="6">
        <v>2</v>
      </c>
      <c r="Y25" s="176"/>
      <c r="Z25" s="165" t="str">
        <f>IF(OR(AA25="Preventivo",AA25="Detectivo"),"Probabilidad",IF(AA25="Correctivo","Impacto",""))</f>
        <v/>
      </c>
      <c r="AA25" s="166"/>
      <c r="AB25" s="166"/>
      <c r="AC25" s="167" t="str">
        <f t="shared" ref="AC25:AC29" si="31">IF(AND(AA25="Preventivo",AB25="Automático"),"50%",IF(AND(AA25="Preventivo",AB25="Manual"),"40%",IF(AND(AA25="Detectivo",AB25="Automático"),"40%",IF(AND(AA25="Detectivo",AB25="Manual"),"30%",IF(AND(AA25="Correctivo",AB25="Automático"),"35%",IF(AND(AA25="Correctivo",AB25="Manual"),"25%",""))))))</f>
        <v/>
      </c>
      <c r="AD25" s="166"/>
      <c r="AE25" s="166"/>
      <c r="AF25" s="166"/>
      <c r="AG25" s="168" t="str">
        <f>IFERROR(IF(AND(Z24="Probabilidad",Z25="Probabilidad"),(AI24-(+AI24*AC25)),IF(Z25="Probabilidad",(R24-(+R24*AC25)),IF(Z25="Impacto",AI24,""))),"")</f>
        <v/>
      </c>
      <c r="AH25" s="169" t="str">
        <f t="shared" si="6"/>
        <v/>
      </c>
      <c r="AI25" s="170" t="str">
        <f t="shared" ref="AI25:AI29" si="32">+AG25</f>
        <v/>
      </c>
      <c r="AJ25" s="169" t="str">
        <f t="shared" si="8"/>
        <v/>
      </c>
      <c r="AK25" s="170" t="str">
        <f>IFERROR(IF(AND(Z24="Impacto",Z25="Impacto"),(AK24-(+AK24*AC25)),IF(Z25="Impacto",(V24-(+V24*AC25)),IF(Z25="Probabilidad",AK24,""))),"")</f>
        <v/>
      </c>
      <c r="AL25" s="171" t="str">
        <f t="shared" ref="AL25:AL26" si="33">IFERROR(IF(OR(AND(AH25="Muy Baja",AJ25="Leve"),AND(AH25="Muy Baja",AJ25="Menor"),AND(AH25="Baja",AJ25="Leve")),"Bajo",IF(OR(AND(AH25="Muy baja",AJ25="Moderado"),AND(AH25="Baja",AJ25="Menor"),AND(AH25="Baja",AJ25="Moderado"),AND(AH25="Media",AJ25="Leve"),AND(AH25="Media",AJ25="Menor"),AND(AH25="Media",AJ25="Moderado"),AND(AH25="Alta",AJ25="Leve"),AND(AH25="Alta",AJ25="Menor")),"Moderado",IF(OR(AND(AH25="Muy Baja",AJ25="Mayor"),AND(AH25="Baja",AJ25="Mayor"),AND(AH25="Media",AJ25="Mayor"),AND(AH25="Alta",AJ25="Moderado"),AND(AH25="Alta",AJ25="Mayor"),AND(AH25="Muy Alta",AJ25="Leve"),AND(AH25="Muy Alta",AJ25="Menor"),AND(AH25="Muy Alta",AJ25="Moderado"),AND(AH25="Muy Alta",AJ25="Mayor")),"Alto",IF(OR(AND(AH25="Muy Baja",AJ25="Catastrófico"),AND(AH25="Baja",AJ25="Catastrófico"),AND(AH25="Media",AJ25="Catastrófico"),AND(AH25="Alta",AJ25="Catastrófico"),AND(AH25="Muy Alta",AJ25="Catastrófico")),"Extremo","")))),"")</f>
        <v/>
      </c>
      <c r="AM25" s="172"/>
      <c r="AN25" s="163"/>
      <c r="AO25" s="178" t="str">
        <f t="shared" si="10"/>
        <v/>
      </c>
      <c r="AP25" s="163"/>
      <c r="AQ25" s="178" t="str">
        <f t="shared" si="11"/>
        <v/>
      </c>
      <c r="AR25" s="163" t="str">
        <f t="shared" si="12"/>
        <v/>
      </c>
      <c r="AS25" s="178" t="str">
        <f t="shared" si="13"/>
        <v/>
      </c>
      <c r="AT25" s="121"/>
      <c r="AU25" s="122"/>
      <c r="AV25" s="123"/>
      <c r="AW25" s="148"/>
      <c r="AX25" s="148"/>
      <c r="AY25" s="138"/>
      <c r="AZ25" s="175"/>
      <c r="BA25" s="175"/>
      <c r="BB25" s="175"/>
      <c r="BC25" s="175"/>
      <c r="BD25" s="175"/>
      <c r="BE25" s="8"/>
      <c r="BF25" s="8"/>
      <c r="BG25" s="8"/>
      <c r="BH25" s="8"/>
      <c r="BI25" s="8"/>
      <c r="BJ25" s="8"/>
      <c r="BK25" s="8"/>
      <c r="BL25" s="8"/>
      <c r="BM25" s="8"/>
      <c r="BN25" s="8"/>
      <c r="BO25" s="8"/>
      <c r="BP25" s="8"/>
      <c r="BQ25" s="8"/>
      <c r="BR25" s="8"/>
      <c r="BS25" s="8"/>
      <c r="BT25" s="8"/>
    </row>
    <row r="26" spans="1:72" ht="151.5" customHeight="1" x14ac:dyDescent="0.3">
      <c r="A26" s="279"/>
      <c r="B26" s="125"/>
      <c r="C26" s="282"/>
      <c r="D26" s="128"/>
      <c r="E26" s="282"/>
      <c r="F26" s="282"/>
      <c r="G26" s="285"/>
      <c r="H26" s="153"/>
      <c r="I26" s="282"/>
      <c r="J26" s="288"/>
      <c r="K26" s="291"/>
      <c r="L26" s="273"/>
      <c r="M26" s="294"/>
      <c r="N26" s="273">
        <f t="shared" si="30"/>
        <v>0</v>
      </c>
      <c r="O26" s="291"/>
      <c r="P26" s="273"/>
      <c r="Q26" s="276"/>
      <c r="R26" s="164"/>
      <c r="S26" s="164" t="str">
        <f t="shared" si="1"/>
        <v/>
      </c>
      <c r="T26" s="164"/>
      <c r="U26" s="164" t="str">
        <f t="shared" si="17"/>
        <v/>
      </c>
      <c r="V26" s="164" t="str">
        <f t="shared" si="3"/>
        <v/>
      </c>
      <c r="W26" s="164" t="str">
        <f t="shared" si="4"/>
        <v/>
      </c>
      <c r="X26" s="6">
        <v>3</v>
      </c>
      <c r="Y26" s="174"/>
      <c r="Z26" s="165" t="str">
        <f>IF(OR(AA26="Preventivo",AA26="Detectivo"),"Probabilidad",IF(AA26="Correctivo","Impacto",""))</f>
        <v/>
      </c>
      <c r="AA26" s="166"/>
      <c r="AB26" s="166"/>
      <c r="AC26" s="167" t="str">
        <f t="shared" si="31"/>
        <v/>
      </c>
      <c r="AD26" s="166"/>
      <c r="AE26" s="166"/>
      <c r="AF26" s="166"/>
      <c r="AG26" s="168" t="str">
        <f>IFERROR(IF(AND(Z25="Probabilidad",Z26="Probabilidad"),(AI25-(+AI25*AC26)),IF(AND(Z25="Impacto",Z26="Probabilidad"),(AI24-(+AI24*AC26)),IF(Z26="Impacto",AI25,""))),"")</f>
        <v/>
      </c>
      <c r="AH26" s="169" t="str">
        <f t="shared" si="6"/>
        <v/>
      </c>
      <c r="AI26" s="170" t="str">
        <f t="shared" si="32"/>
        <v/>
      </c>
      <c r="AJ26" s="169" t="str">
        <f t="shared" si="8"/>
        <v/>
      </c>
      <c r="AK26" s="170" t="str">
        <f>IFERROR(IF(AND(Z25="Impacto",Z26="Impacto"),(AK25-(+AK25*AC26)),IF(AND(Z25="Probabilidad",Z26="Impacto"),(AK24-(+AK24*AC26)),IF(Z26="Probabilidad",AK25,""))),"")</f>
        <v/>
      </c>
      <c r="AL26" s="171" t="str">
        <f t="shared" si="33"/>
        <v/>
      </c>
      <c r="AM26" s="172"/>
      <c r="AN26" s="163"/>
      <c r="AO26" s="178" t="str">
        <f t="shared" si="10"/>
        <v/>
      </c>
      <c r="AP26" s="163"/>
      <c r="AQ26" s="178" t="str">
        <f t="shared" si="11"/>
        <v/>
      </c>
      <c r="AR26" s="163" t="str">
        <f t="shared" si="12"/>
        <v/>
      </c>
      <c r="AS26" s="178" t="str">
        <f t="shared" si="13"/>
        <v/>
      </c>
      <c r="AT26" s="121"/>
      <c r="AU26" s="122"/>
      <c r="AV26" s="123"/>
      <c r="AW26" s="148"/>
      <c r="AX26" s="148"/>
      <c r="AY26" s="138"/>
      <c r="AZ26" s="175"/>
      <c r="BA26" s="175"/>
      <c r="BB26" s="175"/>
      <c r="BC26" s="175"/>
      <c r="BD26" s="175"/>
      <c r="BE26" s="8"/>
      <c r="BF26" s="8"/>
      <c r="BG26" s="8"/>
      <c r="BH26" s="8"/>
      <c r="BI26" s="8"/>
      <c r="BJ26" s="8"/>
      <c r="BK26" s="8"/>
      <c r="BL26" s="8"/>
      <c r="BM26" s="8"/>
      <c r="BN26" s="8"/>
      <c r="BO26" s="8"/>
      <c r="BP26" s="8"/>
      <c r="BQ26" s="8"/>
      <c r="BR26" s="8"/>
      <c r="BS26" s="8"/>
      <c r="BT26" s="8"/>
    </row>
    <row r="27" spans="1:72" ht="151.5" customHeight="1" x14ac:dyDescent="0.3">
      <c r="A27" s="279"/>
      <c r="B27" s="125"/>
      <c r="C27" s="282"/>
      <c r="D27" s="128"/>
      <c r="E27" s="282"/>
      <c r="F27" s="282"/>
      <c r="G27" s="285"/>
      <c r="H27" s="153"/>
      <c r="I27" s="282"/>
      <c r="J27" s="288"/>
      <c r="K27" s="291"/>
      <c r="L27" s="273"/>
      <c r="M27" s="294"/>
      <c r="N27" s="273">
        <f t="shared" si="30"/>
        <v>0</v>
      </c>
      <c r="O27" s="291"/>
      <c r="P27" s="273"/>
      <c r="Q27" s="276"/>
      <c r="R27" s="164"/>
      <c r="S27" s="164" t="str">
        <f t="shared" si="1"/>
        <v/>
      </c>
      <c r="T27" s="164"/>
      <c r="U27" s="164" t="str">
        <f t="shared" si="17"/>
        <v/>
      </c>
      <c r="V27" s="164" t="str">
        <f t="shared" si="3"/>
        <v/>
      </c>
      <c r="W27" s="164" t="str">
        <f t="shared" si="4"/>
        <v/>
      </c>
      <c r="X27" s="6">
        <v>4</v>
      </c>
      <c r="Y27" s="176"/>
      <c r="Z27" s="165" t="str">
        <f t="shared" ref="Z27:Z29" si="34">IF(OR(AA27="Preventivo",AA27="Detectivo"),"Probabilidad",IF(AA27="Correctivo","Impacto",""))</f>
        <v/>
      </c>
      <c r="AA27" s="166"/>
      <c r="AB27" s="166"/>
      <c r="AC27" s="167" t="str">
        <f t="shared" si="31"/>
        <v/>
      </c>
      <c r="AD27" s="166"/>
      <c r="AE27" s="166"/>
      <c r="AF27" s="166"/>
      <c r="AG27" s="168" t="str">
        <f t="shared" ref="AG27:AG29" si="35">IFERROR(IF(AND(Z26="Probabilidad",Z27="Probabilidad"),(AI26-(+AI26*AC27)),IF(AND(Z26="Impacto",Z27="Probabilidad"),(AI25-(+AI25*AC27)),IF(Z27="Impacto",AI26,""))),"")</f>
        <v/>
      </c>
      <c r="AH27" s="169" t="str">
        <f t="shared" si="6"/>
        <v/>
      </c>
      <c r="AI27" s="170" t="str">
        <f t="shared" si="32"/>
        <v/>
      </c>
      <c r="AJ27" s="169" t="str">
        <f t="shared" si="8"/>
        <v/>
      </c>
      <c r="AK27" s="170" t="str">
        <f t="shared" ref="AK27:AK29" si="36">IFERROR(IF(AND(Z26="Impacto",Z27="Impacto"),(AK26-(+AK26*AC27)),IF(AND(Z26="Probabilidad",Z27="Impacto"),(AK25-(+AK25*AC27)),IF(Z27="Probabilidad",AK26,""))),"")</f>
        <v/>
      </c>
      <c r="AL27" s="171" t="str">
        <f>IFERROR(IF(OR(AND(AH27="Muy Baja",AJ27="Leve"),AND(AH27="Muy Baja",AJ27="Menor"),AND(AH27="Baja",AJ27="Leve")),"Bajo",IF(OR(AND(AH27="Muy baja",AJ27="Moderado"),AND(AH27="Baja",AJ27="Menor"),AND(AH27="Baja",AJ27="Moderado"),AND(AH27="Media",AJ27="Leve"),AND(AH27="Media",AJ27="Menor"),AND(AH27="Media",AJ27="Moderado"),AND(AH27="Alta",AJ27="Leve"),AND(AH27="Alta",AJ27="Menor")),"Moderado",IF(OR(AND(AH27="Muy Baja",AJ27="Mayor"),AND(AH27="Baja",AJ27="Mayor"),AND(AH27="Media",AJ27="Mayor"),AND(AH27="Alta",AJ27="Moderado"),AND(AH27="Alta",AJ27="Mayor"),AND(AH27="Muy Alta",AJ27="Leve"),AND(AH27="Muy Alta",AJ27="Menor"),AND(AH27="Muy Alta",AJ27="Moderado"),AND(AH27="Muy Alta",AJ27="Mayor")),"Alto",IF(OR(AND(AH27="Muy Baja",AJ27="Catastrófico"),AND(AH27="Baja",AJ27="Catastrófico"),AND(AH27="Media",AJ27="Catastrófico"),AND(AH27="Alta",AJ27="Catastrófico"),AND(AH27="Muy Alta",AJ27="Catastrófico")),"Extremo","")))),"")</f>
        <v/>
      </c>
      <c r="AM27" s="172"/>
      <c r="AN27" s="163"/>
      <c r="AO27" s="178" t="str">
        <f t="shared" si="10"/>
        <v/>
      </c>
      <c r="AP27" s="163"/>
      <c r="AQ27" s="178" t="str">
        <f t="shared" si="11"/>
        <v/>
      </c>
      <c r="AR27" s="163" t="str">
        <f t="shared" si="12"/>
        <v/>
      </c>
      <c r="AS27" s="178" t="str">
        <f t="shared" si="13"/>
        <v/>
      </c>
      <c r="AT27" s="121"/>
      <c r="AU27" s="122"/>
      <c r="AV27" s="123"/>
      <c r="AW27" s="148"/>
      <c r="AX27" s="148"/>
      <c r="AY27" s="138"/>
      <c r="AZ27" s="175"/>
      <c r="BA27" s="175"/>
      <c r="BB27" s="175"/>
      <c r="BC27" s="175"/>
      <c r="BD27" s="175"/>
      <c r="BE27" s="8"/>
      <c r="BF27" s="8"/>
      <c r="BG27" s="8"/>
      <c r="BH27" s="8"/>
      <c r="BI27" s="8"/>
      <c r="BJ27" s="8"/>
      <c r="BK27" s="8"/>
      <c r="BL27" s="8"/>
      <c r="BM27" s="8"/>
      <c r="BN27" s="8"/>
      <c r="BO27" s="8"/>
      <c r="BP27" s="8"/>
      <c r="BQ27" s="8"/>
      <c r="BR27" s="8"/>
      <c r="BS27" s="8"/>
      <c r="BT27" s="8"/>
    </row>
    <row r="28" spans="1:72" ht="151.5" customHeight="1" x14ac:dyDescent="0.3">
      <c r="A28" s="279"/>
      <c r="B28" s="125"/>
      <c r="C28" s="282"/>
      <c r="D28" s="128"/>
      <c r="E28" s="282"/>
      <c r="F28" s="282"/>
      <c r="G28" s="285"/>
      <c r="H28" s="141"/>
      <c r="I28" s="282"/>
      <c r="J28" s="288"/>
      <c r="K28" s="291"/>
      <c r="L28" s="273"/>
      <c r="M28" s="294"/>
      <c r="N28" s="273">
        <f t="shared" si="30"/>
        <v>0</v>
      </c>
      <c r="O28" s="291"/>
      <c r="P28" s="273"/>
      <c r="Q28" s="276"/>
      <c r="R28" s="164"/>
      <c r="S28" s="164" t="str">
        <f t="shared" si="1"/>
        <v/>
      </c>
      <c r="T28" s="164"/>
      <c r="U28" s="164" t="str">
        <f t="shared" si="17"/>
        <v/>
      </c>
      <c r="V28" s="164" t="str">
        <f t="shared" si="3"/>
        <v/>
      </c>
      <c r="W28" s="164" t="str">
        <f t="shared" si="4"/>
        <v/>
      </c>
      <c r="X28" s="6">
        <v>5</v>
      </c>
      <c r="Y28" s="176"/>
      <c r="Z28" s="165" t="str">
        <f t="shared" si="34"/>
        <v/>
      </c>
      <c r="AA28" s="166"/>
      <c r="AB28" s="166"/>
      <c r="AC28" s="167" t="str">
        <f t="shared" si="31"/>
        <v/>
      </c>
      <c r="AD28" s="166"/>
      <c r="AE28" s="166"/>
      <c r="AF28" s="166"/>
      <c r="AG28" s="168" t="str">
        <f t="shared" si="35"/>
        <v/>
      </c>
      <c r="AH28" s="169" t="str">
        <f t="shared" si="6"/>
        <v/>
      </c>
      <c r="AI28" s="170" t="str">
        <f t="shared" si="32"/>
        <v/>
      </c>
      <c r="AJ28" s="169" t="str">
        <f t="shared" si="8"/>
        <v/>
      </c>
      <c r="AK28" s="170" t="str">
        <f t="shared" si="36"/>
        <v/>
      </c>
      <c r="AL28" s="171" t="str">
        <f t="shared" ref="AL28:AL29" si="37">IFERROR(IF(OR(AND(AH28="Muy Baja",AJ28="Leve"),AND(AH28="Muy Baja",AJ28="Menor"),AND(AH28="Baja",AJ28="Leve")),"Bajo",IF(OR(AND(AH28="Muy baja",AJ28="Moderado"),AND(AH28="Baja",AJ28="Menor"),AND(AH28="Baja",AJ28="Moderado"),AND(AH28="Media",AJ28="Leve"),AND(AH28="Media",AJ28="Menor"),AND(AH28="Media",AJ28="Moderado"),AND(AH28="Alta",AJ28="Leve"),AND(AH28="Alta",AJ28="Menor")),"Moderado",IF(OR(AND(AH28="Muy Baja",AJ28="Mayor"),AND(AH28="Baja",AJ28="Mayor"),AND(AH28="Media",AJ28="Mayor"),AND(AH28="Alta",AJ28="Moderado"),AND(AH28="Alta",AJ28="Mayor"),AND(AH28="Muy Alta",AJ28="Leve"),AND(AH28="Muy Alta",AJ28="Menor"),AND(AH28="Muy Alta",AJ28="Moderado"),AND(AH28="Muy Alta",AJ28="Mayor")),"Alto",IF(OR(AND(AH28="Muy Baja",AJ28="Catastrófico"),AND(AH28="Baja",AJ28="Catastrófico"),AND(AH28="Media",AJ28="Catastrófico"),AND(AH28="Alta",AJ28="Catastrófico"),AND(AH28="Muy Alta",AJ28="Catastrófico")),"Extremo","")))),"")</f>
        <v/>
      </c>
      <c r="AM28" s="172"/>
      <c r="AN28" s="163"/>
      <c r="AO28" s="178" t="str">
        <f t="shared" si="10"/>
        <v/>
      </c>
      <c r="AP28" s="163"/>
      <c r="AQ28" s="178" t="str">
        <f t="shared" si="11"/>
        <v/>
      </c>
      <c r="AR28" s="163" t="str">
        <f t="shared" si="12"/>
        <v/>
      </c>
      <c r="AS28" s="178" t="str">
        <f t="shared" si="13"/>
        <v/>
      </c>
      <c r="AT28" s="121"/>
      <c r="AU28" s="122"/>
      <c r="AV28" s="123"/>
      <c r="AW28" s="123"/>
      <c r="AX28" s="148"/>
      <c r="AY28" s="122"/>
      <c r="AZ28" s="175"/>
      <c r="BA28" s="175"/>
      <c r="BB28" s="175"/>
      <c r="BC28" s="175"/>
      <c r="BD28" s="175"/>
      <c r="BE28" s="8"/>
      <c r="BF28" s="8"/>
      <c r="BG28" s="8"/>
      <c r="BH28" s="8"/>
      <c r="BI28" s="8"/>
      <c r="BJ28" s="8"/>
      <c r="BK28" s="8"/>
      <c r="BL28" s="8"/>
      <c r="BM28" s="8"/>
      <c r="BN28" s="8"/>
      <c r="BO28" s="8"/>
      <c r="BP28" s="8"/>
      <c r="BQ28" s="8"/>
      <c r="BR28" s="8"/>
      <c r="BS28" s="8"/>
      <c r="BT28" s="8"/>
    </row>
    <row r="29" spans="1:72" ht="151.5" customHeight="1" x14ac:dyDescent="0.3">
      <c r="A29" s="280"/>
      <c r="B29" s="126"/>
      <c r="C29" s="283"/>
      <c r="D29" s="129"/>
      <c r="E29" s="283"/>
      <c r="F29" s="283"/>
      <c r="G29" s="286"/>
      <c r="H29" s="152"/>
      <c r="I29" s="283"/>
      <c r="J29" s="289"/>
      <c r="K29" s="292"/>
      <c r="L29" s="274"/>
      <c r="M29" s="295"/>
      <c r="N29" s="274">
        <f t="shared" si="30"/>
        <v>0</v>
      </c>
      <c r="O29" s="292"/>
      <c r="P29" s="274"/>
      <c r="Q29" s="277"/>
      <c r="R29" s="164"/>
      <c r="S29" s="164" t="str">
        <f t="shared" si="1"/>
        <v/>
      </c>
      <c r="T29" s="164"/>
      <c r="U29" s="164" t="str">
        <f t="shared" si="17"/>
        <v/>
      </c>
      <c r="V29" s="164" t="str">
        <f t="shared" si="3"/>
        <v/>
      </c>
      <c r="W29" s="164" t="str">
        <f t="shared" si="4"/>
        <v/>
      </c>
      <c r="X29" s="6">
        <v>6</v>
      </c>
      <c r="Y29" s="176"/>
      <c r="Z29" s="165" t="str">
        <f t="shared" si="34"/>
        <v/>
      </c>
      <c r="AA29" s="166"/>
      <c r="AB29" s="166"/>
      <c r="AC29" s="167" t="str">
        <f t="shared" si="31"/>
        <v/>
      </c>
      <c r="AD29" s="166"/>
      <c r="AE29" s="166"/>
      <c r="AF29" s="166"/>
      <c r="AG29" s="168" t="str">
        <f t="shared" si="35"/>
        <v/>
      </c>
      <c r="AH29" s="169" t="str">
        <f t="shared" si="6"/>
        <v/>
      </c>
      <c r="AI29" s="170" t="str">
        <f t="shared" si="32"/>
        <v/>
      </c>
      <c r="AJ29" s="169" t="str">
        <f t="shared" si="8"/>
        <v/>
      </c>
      <c r="AK29" s="170" t="str">
        <f t="shared" si="36"/>
        <v/>
      </c>
      <c r="AL29" s="171" t="str">
        <f t="shared" si="37"/>
        <v/>
      </c>
      <c r="AM29" s="172"/>
      <c r="AN29" s="163"/>
      <c r="AO29" s="178" t="str">
        <f t="shared" si="10"/>
        <v/>
      </c>
      <c r="AP29" s="163"/>
      <c r="AQ29" s="178" t="str">
        <f t="shared" si="11"/>
        <v/>
      </c>
      <c r="AR29" s="163" t="str">
        <f t="shared" si="12"/>
        <v/>
      </c>
      <c r="AS29" s="178" t="str">
        <f t="shared" si="13"/>
        <v/>
      </c>
      <c r="AT29" s="121"/>
      <c r="AU29" s="122"/>
      <c r="AV29" s="123"/>
      <c r="AW29" s="123"/>
      <c r="AX29" s="148"/>
      <c r="AY29" s="122"/>
      <c r="AZ29" s="175"/>
      <c r="BA29" s="175"/>
      <c r="BB29" s="175"/>
      <c r="BC29" s="175"/>
      <c r="BD29" s="175"/>
      <c r="BE29" s="8"/>
      <c r="BF29" s="8"/>
      <c r="BG29" s="8"/>
      <c r="BH29" s="8"/>
      <c r="BI29" s="8"/>
      <c r="BJ29" s="8"/>
      <c r="BK29" s="8"/>
      <c r="BL29" s="8"/>
      <c r="BM29" s="8"/>
      <c r="BN29" s="8"/>
      <c r="BO29" s="8"/>
      <c r="BP29" s="8"/>
      <c r="BQ29" s="8"/>
      <c r="BR29" s="8"/>
      <c r="BS29" s="8"/>
      <c r="BT29" s="8"/>
    </row>
    <row r="30" spans="1:72" ht="151.5" customHeight="1" x14ac:dyDescent="0.3">
      <c r="A30" s="278">
        <v>8</v>
      </c>
      <c r="B30" s="124"/>
      <c r="C30" s="281"/>
      <c r="D30" s="127"/>
      <c r="E30" s="281"/>
      <c r="F30" s="281"/>
      <c r="G30" s="284"/>
      <c r="H30" s="153"/>
      <c r="I30" s="281"/>
      <c r="J30" s="287"/>
      <c r="K30" s="290" t="str">
        <f>IF(J30&lt;=0,"",IF(J30&lt;=2,"Muy Baja",IF(J30&lt;=24,"Baja",IF(J30&lt;=500,"Media",IF(J30&lt;=5000,"Alta","Muy Alta")))))</f>
        <v/>
      </c>
      <c r="L30" s="272" t="str">
        <f>IF(K30="","",IF(K30="Muy Baja",0.2,IF(K30="Baja",0.4,IF(K30="Media",0.6,IF(K30="Alta",0.8,IF(K30="Muy Alta",1,))))))</f>
        <v/>
      </c>
      <c r="M30" s="293"/>
      <c r="N30" s="272">
        <f>IF(NOT(ISERROR(MATCH(M30,'Tabla Impacto'!$B$221:$B$223,0))),'Tabla Impacto'!$F$223&amp;"Por favor no seleccionar los criterios de impacto(Afectación Económica o presupuestal y Pérdida Reputacional)",M30)</f>
        <v>0</v>
      </c>
      <c r="O30" s="290" t="str">
        <f>IF(OR(N30='Tabla Impacto'!$C$11,N30='Tabla Impacto'!$D$11),"Leve",IF(OR(N30='Tabla Impacto'!$C$12,N30='Tabla Impacto'!$D$12),"Menor",IF(OR(N30='Tabla Impacto'!$C$13,N30='Tabla Impacto'!$D$13),"Moderado",IF(OR(N30='Tabla Impacto'!$C$14,N30='Tabla Impacto'!$D$14),"Mayor",IF(OR(N30='Tabla Impacto'!$C$15,N30='Tabla Impacto'!$D$15),"Catastrófico","")))))</f>
        <v/>
      </c>
      <c r="P30" s="272" t="str">
        <f>IF(O30="","",IF(O30="Leve",0.2,IF(O30="Menor",0.4,IF(O30="Moderado",0.6,IF(O30="Mayor",0.8,IF(O30="Catastrófico",1,))))))</f>
        <v/>
      </c>
      <c r="Q30" s="275" t="str">
        <f>IF(OR(AND(K30="Muy Baja",O30="Leve"),AND(K30="Muy Baja",O30="Menor"),AND(K30="Baja",O30="Leve")),"Bajo",IF(OR(AND(K30="Muy baja",O30="Moderado"),AND(K30="Baja",O30="Menor"),AND(K30="Baja",O30="Moderado"),AND(K30="Media",O30="Leve"),AND(K30="Media",O30="Menor"),AND(K30="Media",O30="Moderado"),AND(K30="Alta",O30="Leve"),AND(K30="Alta",O30="Menor")),"Moderado",IF(OR(AND(K30="Muy Baja",O30="Mayor"),AND(K30="Baja",O30="Mayor"),AND(K30="Media",O30="Mayor"),AND(K30="Alta",O30="Moderado"),AND(K30="Alta",O30="Mayor"),AND(K30="Muy Alta",O30="Leve"),AND(K30="Muy Alta",O30="Menor"),AND(K30="Muy Alta",O30="Moderado"),AND(K30="Muy Alta",O30="Mayor")),"Alto",IF(OR(AND(K30="Muy Baja",O30="Catastrófico"),AND(K30="Baja",O30="Catastrófico"),AND(K30="Media",O30="Catastrófico"),AND(K30="Alta",O30="Catastrófico"),AND(K30="Muy Alta",O30="Catastrófico")),"Extremo",""))))</f>
        <v/>
      </c>
      <c r="R30" s="164"/>
      <c r="S30" s="164" t="str">
        <f t="shared" si="1"/>
        <v/>
      </c>
      <c r="T30" s="164"/>
      <c r="U30" s="164" t="str">
        <f t="shared" si="17"/>
        <v/>
      </c>
      <c r="V30" s="164" t="str">
        <f t="shared" si="3"/>
        <v/>
      </c>
      <c r="W30" s="164" t="str">
        <f t="shared" si="4"/>
        <v/>
      </c>
      <c r="X30" s="6">
        <v>1</v>
      </c>
      <c r="Y30" s="176"/>
      <c r="Z30" s="165" t="str">
        <f>IF(OR(AA30="Preventivo",AA30="Detectivo"),"Probabilidad",IF(AA30="Correctivo","Impacto",""))</f>
        <v/>
      </c>
      <c r="AA30" s="166"/>
      <c r="AB30" s="166"/>
      <c r="AC30" s="167" t="str">
        <f>IF(AND(AA30="Preventivo",AB30="Automático"),"50%",IF(AND(AA30="Preventivo",AB30="Manual"),"40%",IF(AND(AA30="Detectivo",AB30="Automático"),"40%",IF(AND(AA30="Detectivo",AB30="Manual"),"30%",IF(AND(AA30="Correctivo",AB30="Automático"),"35%",IF(AND(AA30="Correctivo",AB30="Manual"),"25%",""))))))</f>
        <v/>
      </c>
      <c r="AD30" s="166"/>
      <c r="AE30" s="166"/>
      <c r="AF30" s="166"/>
      <c r="AG30" s="168" t="str">
        <f>IFERROR(IF(Z30="Probabilidad",(R30-(+R30*AC30)),IF(Z30="Impacto",R30,"")),"")</f>
        <v/>
      </c>
      <c r="AH30" s="169" t="str">
        <f>IFERROR(IF(AG30="","",IF(AG30&lt;=0.2,"Muy Baja",IF(AG30&lt;=0.4,"Baja",IF(AG30&lt;=0.6,"Media",IF(AG30&lt;=0.8,"Alta","Muy Alta"))))),"")</f>
        <v/>
      </c>
      <c r="AI30" s="170" t="str">
        <f>+AG30</f>
        <v/>
      </c>
      <c r="AJ30" s="169" t="str">
        <f>IFERROR(IF(AK30="","",IF(AK30&lt;=0.2,"Leve",IF(AK30&lt;=0.4,"Menor",IF(AK30&lt;=0.6,"Moderado",IF(AK30&lt;=0.8,"Mayor","Catastrófico"))))),"")</f>
        <v/>
      </c>
      <c r="AK30" s="170" t="str">
        <f>IFERROR(IF(Z30="Impacto",(V30-(+V30*AC30)),IF(Z30="Probabilidad",V30,"")),"")</f>
        <v/>
      </c>
      <c r="AL30" s="171" t="str">
        <f>IFERROR(IF(OR(AND(AH30="Muy Baja",AJ30="Leve"),AND(AH30="Muy Baja",AJ30="Menor"),AND(AH30="Baja",AJ30="Leve")),"Bajo",IF(OR(AND(AH30="Muy baja",AJ30="Moderado"),AND(AH30="Baja",AJ30="Menor"),AND(AH30="Baja",AJ30="Moderado"),AND(AH30="Media",AJ30="Leve"),AND(AH30="Media",AJ30="Menor"),AND(AH30="Media",AJ30="Moderado"),AND(AH30="Alta",AJ30="Leve"),AND(AH30="Alta",AJ30="Menor")),"Moderado",IF(OR(AND(AH30="Muy Baja",AJ30="Mayor"),AND(AH30="Baja",AJ30="Mayor"),AND(AH30="Media",AJ30="Mayor"),AND(AH30="Alta",AJ30="Moderado"),AND(AH30="Alta",AJ30="Mayor"),AND(AH30="Muy Alta",AJ30="Leve"),AND(AH30="Muy Alta",AJ30="Menor"),AND(AH30="Muy Alta",AJ30="Moderado"),AND(AH30="Muy Alta",AJ30="Mayor")),"Alto",IF(OR(AND(AH30="Muy Baja",AJ30="Catastrófico"),AND(AH30="Baja",AJ30="Catastrófico"),AND(AH30="Media",AJ30="Catastrófico"),AND(AH30="Alta",AJ30="Catastrófico"),AND(AH30="Muy Alta",AJ30="Catastrófico")),"Extremo","")))),"")</f>
        <v/>
      </c>
      <c r="AM30" s="172"/>
      <c r="AN30" s="163"/>
      <c r="AO30" s="178" t="str">
        <f t="shared" si="10"/>
        <v/>
      </c>
      <c r="AP30" s="163"/>
      <c r="AQ30" s="178" t="str">
        <f t="shared" si="11"/>
        <v/>
      </c>
      <c r="AR30" s="163" t="str">
        <f t="shared" si="12"/>
        <v/>
      </c>
      <c r="AS30" s="178" t="str">
        <f t="shared" si="13"/>
        <v/>
      </c>
      <c r="AT30" s="121"/>
      <c r="AU30" s="122"/>
      <c r="AV30" s="123"/>
      <c r="AW30" s="123"/>
      <c r="AX30" s="148"/>
      <c r="AY30" s="122"/>
      <c r="AZ30" s="175"/>
      <c r="BA30" s="175"/>
      <c r="BB30" s="175"/>
      <c r="BC30" s="175"/>
      <c r="BD30" s="175"/>
      <c r="BE30" s="8"/>
      <c r="BF30" s="8"/>
      <c r="BG30" s="8"/>
      <c r="BH30" s="8"/>
      <c r="BI30" s="8"/>
      <c r="BJ30" s="8"/>
      <c r="BK30" s="8"/>
      <c r="BL30" s="8"/>
      <c r="BM30" s="8"/>
      <c r="BN30" s="8"/>
      <c r="BO30" s="8"/>
      <c r="BP30" s="8"/>
      <c r="BQ30" s="8"/>
      <c r="BR30" s="8"/>
      <c r="BS30" s="8"/>
      <c r="BT30" s="8"/>
    </row>
    <row r="31" spans="1:72" ht="151.5" customHeight="1" x14ac:dyDescent="0.3">
      <c r="A31" s="279"/>
      <c r="B31" s="125"/>
      <c r="C31" s="282"/>
      <c r="D31" s="128"/>
      <c r="E31" s="282"/>
      <c r="F31" s="282"/>
      <c r="G31" s="285"/>
      <c r="H31" s="153"/>
      <c r="I31" s="282"/>
      <c r="J31" s="288"/>
      <c r="K31" s="291"/>
      <c r="L31" s="273"/>
      <c r="M31" s="294"/>
      <c r="N31" s="273">
        <f>IF(NOT(ISERROR(MATCH(M31,_xlfn.ANCHORARRAY(G42),0))),L44&amp;"Por favor no seleccionar los criterios de impacto",M31)</f>
        <v>0</v>
      </c>
      <c r="O31" s="291"/>
      <c r="P31" s="273"/>
      <c r="Q31" s="276"/>
      <c r="R31" s="164"/>
      <c r="S31" s="164" t="str">
        <f t="shared" si="1"/>
        <v/>
      </c>
      <c r="T31" s="164"/>
      <c r="U31" s="164" t="str">
        <f t="shared" si="17"/>
        <v/>
      </c>
      <c r="V31" s="164" t="str">
        <f t="shared" si="3"/>
        <v/>
      </c>
      <c r="W31" s="164" t="str">
        <f t="shared" si="4"/>
        <v/>
      </c>
      <c r="X31" s="6">
        <v>2</v>
      </c>
      <c r="Y31" s="176"/>
      <c r="Z31" s="165" t="str">
        <f>IF(OR(AA31="Preventivo",AA31="Detectivo"),"Probabilidad",IF(AA31="Correctivo","Impacto",""))</f>
        <v/>
      </c>
      <c r="AA31" s="166"/>
      <c r="AB31" s="166"/>
      <c r="AC31" s="167" t="str">
        <f t="shared" ref="AC31:AC35" si="38">IF(AND(AA31="Preventivo",AB31="Automático"),"50%",IF(AND(AA31="Preventivo",AB31="Manual"),"40%",IF(AND(AA31="Detectivo",AB31="Automático"),"40%",IF(AND(AA31="Detectivo",AB31="Manual"),"30%",IF(AND(AA31="Correctivo",AB31="Automático"),"35%",IF(AND(AA31="Correctivo",AB31="Manual"),"25%",""))))))</f>
        <v/>
      </c>
      <c r="AD31" s="166"/>
      <c r="AE31" s="166"/>
      <c r="AF31" s="166"/>
      <c r="AG31" s="168" t="str">
        <f>IFERROR(IF(AND(Z30="Probabilidad",Z31="Probabilidad"),(AI30-(+AI30*AC31)),IF(Z31="Probabilidad",(R30-(+R30*AC31)),IF(Z31="Impacto",AI30,""))),"")</f>
        <v/>
      </c>
      <c r="AH31" s="169" t="str">
        <f t="shared" si="6"/>
        <v/>
      </c>
      <c r="AI31" s="170" t="str">
        <f t="shared" ref="AI31:AI35" si="39">+AG31</f>
        <v/>
      </c>
      <c r="AJ31" s="169" t="str">
        <f t="shared" si="8"/>
        <v/>
      </c>
      <c r="AK31" s="170" t="str">
        <f>IFERROR(IF(AND(Z30="Impacto",Z31="Impacto"),(AK30-(+AK30*AC31)),IF(Z31="Impacto",(V30-(+V30*AC31)),IF(Z31="Probabilidad",AK30,""))),"")</f>
        <v/>
      </c>
      <c r="AL31" s="171" t="str">
        <f t="shared" ref="AL31:AL32" si="40">IFERROR(IF(OR(AND(AH31="Muy Baja",AJ31="Leve"),AND(AH31="Muy Baja",AJ31="Menor"),AND(AH31="Baja",AJ31="Leve")),"Bajo",IF(OR(AND(AH31="Muy baja",AJ31="Moderado"),AND(AH31="Baja",AJ31="Menor"),AND(AH31="Baja",AJ31="Moderado"),AND(AH31="Media",AJ31="Leve"),AND(AH31="Media",AJ31="Menor"),AND(AH31="Media",AJ31="Moderado"),AND(AH31="Alta",AJ31="Leve"),AND(AH31="Alta",AJ31="Menor")),"Moderado",IF(OR(AND(AH31="Muy Baja",AJ31="Mayor"),AND(AH31="Baja",AJ31="Mayor"),AND(AH31="Media",AJ31="Mayor"),AND(AH31="Alta",AJ31="Moderado"),AND(AH31="Alta",AJ31="Mayor"),AND(AH31="Muy Alta",AJ31="Leve"),AND(AH31="Muy Alta",AJ31="Menor"),AND(AH31="Muy Alta",AJ31="Moderado"),AND(AH31="Muy Alta",AJ31="Mayor")),"Alto",IF(OR(AND(AH31="Muy Baja",AJ31="Catastrófico"),AND(AH31="Baja",AJ31="Catastrófico"),AND(AH31="Media",AJ31="Catastrófico"),AND(AH31="Alta",AJ31="Catastrófico"),AND(AH31="Muy Alta",AJ31="Catastrófico")),"Extremo","")))),"")</f>
        <v/>
      </c>
      <c r="AM31" s="172"/>
      <c r="AN31" s="120"/>
      <c r="AO31" s="120"/>
      <c r="AP31" s="120"/>
      <c r="AQ31" s="120"/>
      <c r="AR31" s="120"/>
      <c r="AS31" s="120"/>
      <c r="AT31" s="121"/>
      <c r="AU31" s="122"/>
      <c r="AV31" s="123"/>
      <c r="AW31" s="123"/>
      <c r="AX31" s="148"/>
      <c r="AY31" s="122"/>
      <c r="AZ31" s="175"/>
      <c r="BA31" s="175"/>
      <c r="BB31" s="175"/>
      <c r="BC31" s="175"/>
      <c r="BD31" s="175"/>
      <c r="BE31" s="8"/>
      <c r="BF31" s="8"/>
      <c r="BG31" s="8"/>
      <c r="BH31" s="8"/>
      <c r="BI31" s="8"/>
      <c r="BJ31" s="8"/>
      <c r="BK31" s="8"/>
      <c r="BL31" s="8"/>
      <c r="BM31" s="8"/>
      <c r="BN31" s="8"/>
      <c r="BO31" s="8"/>
      <c r="BP31" s="8"/>
      <c r="BQ31" s="8"/>
      <c r="BR31" s="8"/>
      <c r="BS31" s="8"/>
      <c r="BT31" s="8"/>
    </row>
    <row r="32" spans="1:72" ht="151.5" customHeight="1" x14ac:dyDescent="0.3">
      <c r="A32" s="279"/>
      <c r="B32" s="125"/>
      <c r="C32" s="282"/>
      <c r="D32" s="128"/>
      <c r="E32" s="282"/>
      <c r="F32" s="282"/>
      <c r="G32" s="285"/>
      <c r="H32" s="153"/>
      <c r="I32" s="282"/>
      <c r="J32" s="288"/>
      <c r="K32" s="291"/>
      <c r="L32" s="273"/>
      <c r="M32" s="294"/>
      <c r="N32" s="273">
        <f>IF(NOT(ISERROR(MATCH(M32,_xlfn.ANCHORARRAY(G43),0))),L45&amp;"Por favor no seleccionar los criterios de impacto",M32)</f>
        <v>0</v>
      </c>
      <c r="O32" s="291"/>
      <c r="P32" s="273"/>
      <c r="Q32" s="276"/>
      <c r="R32" s="164"/>
      <c r="S32" s="164" t="str">
        <f t="shared" si="1"/>
        <v/>
      </c>
      <c r="T32" s="164"/>
      <c r="U32" s="164" t="str">
        <f t="shared" si="17"/>
        <v/>
      </c>
      <c r="V32" s="164" t="str">
        <f t="shared" si="3"/>
        <v/>
      </c>
      <c r="W32" s="164" t="str">
        <f t="shared" si="4"/>
        <v/>
      </c>
      <c r="X32" s="6">
        <v>3</v>
      </c>
      <c r="Y32" s="174"/>
      <c r="Z32" s="165" t="str">
        <f>IF(OR(AA32="Preventivo",AA32="Detectivo"),"Probabilidad",IF(AA32="Correctivo","Impacto",""))</f>
        <v/>
      </c>
      <c r="AA32" s="166"/>
      <c r="AB32" s="166"/>
      <c r="AC32" s="167" t="str">
        <f t="shared" si="38"/>
        <v/>
      </c>
      <c r="AD32" s="166"/>
      <c r="AE32" s="166"/>
      <c r="AF32" s="166"/>
      <c r="AG32" s="168" t="str">
        <f>IFERROR(IF(AND(Z31="Probabilidad",Z32="Probabilidad"),(AI31-(+AI31*AC32)),IF(AND(Z31="Impacto",Z32="Probabilidad"),(AI30-(+AI30*AC32)),IF(Z32="Impacto",AI31,""))),"")</f>
        <v/>
      </c>
      <c r="AH32" s="169" t="str">
        <f t="shared" si="6"/>
        <v/>
      </c>
      <c r="AI32" s="170" t="str">
        <f t="shared" si="39"/>
        <v/>
      </c>
      <c r="AJ32" s="169" t="str">
        <f t="shared" si="8"/>
        <v/>
      </c>
      <c r="AK32" s="170" t="str">
        <f>IFERROR(IF(AND(Z31="Impacto",Z32="Impacto"),(AK31-(+AK31*AC32)),IF(AND(Z31="Probabilidad",Z32="Impacto"),(AK30-(+AK30*AC32)),IF(Z32="Probabilidad",AK31,""))),"")</f>
        <v/>
      </c>
      <c r="AL32" s="171" t="str">
        <f t="shared" si="40"/>
        <v/>
      </c>
      <c r="AM32" s="172"/>
      <c r="AN32" s="120"/>
      <c r="AO32" s="120"/>
      <c r="AP32" s="120"/>
      <c r="AQ32" s="120"/>
      <c r="AR32" s="120"/>
      <c r="AS32" s="120"/>
      <c r="AT32" s="121"/>
      <c r="AU32" s="122"/>
      <c r="AV32" s="123"/>
      <c r="AW32" s="123"/>
      <c r="AX32" s="148"/>
      <c r="AY32" s="122"/>
      <c r="AZ32" s="175"/>
      <c r="BA32" s="175"/>
      <c r="BB32" s="175"/>
      <c r="BC32" s="175"/>
      <c r="BD32" s="175"/>
      <c r="BE32" s="8"/>
      <c r="BF32" s="8"/>
      <c r="BG32" s="8"/>
      <c r="BH32" s="8"/>
      <c r="BI32" s="8"/>
      <c r="BJ32" s="8"/>
      <c r="BK32" s="8"/>
      <c r="BL32" s="8"/>
      <c r="BM32" s="8"/>
      <c r="BN32" s="8"/>
      <c r="BO32" s="8"/>
      <c r="BP32" s="8"/>
      <c r="BQ32" s="8"/>
      <c r="BR32" s="8"/>
      <c r="BS32" s="8"/>
      <c r="BT32" s="8"/>
    </row>
    <row r="33" spans="1:72" ht="151.5" customHeight="1" x14ac:dyDescent="0.3">
      <c r="A33" s="279"/>
      <c r="B33" s="125"/>
      <c r="C33" s="282"/>
      <c r="D33" s="128"/>
      <c r="E33" s="282"/>
      <c r="F33" s="282"/>
      <c r="G33" s="285"/>
      <c r="H33" s="153"/>
      <c r="I33" s="282"/>
      <c r="J33" s="288"/>
      <c r="K33" s="291"/>
      <c r="L33" s="273"/>
      <c r="M33" s="294"/>
      <c r="N33" s="273">
        <f>IF(NOT(ISERROR(MATCH(M33,_xlfn.ANCHORARRAY(G44),0))),L46&amp;"Por favor no seleccionar los criterios de impacto",M33)</f>
        <v>0</v>
      </c>
      <c r="O33" s="291"/>
      <c r="P33" s="273"/>
      <c r="Q33" s="276"/>
      <c r="R33" s="164"/>
      <c r="S33" s="164" t="str">
        <f t="shared" si="1"/>
        <v/>
      </c>
      <c r="T33" s="164"/>
      <c r="U33" s="164" t="str">
        <f t="shared" si="17"/>
        <v/>
      </c>
      <c r="V33" s="164" t="str">
        <f t="shared" si="3"/>
        <v/>
      </c>
      <c r="W33" s="164" t="str">
        <f t="shared" si="4"/>
        <v/>
      </c>
      <c r="X33" s="6">
        <v>4</v>
      </c>
      <c r="Y33" s="176"/>
      <c r="Z33" s="165" t="str">
        <f t="shared" ref="Z33:Z35" si="41">IF(OR(AA33="Preventivo",AA33="Detectivo"),"Probabilidad",IF(AA33="Correctivo","Impacto",""))</f>
        <v/>
      </c>
      <c r="AA33" s="166"/>
      <c r="AB33" s="166"/>
      <c r="AC33" s="167" t="str">
        <f t="shared" si="38"/>
        <v/>
      </c>
      <c r="AD33" s="166"/>
      <c r="AE33" s="166"/>
      <c r="AF33" s="166"/>
      <c r="AG33" s="168" t="str">
        <f t="shared" ref="AG33:AG35" si="42">IFERROR(IF(AND(Z32="Probabilidad",Z33="Probabilidad"),(AI32-(+AI32*AC33)),IF(AND(Z32="Impacto",Z33="Probabilidad"),(AI31-(+AI31*AC33)),IF(Z33="Impacto",AI32,""))),"")</f>
        <v/>
      </c>
      <c r="AH33" s="169" t="str">
        <f t="shared" si="6"/>
        <v/>
      </c>
      <c r="AI33" s="170" t="str">
        <f t="shared" si="39"/>
        <v/>
      </c>
      <c r="AJ33" s="169" t="str">
        <f t="shared" si="8"/>
        <v/>
      </c>
      <c r="AK33" s="170" t="str">
        <f t="shared" ref="AK33:AK35" si="43">IFERROR(IF(AND(Z32="Impacto",Z33="Impacto"),(AK32-(+AK32*AC33)),IF(AND(Z32="Probabilidad",Z33="Impacto"),(AK31-(+AK31*AC33)),IF(Z33="Probabilidad",AK32,""))),"")</f>
        <v/>
      </c>
      <c r="AL33" s="171" t="str">
        <f>IFERROR(IF(OR(AND(AH33="Muy Baja",AJ33="Leve"),AND(AH33="Muy Baja",AJ33="Menor"),AND(AH33="Baja",AJ33="Leve")),"Bajo",IF(OR(AND(AH33="Muy baja",AJ33="Moderado"),AND(AH33="Baja",AJ33="Menor"),AND(AH33="Baja",AJ33="Moderado"),AND(AH33="Media",AJ33="Leve"),AND(AH33="Media",AJ33="Menor"),AND(AH33="Media",AJ33="Moderado"),AND(AH33="Alta",AJ33="Leve"),AND(AH33="Alta",AJ33="Menor")),"Moderado",IF(OR(AND(AH33="Muy Baja",AJ33="Mayor"),AND(AH33="Baja",AJ33="Mayor"),AND(AH33="Media",AJ33="Mayor"),AND(AH33="Alta",AJ33="Moderado"),AND(AH33="Alta",AJ33="Mayor"),AND(AH33="Muy Alta",AJ33="Leve"),AND(AH33="Muy Alta",AJ33="Menor"),AND(AH33="Muy Alta",AJ33="Moderado"),AND(AH33="Muy Alta",AJ33="Mayor")),"Alto",IF(OR(AND(AH33="Muy Baja",AJ33="Catastrófico"),AND(AH33="Baja",AJ33="Catastrófico"),AND(AH33="Media",AJ33="Catastrófico"),AND(AH33="Alta",AJ33="Catastrófico"),AND(AH33="Muy Alta",AJ33="Catastrófico")),"Extremo","")))),"")</f>
        <v/>
      </c>
      <c r="AM33" s="172"/>
      <c r="AN33" s="120"/>
      <c r="AO33" s="120"/>
      <c r="AP33" s="120"/>
      <c r="AQ33" s="120"/>
      <c r="AR33" s="120"/>
      <c r="AS33" s="120"/>
      <c r="AT33" s="121"/>
      <c r="AU33" s="122"/>
      <c r="AV33" s="123"/>
      <c r="AW33" s="123"/>
      <c r="AX33" s="148"/>
      <c r="AY33" s="122"/>
      <c r="AZ33" s="175"/>
      <c r="BA33" s="175"/>
      <c r="BB33" s="175"/>
      <c r="BC33" s="175"/>
      <c r="BD33" s="175"/>
      <c r="BE33" s="8"/>
      <c r="BF33" s="8"/>
      <c r="BG33" s="8"/>
      <c r="BH33" s="8"/>
      <c r="BI33" s="8"/>
      <c r="BJ33" s="8"/>
      <c r="BK33" s="8"/>
      <c r="BL33" s="8"/>
      <c r="BM33" s="8"/>
      <c r="BN33" s="8"/>
      <c r="BO33" s="8"/>
      <c r="BP33" s="8"/>
      <c r="BQ33" s="8"/>
      <c r="BR33" s="8"/>
      <c r="BS33" s="8"/>
      <c r="BT33" s="8"/>
    </row>
    <row r="34" spans="1:72" ht="151.5" customHeight="1" x14ac:dyDescent="0.3">
      <c r="A34" s="279"/>
      <c r="B34" s="125"/>
      <c r="C34" s="282"/>
      <c r="D34" s="128"/>
      <c r="E34" s="282"/>
      <c r="F34" s="282"/>
      <c r="G34" s="285"/>
      <c r="H34" s="141"/>
      <c r="I34" s="282"/>
      <c r="J34" s="288"/>
      <c r="K34" s="291"/>
      <c r="L34" s="273"/>
      <c r="M34" s="294"/>
      <c r="N34" s="273">
        <f>IF(NOT(ISERROR(MATCH(M34,_xlfn.ANCHORARRAY(G45),0))),L47&amp;"Por favor no seleccionar los criterios de impacto",M34)</f>
        <v>0</v>
      </c>
      <c r="O34" s="291"/>
      <c r="P34" s="273"/>
      <c r="Q34" s="276"/>
      <c r="R34" s="164"/>
      <c r="S34" s="164" t="str">
        <f t="shared" si="1"/>
        <v/>
      </c>
      <c r="T34" s="164"/>
      <c r="U34" s="164" t="str">
        <f t="shared" si="17"/>
        <v/>
      </c>
      <c r="V34" s="164" t="str">
        <f t="shared" si="3"/>
        <v/>
      </c>
      <c r="W34" s="164" t="str">
        <f t="shared" si="4"/>
        <v/>
      </c>
      <c r="X34" s="6">
        <v>5</v>
      </c>
      <c r="Y34" s="176"/>
      <c r="Z34" s="165" t="str">
        <f t="shared" si="41"/>
        <v/>
      </c>
      <c r="AA34" s="166"/>
      <c r="AB34" s="166"/>
      <c r="AC34" s="167" t="str">
        <f t="shared" si="38"/>
        <v/>
      </c>
      <c r="AD34" s="166"/>
      <c r="AE34" s="166"/>
      <c r="AF34" s="166"/>
      <c r="AG34" s="168" t="str">
        <f t="shared" si="42"/>
        <v/>
      </c>
      <c r="AH34" s="169" t="str">
        <f t="shared" si="6"/>
        <v/>
      </c>
      <c r="AI34" s="170" t="str">
        <f t="shared" si="39"/>
        <v/>
      </c>
      <c r="AJ34" s="169" t="str">
        <f t="shared" si="8"/>
        <v/>
      </c>
      <c r="AK34" s="170" t="str">
        <f t="shared" si="43"/>
        <v/>
      </c>
      <c r="AL34" s="171" t="str">
        <f t="shared" ref="AL34:AL35" si="44">IFERROR(IF(OR(AND(AH34="Muy Baja",AJ34="Leve"),AND(AH34="Muy Baja",AJ34="Menor"),AND(AH34="Baja",AJ34="Leve")),"Bajo",IF(OR(AND(AH34="Muy baja",AJ34="Moderado"),AND(AH34="Baja",AJ34="Menor"),AND(AH34="Baja",AJ34="Moderado"),AND(AH34="Media",AJ34="Leve"),AND(AH34="Media",AJ34="Menor"),AND(AH34="Media",AJ34="Moderado"),AND(AH34="Alta",AJ34="Leve"),AND(AH34="Alta",AJ34="Menor")),"Moderado",IF(OR(AND(AH34="Muy Baja",AJ34="Mayor"),AND(AH34="Baja",AJ34="Mayor"),AND(AH34="Media",AJ34="Mayor"),AND(AH34="Alta",AJ34="Moderado"),AND(AH34="Alta",AJ34="Mayor"),AND(AH34="Muy Alta",AJ34="Leve"),AND(AH34="Muy Alta",AJ34="Menor"),AND(AH34="Muy Alta",AJ34="Moderado"),AND(AH34="Muy Alta",AJ34="Mayor")),"Alto",IF(OR(AND(AH34="Muy Baja",AJ34="Catastrófico"),AND(AH34="Baja",AJ34="Catastrófico"),AND(AH34="Media",AJ34="Catastrófico"),AND(AH34="Alta",AJ34="Catastrófico"),AND(AH34="Muy Alta",AJ34="Catastrófico")),"Extremo","")))),"")</f>
        <v/>
      </c>
      <c r="AM34" s="172"/>
      <c r="AN34" s="120"/>
      <c r="AO34" s="120"/>
      <c r="AP34" s="120"/>
      <c r="AQ34" s="120"/>
      <c r="AR34" s="120"/>
      <c r="AS34" s="120"/>
      <c r="AT34" s="121"/>
      <c r="AU34" s="122"/>
      <c r="AV34" s="123"/>
      <c r="AW34" s="123"/>
      <c r="AX34" s="148"/>
      <c r="AY34" s="122"/>
      <c r="AZ34" s="175"/>
      <c r="BA34" s="175"/>
      <c r="BB34" s="175"/>
      <c r="BC34" s="175"/>
      <c r="BD34" s="175"/>
      <c r="BE34" s="8"/>
      <c r="BF34" s="8"/>
      <c r="BG34" s="8"/>
      <c r="BH34" s="8"/>
      <c r="BI34" s="8"/>
      <c r="BJ34" s="8"/>
      <c r="BK34" s="8"/>
      <c r="BL34" s="8"/>
      <c r="BM34" s="8"/>
      <c r="BN34" s="8"/>
      <c r="BO34" s="8"/>
      <c r="BP34" s="8"/>
      <c r="BQ34" s="8"/>
      <c r="BR34" s="8"/>
      <c r="BS34" s="8"/>
      <c r="BT34" s="8"/>
    </row>
    <row r="35" spans="1:72" ht="151.5" customHeight="1" x14ac:dyDescent="0.3">
      <c r="A35" s="280"/>
      <c r="B35" s="126"/>
      <c r="C35" s="283"/>
      <c r="D35" s="129"/>
      <c r="E35" s="283"/>
      <c r="F35" s="283"/>
      <c r="G35" s="286"/>
      <c r="H35" s="152"/>
      <c r="I35" s="283"/>
      <c r="J35" s="289"/>
      <c r="K35" s="292"/>
      <c r="L35" s="274"/>
      <c r="M35" s="295"/>
      <c r="N35" s="274">
        <f>IF(NOT(ISERROR(MATCH(M35,_xlfn.ANCHORARRAY(G46),0))),L48&amp;"Por favor no seleccionar los criterios de impacto",M35)</f>
        <v>0</v>
      </c>
      <c r="O35" s="292"/>
      <c r="P35" s="274"/>
      <c r="Q35" s="277"/>
      <c r="R35" s="164"/>
      <c r="S35" s="164" t="str">
        <f t="shared" si="1"/>
        <v/>
      </c>
      <c r="T35" s="164"/>
      <c r="U35" s="164" t="str">
        <f t="shared" si="17"/>
        <v/>
      </c>
      <c r="V35" s="164" t="str">
        <f t="shared" si="3"/>
        <v/>
      </c>
      <c r="W35" s="164" t="str">
        <f t="shared" si="4"/>
        <v/>
      </c>
      <c r="X35" s="6">
        <v>6</v>
      </c>
      <c r="Y35" s="176"/>
      <c r="Z35" s="165" t="str">
        <f t="shared" si="41"/>
        <v/>
      </c>
      <c r="AA35" s="166"/>
      <c r="AB35" s="166"/>
      <c r="AC35" s="167" t="str">
        <f t="shared" si="38"/>
        <v/>
      </c>
      <c r="AD35" s="166"/>
      <c r="AE35" s="166"/>
      <c r="AF35" s="166"/>
      <c r="AG35" s="168" t="str">
        <f t="shared" si="42"/>
        <v/>
      </c>
      <c r="AH35" s="169" t="str">
        <f t="shared" si="6"/>
        <v/>
      </c>
      <c r="AI35" s="170" t="str">
        <f t="shared" si="39"/>
        <v/>
      </c>
      <c r="AJ35" s="169" t="str">
        <f t="shared" si="8"/>
        <v/>
      </c>
      <c r="AK35" s="170" t="str">
        <f t="shared" si="43"/>
        <v/>
      </c>
      <c r="AL35" s="171" t="str">
        <f t="shared" si="44"/>
        <v/>
      </c>
      <c r="AM35" s="172"/>
      <c r="AN35" s="120"/>
      <c r="AO35" s="120"/>
      <c r="AP35" s="120"/>
      <c r="AQ35" s="120"/>
      <c r="AR35" s="120"/>
      <c r="AS35" s="120"/>
      <c r="AT35" s="121"/>
      <c r="AU35" s="122"/>
      <c r="AV35" s="123"/>
      <c r="AW35" s="123"/>
      <c r="AX35" s="148"/>
      <c r="AY35" s="122"/>
      <c r="AZ35" s="175"/>
      <c r="BA35" s="175"/>
      <c r="BB35" s="175"/>
      <c r="BC35" s="175"/>
      <c r="BD35" s="175"/>
      <c r="BE35" s="8"/>
      <c r="BF35" s="8"/>
      <c r="BG35" s="8"/>
      <c r="BH35" s="8"/>
      <c r="BI35" s="8"/>
      <c r="BJ35" s="8"/>
      <c r="BK35" s="8"/>
      <c r="BL35" s="8"/>
      <c r="BM35" s="8"/>
      <c r="BN35" s="8"/>
      <c r="BO35" s="8"/>
      <c r="BP35" s="8"/>
      <c r="BQ35" s="8"/>
      <c r="BR35" s="8"/>
      <c r="BS35" s="8"/>
      <c r="BT35" s="8"/>
    </row>
    <row r="36" spans="1:72" ht="151.5" customHeight="1" x14ac:dyDescent="0.3">
      <c r="A36" s="278">
        <v>9</v>
      </c>
      <c r="B36" s="124"/>
      <c r="C36" s="281"/>
      <c r="D36" s="127"/>
      <c r="E36" s="281"/>
      <c r="F36" s="281"/>
      <c r="G36" s="284"/>
      <c r="H36" s="153"/>
      <c r="I36" s="281"/>
      <c r="J36" s="287"/>
      <c r="K36" s="290" t="str">
        <f>IF(J36&lt;=0,"",IF(J36&lt;=2,"Muy Baja",IF(J36&lt;=24,"Baja",IF(J36&lt;=500,"Media",IF(J36&lt;=5000,"Alta","Muy Alta")))))</f>
        <v/>
      </c>
      <c r="L36" s="272" t="str">
        <f>IF(K36="","",IF(K36="Muy Baja",0.2,IF(K36="Baja",0.4,IF(K36="Media",0.6,IF(K36="Alta",0.8,IF(K36="Muy Alta",1,))))))</f>
        <v/>
      </c>
      <c r="M36" s="293"/>
      <c r="N36" s="272">
        <f>IF(NOT(ISERROR(MATCH(M36,'Tabla Impacto'!$B$221:$B$223,0))),'Tabla Impacto'!$F$223&amp;"Por favor no seleccionar los criterios de impacto(Afectación Económica o presupuestal y Pérdida Reputacional)",M36)</f>
        <v>0</v>
      </c>
      <c r="O36" s="290" t="str">
        <f>IF(OR(N36='Tabla Impacto'!$C$11,N36='Tabla Impacto'!$D$11),"Leve",IF(OR(N36='Tabla Impacto'!$C$12,N36='Tabla Impacto'!$D$12),"Menor",IF(OR(N36='Tabla Impacto'!$C$13,N36='Tabla Impacto'!$D$13),"Moderado",IF(OR(N36='Tabla Impacto'!$C$14,N36='Tabla Impacto'!$D$14),"Mayor",IF(OR(N36='Tabla Impacto'!$C$15,N36='Tabla Impacto'!$D$15),"Catastrófico","")))))</f>
        <v/>
      </c>
      <c r="P36" s="272" t="str">
        <f>IF(O36="","",IF(O36="Leve",0.2,IF(O36="Menor",0.4,IF(O36="Moderado",0.6,IF(O36="Mayor",0.8,IF(O36="Catastrófico",1,))))))</f>
        <v/>
      </c>
      <c r="Q36" s="275" t="str">
        <f>IF(OR(AND(K36="Muy Baja",O36="Leve"),AND(K36="Muy Baja",O36="Menor"),AND(K36="Baja",O36="Leve")),"Bajo",IF(OR(AND(K36="Muy baja",O36="Moderado"),AND(K36="Baja",O36="Menor"),AND(K36="Baja",O36="Moderado"),AND(K36="Media",O36="Leve"),AND(K36="Media",O36="Menor"),AND(K36="Media",O36="Moderado"),AND(K36="Alta",O36="Leve"),AND(K36="Alta",O36="Menor")),"Moderado",IF(OR(AND(K36="Muy Baja",O36="Mayor"),AND(K36="Baja",O36="Mayor"),AND(K36="Media",O36="Mayor"),AND(K36="Alta",O36="Moderado"),AND(K36="Alta",O36="Mayor"),AND(K36="Muy Alta",O36="Leve"),AND(K36="Muy Alta",O36="Menor"),AND(K36="Muy Alta",O36="Moderado"),AND(K36="Muy Alta",O36="Mayor")),"Alto",IF(OR(AND(K36="Muy Baja",O36="Catastrófico"),AND(K36="Baja",O36="Catastrófico"),AND(K36="Media",O36="Catastrófico"),AND(K36="Alta",O36="Catastrófico"),AND(K36="Muy Alta",O36="Catastrófico")),"Extremo",""))))</f>
        <v/>
      </c>
      <c r="R36" s="164"/>
      <c r="S36" s="164" t="str">
        <f t="shared" si="1"/>
        <v/>
      </c>
      <c r="T36" s="164"/>
      <c r="U36" s="164" t="str">
        <f t="shared" si="17"/>
        <v/>
      </c>
      <c r="V36" s="164" t="str">
        <f t="shared" si="3"/>
        <v/>
      </c>
      <c r="W36" s="164" t="str">
        <f t="shared" si="4"/>
        <v/>
      </c>
      <c r="X36" s="6">
        <v>1</v>
      </c>
      <c r="Y36" s="176"/>
      <c r="Z36" s="165" t="str">
        <f>IF(OR(AA36="Preventivo",AA36="Detectivo"),"Probabilidad",IF(AA36="Correctivo","Impacto",""))</f>
        <v/>
      </c>
      <c r="AA36" s="166"/>
      <c r="AB36" s="166"/>
      <c r="AC36" s="167" t="str">
        <f>IF(AND(AA36="Preventivo",AB36="Automático"),"50%",IF(AND(AA36="Preventivo",AB36="Manual"),"40%",IF(AND(AA36="Detectivo",AB36="Automático"),"40%",IF(AND(AA36="Detectivo",AB36="Manual"),"30%",IF(AND(AA36="Correctivo",AB36="Automático"),"35%",IF(AND(AA36="Correctivo",AB36="Manual"),"25%",""))))))</f>
        <v/>
      </c>
      <c r="AD36" s="166"/>
      <c r="AE36" s="166"/>
      <c r="AF36" s="166"/>
      <c r="AG36" s="168" t="str">
        <f>IFERROR(IF(Z36="Probabilidad",(R36-(+R36*AC36)),IF(Z36="Impacto",R36,"")),"")</f>
        <v/>
      </c>
      <c r="AH36" s="169" t="str">
        <f>IFERROR(IF(AG36="","",IF(AG36&lt;=0.2,"Muy Baja",IF(AG36&lt;=0.4,"Baja",IF(AG36&lt;=0.6,"Media",IF(AG36&lt;=0.8,"Alta","Muy Alta"))))),"")</f>
        <v/>
      </c>
      <c r="AI36" s="170" t="str">
        <f>+AG36</f>
        <v/>
      </c>
      <c r="AJ36" s="169" t="str">
        <f>IFERROR(IF(AK36="","",IF(AK36&lt;=0.2,"Leve",IF(AK36&lt;=0.4,"Menor",IF(AK36&lt;=0.6,"Moderado",IF(AK36&lt;=0.8,"Mayor","Catastrófico"))))),"")</f>
        <v/>
      </c>
      <c r="AK36" s="170" t="str">
        <f>IFERROR(IF(Z36="Impacto",(V36-(+V36*AC36)),IF(Z36="Probabilidad",V36,"")),"")</f>
        <v/>
      </c>
      <c r="AL36" s="171" t="str">
        <f>IFERROR(IF(OR(AND(AH36="Muy Baja",AJ36="Leve"),AND(AH36="Muy Baja",AJ36="Menor"),AND(AH36="Baja",AJ36="Leve")),"Bajo",IF(OR(AND(AH36="Muy baja",AJ36="Moderado"),AND(AH36="Baja",AJ36="Menor"),AND(AH36="Baja",AJ36="Moderado"),AND(AH36="Media",AJ36="Leve"),AND(AH36="Media",AJ36="Menor"),AND(AH36="Media",AJ36="Moderado"),AND(AH36="Alta",AJ36="Leve"),AND(AH36="Alta",AJ36="Menor")),"Moderado",IF(OR(AND(AH36="Muy Baja",AJ36="Mayor"),AND(AH36="Baja",AJ36="Mayor"),AND(AH36="Media",AJ36="Mayor"),AND(AH36="Alta",AJ36="Moderado"),AND(AH36="Alta",AJ36="Mayor"),AND(AH36="Muy Alta",AJ36="Leve"),AND(AH36="Muy Alta",AJ36="Menor"),AND(AH36="Muy Alta",AJ36="Moderado"),AND(AH36="Muy Alta",AJ36="Mayor")),"Alto",IF(OR(AND(AH36="Muy Baja",AJ36="Catastrófico"),AND(AH36="Baja",AJ36="Catastrófico"),AND(AH36="Media",AJ36="Catastrófico"),AND(AH36="Alta",AJ36="Catastrófico"),AND(AH36="Muy Alta",AJ36="Catastrófico")),"Extremo","")))),"")</f>
        <v/>
      </c>
      <c r="AM36" s="172"/>
      <c r="AN36" s="120"/>
      <c r="AO36" s="120"/>
      <c r="AP36" s="120"/>
      <c r="AQ36" s="120"/>
      <c r="AR36" s="120"/>
      <c r="AS36" s="120"/>
      <c r="AT36" s="121"/>
      <c r="AU36" s="122"/>
      <c r="AV36" s="123"/>
      <c r="AW36" s="123"/>
      <c r="AX36" s="148"/>
      <c r="AY36" s="122"/>
      <c r="AZ36" s="175"/>
      <c r="BA36" s="175"/>
      <c r="BB36" s="175"/>
      <c r="BC36" s="175"/>
      <c r="BD36" s="175"/>
      <c r="BE36" s="8"/>
      <c r="BF36" s="8"/>
      <c r="BG36" s="8"/>
      <c r="BH36" s="8"/>
      <c r="BI36" s="8"/>
      <c r="BJ36" s="8"/>
      <c r="BK36" s="8"/>
      <c r="BL36" s="8"/>
      <c r="BM36" s="8"/>
      <c r="BN36" s="8"/>
      <c r="BO36" s="8"/>
      <c r="BP36" s="8"/>
      <c r="BQ36" s="8"/>
      <c r="BR36" s="8"/>
      <c r="BS36" s="8"/>
      <c r="BT36" s="8"/>
    </row>
    <row r="37" spans="1:72" ht="151.5" customHeight="1" x14ac:dyDescent="0.3">
      <c r="A37" s="279"/>
      <c r="B37" s="125"/>
      <c r="C37" s="282"/>
      <c r="D37" s="128"/>
      <c r="E37" s="282"/>
      <c r="F37" s="282"/>
      <c r="G37" s="285"/>
      <c r="H37" s="153"/>
      <c r="I37" s="282"/>
      <c r="J37" s="288"/>
      <c r="K37" s="291"/>
      <c r="L37" s="273"/>
      <c r="M37" s="294"/>
      <c r="N37" s="273">
        <f>IF(NOT(ISERROR(MATCH(M37,_xlfn.ANCHORARRAY(G48),0))),L50&amp;"Por favor no seleccionar los criterios de impacto",M37)</f>
        <v>0</v>
      </c>
      <c r="O37" s="291"/>
      <c r="P37" s="273"/>
      <c r="Q37" s="276"/>
      <c r="R37" s="164"/>
      <c r="S37" s="164" t="str">
        <f t="shared" si="1"/>
        <v/>
      </c>
      <c r="T37" s="164"/>
      <c r="U37" s="164" t="str">
        <f t="shared" si="17"/>
        <v/>
      </c>
      <c r="V37" s="164" t="str">
        <f t="shared" si="3"/>
        <v/>
      </c>
      <c r="W37" s="164" t="str">
        <f t="shared" si="4"/>
        <v/>
      </c>
      <c r="X37" s="6">
        <v>2</v>
      </c>
      <c r="Y37" s="176"/>
      <c r="Z37" s="165" t="str">
        <f>IF(OR(AA37="Preventivo",AA37="Detectivo"),"Probabilidad",IF(AA37="Correctivo","Impacto",""))</f>
        <v/>
      </c>
      <c r="AA37" s="166"/>
      <c r="AB37" s="166"/>
      <c r="AC37" s="167" t="str">
        <f t="shared" ref="AC37:AC41" si="45">IF(AND(AA37="Preventivo",AB37="Automático"),"50%",IF(AND(AA37="Preventivo",AB37="Manual"),"40%",IF(AND(AA37="Detectivo",AB37="Automático"),"40%",IF(AND(AA37="Detectivo",AB37="Manual"),"30%",IF(AND(AA37="Correctivo",AB37="Automático"),"35%",IF(AND(AA37="Correctivo",AB37="Manual"),"25%",""))))))</f>
        <v/>
      </c>
      <c r="AD37" s="166"/>
      <c r="AE37" s="166"/>
      <c r="AF37" s="166"/>
      <c r="AG37" s="168" t="str">
        <f>IFERROR(IF(AND(Z36="Probabilidad",Z37="Probabilidad"),(AI36-(+AI36*AC37)),IF(Z37="Probabilidad",(R36-(+R36*AC37)),IF(Z37="Impacto",AI36,""))),"")</f>
        <v/>
      </c>
      <c r="AH37" s="169" t="str">
        <f t="shared" si="6"/>
        <v/>
      </c>
      <c r="AI37" s="170" t="str">
        <f t="shared" ref="AI37:AI41" si="46">+AG37</f>
        <v/>
      </c>
      <c r="AJ37" s="169" t="str">
        <f t="shared" si="8"/>
        <v/>
      </c>
      <c r="AK37" s="170" t="str">
        <f>IFERROR(IF(AND(Z36="Impacto",Z37="Impacto"),(AK36-(+AK36*AC37)),IF(Z37="Impacto",(V36-(+V36*AC37)),IF(Z37="Probabilidad",AK36,""))),"")</f>
        <v/>
      </c>
      <c r="AL37" s="171" t="str">
        <f t="shared" ref="AL37:AL38" si="47">IFERROR(IF(OR(AND(AH37="Muy Baja",AJ37="Leve"),AND(AH37="Muy Baja",AJ37="Menor"),AND(AH37="Baja",AJ37="Leve")),"Bajo",IF(OR(AND(AH37="Muy baja",AJ37="Moderado"),AND(AH37="Baja",AJ37="Menor"),AND(AH37="Baja",AJ37="Moderado"),AND(AH37="Media",AJ37="Leve"),AND(AH37="Media",AJ37="Menor"),AND(AH37="Media",AJ37="Moderado"),AND(AH37="Alta",AJ37="Leve"),AND(AH37="Alta",AJ37="Menor")),"Moderado",IF(OR(AND(AH37="Muy Baja",AJ37="Mayor"),AND(AH37="Baja",AJ37="Mayor"),AND(AH37="Media",AJ37="Mayor"),AND(AH37="Alta",AJ37="Moderado"),AND(AH37="Alta",AJ37="Mayor"),AND(AH37="Muy Alta",AJ37="Leve"),AND(AH37="Muy Alta",AJ37="Menor"),AND(AH37="Muy Alta",AJ37="Moderado"),AND(AH37="Muy Alta",AJ37="Mayor")),"Alto",IF(OR(AND(AH37="Muy Baja",AJ37="Catastrófico"),AND(AH37="Baja",AJ37="Catastrófico"),AND(AH37="Media",AJ37="Catastrófico"),AND(AH37="Alta",AJ37="Catastrófico"),AND(AH37="Muy Alta",AJ37="Catastrófico")),"Extremo","")))),"")</f>
        <v/>
      </c>
      <c r="AM37" s="172"/>
      <c r="AN37" s="120"/>
      <c r="AO37" s="120"/>
      <c r="AP37" s="120"/>
      <c r="AQ37" s="120"/>
      <c r="AR37" s="120"/>
      <c r="AS37" s="120"/>
      <c r="AT37" s="121"/>
      <c r="AU37" s="122"/>
      <c r="AV37" s="123"/>
      <c r="AW37" s="123"/>
      <c r="AX37" s="148"/>
      <c r="AY37" s="122"/>
      <c r="AZ37" s="175"/>
      <c r="BA37" s="175"/>
      <c r="BB37" s="175"/>
      <c r="BC37" s="175"/>
      <c r="BD37" s="175"/>
      <c r="BE37" s="8"/>
      <c r="BF37" s="8"/>
      <c r="BG37" s="8"/>
      <c r="BH37" s="8"/>
      <c r="BI37" s="8"/>
      <c r="BJ37" s="8"/>
      <c r="BK37" s="8"/>
      <c r="BL37" s="8"/>
      <c r="BM37" s="8"/>
      <c r="BN37" s="8"/>
      <c r="BO37" s="8"/>
      <c r="BP37" s="8"/>
      <c r="BQ37" s="8"/>
      <c r="BR37" s="8"/>
      <c r="BS37" s="8"/>
      <c r="BT37" s="8"/>
    </row>
    <row r="38" spans="1:72" ht="151.5" customHeight="1" x14ac:dyDescent="0.3">
      <c r="A38" s="279"/>
      <c r="B38" s="125"/>
      <c r="C38" s="282"/>
      <c r="D38" s="128"/>
      <c r="E38" s="282"/>
      <c r="F38" s="282"/>
      <c r="G38" s="285"/>
      <c r="H38" s="153"/>
      <c r="I38" s="282"/>
      <c r="J38" s="288"/>
      <c r="K38" s="291"/>
      <c r="L38" s="273"/>
      <c r="M38" s="294"/>
      <c r="N38" s="273">
        <f>IF(NOT(ISERROR(MATCH(M38,_xlfn.ANCHORARRAY(G49),0))),L51&amp;"Por favor no seleccionar los criterios de impacto",M38)</f>
        <v>0</v>
      </c>
      <c r="O38" s="291"/>
      <c r="P38" s="273"/>
      <c r="Q38" s="276"/>
      <c r="R38" s="164"/>
      <c r="S38" s="164" t="str">
        <f t="shared" si="1"/>
        <v/>
      </c>
      <c r="T38" s="164"/>
      <c r="U38" s="164" t="str">
        <f t="shared" si="17"/>
        <v/>
      </c>
      <c r="V38" s="164" t="str">
        <f t="shared" si="3"/>
        <v/>
      </c>
      <c r="W38" s="164" t="str">
        <f t="shared" si="4"/>
        <v/>
      </c>
      <c r="X38" s="6">
        <v>3</v>
      </c>
      <c r="Y38" s="174"/>
      <c r="Z38" s="165" t="str">
        <f>IF(OR(AA38="Preventivo",AA38="Detectivo"),"Probabilidad",IF(AA38="Correctivo","Impacto",""))</f>
        <v/>
      </c>
      <c r="AA38" s="166"/>
      <c r="AB38" s="166"/>
      <c r="AC38" s="167" t="str">
        <f t="shared" si="45"/>
        <v/>
      </c>
      <c r="AD38" s="166"/>
      <c r="AE38" s="166"/>
      <c r="AF38" s="166"/>
      <c r="AG38" s="168" t="str">
        <f>IFERROR(IF(AND(Z37="Probabilidad",Z38="Probabilidad"),(AI37-(+AI37*AC38)),IF(AND(Z37="Impacto",Z38="Probabilidad"),(AI36-(+AI36*AC38)),IF(Z38="Impacto",AI37,""))),"")</f>
        <v/>
      </c>
      <c r="AH38" s="169" t="str">
        <f t="shared" si="6"/>
        <v/>
      </c>
      <c r="AI38" s="170" t="str">
        <f t="shared" si="46"/>
        <v/>
      </c>
      <c r="AJ38" s="169" t="str">
        <f t="shared" si="8"/>
        <v/>
      </c>
      <c r="AK38" s="170" t="str">
        <f>IFERROR(IF(AND(Z37="Impacto",Z38="Impacto"),(AK37-(+AK37*AC38)),IF(AND(Z37="Probabilidad",Z38="Impacto"),(AK36-(+AK36*AC38)),IF(Z38="Probabilidad",AK37,""))),"")</f>
        <v/>
      </c>
      <c r="AL38" s="171" t="str">
        <f t="shared" si="47"/>
        <v/>
      </c>
      <c r="AM38" s="172"/>
      <c r="AN38" s="120"/>
      <c r="AO38" s="120"/>
      <c r="AP38" s="120"/>
      <c r="AQ38" s="120"/>
      <c r="AR38" s="120"/>
      <c r="AS38" s="120"/>
      <c r="AT38" s="121"/>
      <c r="AU38" s="122"/>
      <c r="AV38" s="123"/>
      <c r="AW38" s="123"/>
      <c r="AX38" s="148"/>
      <c r="AY38" s="122"/>
      <c r="AZ38" s="175"/>
      <c r="BA38" s="175"/>
      <c r="BB38" s="175"/>
      <c r="BC38" s="175"/>
      <c r="BD38" s="175"/>
      <c r="BE38" s="8"/>
      <c r="BF38" s="8"/>
      <c r="BG38" s="8"/>
      <c r="BH38" s="8"/>
      <c r="BI38" s="8"/>
      <c r="BJ38" s="8"/>
      <c r="BK38" s="8"/>
      <c r="BL38" s="8"/>
      <c r="BM38" s="8"/>
      <c r="BN38" s="8"/>
      <c r="BO38" s="8"/>
      <c r="BP38" s="8"/>
      <c r="BQ38" s="8"/>
      <c r="BR38" s="8"/>
      <c r="BS38" s="8"/>
      <c r="BT38" s="8"/>
    </row>
    <row r="39" spans="1:72" ht="151.5" customHeight="1" x14ac:dyDescent="0.3">
      <c r="A39" s="279"/>
      <c r="B39" s="125"/>
      <c r="C39" s="282"/>
      <c r="D39" s="128"/>
      <c r="E39" s="282"/>
      <c r="F39" s="282"/>
      <c r="G39" s="285"/>
      <c r="H39" s="153"/>
      <c r="I39" s="282"/>
      <c r="J39" s="288"/>
      <c r="K39" s="291"/>
      <c r="L39" s="273"/>
      <c r="M39" s="294"/>
      <c r="N39" s="273">
        <f>IF(NOT(ISERROR(MATCH(M39,_xlfn.ANCHORARRAY(G50),0))),L52&amp;"Por favor no seleccionar los criterios de impacto",M39)</f>
        <v>0</v>
      </c>
      <c r="O39" s="291"/>
      <c r="P39" s="273"/>
      <c r="Q39" s="276"/>
      <c r="R39" s="164"/>
      <c r="S39" s="164" t="str">
        <f t="shared" si="1"/>
        <v/>
      </c>
      <c r="T39" s="164"/>
      <c r="U39" s="164" t="str">
        <f t="shared" si="17"/>
        <v/>
      </c>
      <c r="V39" s="164" t="str">
        <f t="shared" si="3"/>
        <v/>
      </c>
      <c r="W39" s="164" t="str">
        <f t="shared" si="4"/>
        <v/>
      </c>
      <c r="X39" s="6">
        <v>4</v>
      </c>
      <c r="Y39" s="176"/>
      <c r="Z39" s="165" t="str">
        <f t="shared" ref="Z39:Z41" si="48">IF(OR(AA39="Preventivo",AA39="Detectivo"),"Probabilidad",IF(AA39="Correctivo","Impacto",""))</f>
        <v/>
      </c>
      <c r="AA39" s="166"/>
      <c r="AB39" s="166"/>
      <c r="AC39" s="167" t="str">
        <f t="shared" si="45"/>
        <v/>
      </c>
      <c r="AD39" s="166"/>
      <c r="AE39" s="166"/>
      <c r="AF39" s="166"/>
      <c r="AG39" s="168" t="str">
        <f t="shared" ref="AG39:AG41" si="49">IFERROR(IF(AND(Z38="Probabilidad",Z39="Probabilidad"),(AI38-(+AI38*AC39)),IF(AND(Z38="Impacto",Z39="Probabilidad"),(AI37-(+AI37*AC39)),IF(Z39="Impacto",AI38,""))),"")</f>
        <v/>
      </c>
      <c r="AH39" s="169" t="str">
        <f t="shared" si="6"/>
        <v/>
      </c>
      <c r="AI39" s="170" t="str">
        <f t="shared" si="46"/>
        <v/>
      </c>
      <c r="AJ39" s="169" t="str">
        <f t="shared" si="8"/>
        <v/>
      </c>
      <c r="AK39" s="170" t="str">
        <f t="shared" ref="AK39:AK41" si="50">IFERROR(IF(AND(Z38="Impacto",Z39="Impacto"),(AK38-(+AK38*AC39)),IF(AND(Z38="Probabilidad",Z39="Impacto"),(AK37-(+AK37*AC39)),IF(Z39="Probabilidad",AK38,""))),"")</f>
        <v/>
      </c>
      <c r="AL39" s="171" t="str">
        <f>IFERROR(IF(OR(AND(AH39="Muy Baja",AJ39="Leve"),AND(AH39="Muy Baja",AJ39="Menor"),AND(AH39="Baja",AJ39="Leve")),"Bajo",IF(OR(AND(AH39="Muy baja",AJ39="Moderado"),AND(AH39="Baja",AJ39="Menor"),AND(AH39="Baja",AJ39="Moderado"),AND(AH39="Media",AJ39="Leve"),AND(AH39="Media",AJ39="Menor"),AND(AH39="Media",AJ39="Moderado"),AND(AH39="Alta",AJ39="Leve"),AND(AH39="Alta",AJ39="Menor")),"Moderado",IF(OR(AND(AH39="Muy Baja",AJ39="Mayor"),AND(AH39="Baja",AJ39="Mayor"),AND(AH39="Media",AJ39="Mayor"),AND(AH39="Alta",AJ39="Moderado"),AND(AH39="Alta",AJ39="Mayor"),AND(AH39="Muy Alta",AJ39="Leve"),AND(AH39="Muy Alta",AJ39="Menor"),AND(AH39="Muy Alta",AJ39="Moderado"),AND(AH39="Muy Alta",AJ39="Mayor")),"Alto",IF(OR(AND(AH39="Muy Baja",AJ39="Catastrófico"),AND(AH39="Baja",AJ39="Catastrófico"),AND(AH39="Media",AJ39="Catastrófico"),AND(AH39="Alta",AJ39="Catastrófico"),AND(AH39="Muy Alta",AJ39="Catastrófico")),"Extremo","")))),"")</f>
        <v/>
      </c>
      <c r="AM39" s="172"/>
      <c r="AN39" s="120"/>
      <c r="AO39" s="120"/>
      <c r="AP39" s="120"/>
      <c r="AQ39" s="120"/>
      <c r="AR39" s="120"/>
      <c r="AS39" s="120"/>
      <c r="AT39" s="121"/>
      <c r="AU39" s="122"/>
      <c r="AV39" s="123"/>
      <c r="AW39" s="123"/>
      <c r="AX39" s="148"/>
      <c r="AY39" s="122"/>
      <c r="AZ39" s="175"/>
      <c r="BA39" s="175"/>
      <c r="BB39" s="175"/>
      <c r="BC39" s="175"/>
      <c r="BD39" s="175"/>
      <c r="BE39" s="8"/>
      <c r="BF39" s="8"/>
      <c r="BG39" s="8"/>
      <c r="BH39" s="8"/>
      <c r="BI39" s="8"/>
      <c r="BJ39" s="8"/>
      <c r="BK39" s="8"/>
      <c r="BL39" s="8"/>
      <c r="BM39" s="8"/>
      <c r="BN39" s="8"/>
      <c r="BO39" s="8"/>
      <c r="BP39" s="8"/>
      <c r="BQ39" s="8"/>
      <c r="BR39" s="8"/>
      <c r="BS39" s="8"/>
      <c r="BT39" s="8"/>
    </row>
    <row r="40" spans="1:72" ht="151.5" customHeight="1" x14ac:dyDescent="0.3">
      <c r="A40" s="279"/>
      <c r="B40" s="125"/>
      <c r="C40" s="282"/>
      <c r="D40" s="128"/>
      <c r="E40" s="282"/>
      <c r="F40" s="282"/>
      <c r="G40" s="285"/>
      <c r="H40" s="141"/>
      <c r="I40" s="282"/>
      <c r="J40" s="288"/>
      <c r="K40" s="291"/>
      <c r="L40" s="273"/>
      <c r="M40" s="294"/>
      <c r="N40" s="273">
        <f>IF(NOT(ISERROR(MATCH(M40,_xlfn.ANCHORARRAY(G51),0))),L53&amp;"Por favor no seleccionar los criterios de impacto",M40)</f>
        <v>0</v>
      </c>
      <c r="O40" s="291"/>
      <c r="P40" s="273"/>
      <c r="Q40" s="276"/>
      <c r="R40" s="164"/>
      <c r="S40" s="164" t="str">
        <f t="shared" si="1"/>
        <v/>
      </c>
      <c r="T40" s="164"/>
      <c r="U40" s="164" t="str">
        <f t="shared" si="17"/>
        <v/>
      </c>
      <c r="V40" s="164" t="str">
        <f t="shared" si="3"/>
        <v/>
      </c>
      <c r="W40" s="164" t="str">
        <f t="shared" si="4"/>
        <v/>
      </c>
      <c r="X40" s="6">
        <v>5</v>
      </c>
      <c r="Y40" s="176"/>
      <c r="Z40" s="165" t="str">
        <f t="shared" si="48"/>
        <v/>
      </c>
      <c r="AA40" s="166"/>
      <c r="AB40" s="166"/>
      <c r="AC40" s="167" t="str">
        <f t="shared" si="45"/>
        <v/>
      </c>
      <c r="AD40" s="166"/>
      <c r="AE40" s="166"/>
      <c r="AF40" s="166"/>
      <c r="AG40" s="168" t="str">
        <f t="shared" si="49"/>
        <v/>
      </c>
      <c r="AH40" s="169" t="str">
        <f t="shared" si="6"/>
        <v/>
      </c>
      <c r="AI40" s="170" t="str">
        <f t="shared" si="46"/>
        <v/>
      </c>
      <c r="AJ40" s="169" t="str">
        <f t="shared" si="8"/>
        <v/>
      </c>
      <c r="AK40" s="170" t="str">
        <f t="shared" si="50"/>
        <v/>
      </c>
      <c r="AL40" s="171" t="str">
        <f t="shared" ref="AL40:AL41" si="51">IFERROR(IF(OR(AND(AH40="Muy Baja",AJ40="Leve"),AND(AH40="Muy Baja",AJ40="Menor"),AND(AH40="Baja",AJ40="Leve")),"Bajo",IF(OR(AND(AH40="Muy baja",AJ40="Moderado"),AND(AH40="Baja",AJ40="Menor"),AND(AH40="Baja",AJ40="Moderado"),AND(AH40="Media",AJ40="Leve"),AND(AH40="Media",AJ40="Menor"),AND(AH40="Media",AJ40="Moderado"),AND(AH40="Alta",AJ40="Leve"),AND(AH40="Alta",AJ40="Menor")),"Moderado",IF(OR(AND(AH40="Muy Baja",AJ40="Mayor"),AND(AH40="Baja",AJ40="Mayor"),AND(AH40="Media",AJ40="Mayor"),AND(AH40="Alta",AJ40="Moderado"),AND(AH40="Alta",AJ40="Mayor"),AND(AH40="Muy Alta",AJ40="Leve"),AND(AH40="Muy Alta",AJ40="Menor"),AND(AH40="Muy Alta",AJ40="Moderado"),AND(AH40="Muy Alta",AJ40="Mayor")),"Alto",IF(OR(AND(AH40="Muy Baja",AJ40="Catastrófico"),AND(AH40="Baja",AJ40="Catastrófico"),AND(AH40="Media",AJ40="Catastrófico"),AND(AH40="Alta",AJ40="Catastrófico"),AND(AH40="Muy Alta",AJ40="Catastrófico")),"Extremo","")))),"")</f>
        <v/>
      </c>
      <c r="AM40" s="172"/>
      <c r="AN40" s="120"/>
      <c r="AO40" s="120"/>
      <c r="AP40" s="120"/>
      <c r="AQ40" s="120"/>
      <c r="AR40" s="120"/>
      <c r="AS40" s="120"/>
      <c r="AT40" s="121"/>
      <c r="AU40" s="122"/>
      <c r="AV40" s="123"/>
      <c r="AW40" s="123"/>
      <c r="AX40" s="148"/>
      <c r="AY40" s="122"/>
      <c r="AZ40" s="175"/>
      <c r="BA40" s="175"/>
      <c r="BB40" s="175"/>
      <c r="BC40" s="175"/>
      <c r="BD40" s="175"/>
      <c r="BE40" s="8"/>
      <c r="BF40" s="8"/>
      <c r="BG40" s="8"/>
      <c r="BH40" s="8"/>
      <c r="BI40" s="8"/>
      <c r="BJ40" s="8"/>
      <c r="BK40" s="8"/>
      <c r="BL40" s="8"/>
      <c r="BM40" s="8"/>
      <c r="BN40" s="8"/>
      <c r="BO40" s="8"/>
      <c r="BP40" s="8"/>
      <c r="BQ40" s="8"/>
      <c r="BR40" s="8"/>
      <c r="BS40" s="8"/>
      <c r="BT40" s="8"/>
    </row>
    <row r="41" spans="1:72" ht="151.5" customHeight="1" x14ac:dyDescent="0.3">
      <c r="A41" s="280"/>
      <c r="B41" s="126"/>
      <c r="C41" s="283"/>
      <c r="D41" s="129"/>
      <c r="E41" s="283"/>
      <c r="F41" s="283"/>
      <c r="G41" s="286"/>
      <c r="H41" s="152"/>
      <c r="I41" s="283"/>
      <c r="J41" s="289"/>
      <c r="K41" s="292"/>
      <c r="L41" s="274"/>
      <c r="M41" s="295"/>
      <c r="N41" s="274">
        <f>IF(NOT(ISERROR(MATCH(M41,_xlfn.ANCHORARRAY(G52),0))),L54&amp;"Por favor no seleccionar los criterios de impacto",M41)</f>
        <v>0</v>
      </c>
      <c r="O41" s="292"/>
      <c r="P41" s="274"/>
      <c r="Q41" s="277"/>
      <c r="R41" s="164"/>
      <c r="S41" s="164" t="str">
        <f t="shared" si="1"/>
        <v/>
      </c>
      <c r="T41" s="164"/>
      <c r="U41" s="164" t="str">
        <f t="shared" si="17"/>
        <v/>
      </c>
      <c r="V41" s="164" t="str">
        <f t="shared" si="3"/>
        <v/>
      </c>
      <c r="W41" s="164" t="str">
        <f t="shared" si="4"/>
        <v/>
      </c>
      <c r="X41" s="6">
        <v>6</v>
      </c>
      <c r="Y41" s="176"/>
      <c r="Z41" s="165" t="str">
        <f t="shared" si="48"/>
        <v/>
      </c>
      <c r="AA41" s="166"/>
      <c r="AB41" s="166"/>
      <c r="AC41" s="167" t="str">
        <f t="shared" si="45"/>
        <v/>
      </c>
      <c r="AD41" s="166"/>
      <c r="AE41" s="166"/>
      <c r="AF41" s="166"/>
      <c r="AG41" s="168" t="str">
        <f t="shared" si="49"/>
        <v/>
      </c>
      <c r="AH41" s="169" t="str">
        <f t="shared" si="6"/>
        <v/>
      </c>
      <c r="AI41" s="170" t="str">
        <f t="shared" si="46"/>
        <v/>
      </c>
      <c r="AJ41" s="169" t="str">
        <f t="shared" si="8"/>
        <v/>
      </c>
      <c r="AK41" s="170" t="str">
        <f t="shared" si="50"/>
        <v/>
      </c>
      <c r="AL41" s="171" t="str">
        <f t="shared" si="51"/>
        <v/>
      </c>
      <c r="AM41" s="172"/>
      <c r="AN41" s="120"/>
      <c r="AO41" s="120"/>
      <c r="AP41" s="120"/>
      <c r="AQ41" s="120"/>
      <c r="AR41" s="120"/>
      <c r="AS41" s="120"/>
      <c r="AT41" s="121"/>
      <c r="AU41" s="122"/>
      <c r="AV41" s="123"/>
      <c r="AW41" s="123"/>
      <c r="AX41" s="148"/>
      <c r="AY41" s="122"/>
      <c r="AZ41" s="175"/>
      <c r="BA41" s="175"/>
      <c r="BB41" s="175"/>
      <c r="BC41" s="175"/>
      <c r="BD41" s="175"/>
      <c r="BE41" s="8"/>
      <c r="BF41" s="8"/>
      <c r="BG41" s="8"/>
      <c r="BH41" s="8"/>
      <c r="BI41" s="8"/>
      <c r="BJ41" s="8"/>
      <c r="BK41" s="8"/>
      <c r="BL41" s="8"/>
      <c r="BM41" s="8"/>
      <c r="BN41" s="8"/>
      <c r="BO41" s="8"/>
      <c r="BP41" s="8"/>
      <c r="BQ41" s="8"/>
      <c r="BR41" s="8"/>
      <c r="BS41" s="8"/>
      <c r="BT41" s="8"/>
    </row>
    <row r="42" spans="1:72" ht="151.5" customHeight="1" x14ac:dyDescent="0.3">
      <c r="A42" s="278">
        <v>10</v>
      </c>
      <c r="B42" s="124"/>
      <c r="C42" s="281"/>
      <c r="D42" s="127"/>
      <c r="E42" s="281"/>
      <c r="F42" s="281"/>
      <c r="G42" s="284"/>
      <c r="H42" s="153"/>
      <c r="I42" s="281"/>
      <c r="J42" s="287"/>
      <c r="K42" s="290" t="str">
        <f>IF(J42&lt;=0,"",IF(J42&lt;=2,"Muy Baja",IF(J42&lt;=24,"Baja",IF(J42&lt;=500,"Media",IF(J42&lt;=5000,"Alta","Muy Alta")))))</f>
        <v/>
      </c>
      <c r="L42" s="272" t="str">
        <f>IF(K42="","",IF(K42="Muy Baja",0.2,IF(K42="Baja",0.4,IF(K42="Media",0.6,IF(K42="Alta",0.8,IF(K42="Muy Alta",1,))))))</f>
        <v/>
      </c>
      <c r="M42" s="293"/>
      <c r="N42" s="272">
        <f>IF(NOT(ISERROR(MATCH(M42,'Tabla Impacto'!$B$221:$B$223,0))),'Tabla Impacto'!$F$223&amp;"Por favor no seleccionar los criterios de impacto(Afectación Económica o presupuestal y Pérdida Reputacional)",M42)</f>
        <v>0</v>
      </c>
      <c r="O42" s="290" t="str">
        <f>IF(OR(N42='Tabla Impacto'!$C$11,N42='Tabla Impacto'!$D$11),"Leve",IF(OR(N42='Tabla Impacto'!$C$12,N42='Tabla Impacto'!$D$12),"Menor",IF(OR(N42='Tabla Impacto'!$C$13,N42='Tabla Impacto'!$D$13),"Moderado",IF(OR(N42='Tabla Impacto'!$C$14,N42='Tabla Impacto'!$D$14),"Mayor",IF(OR(N42='Tabla Impacto'!$C$15,N42='Tabla Impacto'!$D$15),"Catastrófico","")))))</f>
        <v/>
      </c>
      <c r="P42" s="272" t="str">
        <f>IF(O42="","",IF(O42="Leve",0.2,IF(O42="Menor",0.4,IF(O42="Moderado",0.6,IF(O42="Mayor",0.8,IF(O42="Catastrófico",1,))))))</f>
        <v/>
      </c>
      <c r="Q42" s="275" t="str">
        <f>IF(OR(AND(K42="Muy Baja",O42="Leve"),AND(K42="Muy Baja",O42="Menor"),AND(K42="Baja",O42="Leve")),"Bajo",IF(OR(AND(K42="Muy baja",O42="Moderado"),AND(K42="Baja",O42="Menor"),AND(K42="Baja",O42="Moderado"),AND(K42="Media",O42="Leve"),AND(K42="Media",O42="Menor"),AND(K42="Media",O42="Moderado"),AND(K42="Alta",O42="Leve"),AND(K42="Alta",O42="Menor")),"Moderado",IF(OR(AND(K42="Muy Baja",O42="Mayor"),AND(K42="Baja",O42="Mayor"),AND(K42="Media",O42="Mayor"),AND(K42="Alta",O42="Moderado"),AND(K42="Alta",O42="Mayor"),AND(K42="Muy Alta",O42="Leve"),AND(K42="Muy Alta",O42="Menor"),AND(K42="Muy Alta",O42="Moderado"),AND(K42="Muy Alta",O42="Mayor")),"Alto",IF(OR(AND(K42="Muy Baja",O42="Catastrófico"),AND(K42="Baja",O42="Catastrófico"),AND(K42="Media",O42="Catastrófico"),AND(K42="Alta",O42="Catastrófico"),AND(K42="Muy Alta",O42="Catastrófico")),"Extremo",""))))</f>
        <v/>
      </c>
      <c r="R42" s="164"/>
      <c r="S42" s="164" t="str">
        <f t="shared" si="1"/>
        <v/>
      </c>
      <c r="T42" s="164"/>
      <c r="U42" s="164" t="str">
        <f t="shared" si="17"/>
        <v/>
      </c>
      <c r="V42" s="164" t="str">
        <f t="shared" si="3"/>
        <v/>
      </c>
      <c r="W42" s="164" t="str">
        <f t="shared" si="4"/>
        <v/>
      </c>
      <c r="X42" s="6">
        <v>1</v>
      </c>
      <c r="Y42" s="176"/>
      <c r="Z42" s="165" t="str">
        <f>IF(OR(AA42="Preventivo",AA42="Detectivo"),"Probabilidad",IF(AA42="Correctivo","Impacto",""))</f>
        <v/>
      </c>
      <c r="AA42" s="166"/>
      <c r="AB42" s="166"/>
      <c r="AC42" s="167" t="str">
        <f>IF(AND(AA42="Preventivo",AB42="Automático"),"50%",IF(AND(AA42="Preventivo",AB42="Manual"),"40%",IF(AND(AA42="Detectivo",AB42="Automático"),"40%",IF(AND(AA42="Detectivo",AB42="Manual"),"30%",IF(AND(AA42="Correctivo",AB42="Automático"),"35%",IF(AND(AA42="Correctivo",AB42="Manual"),"25%",""))))))</f>
        <v/>
      </c>
      <c r="AD42" s="166"/>
      <c r="AE42" s="166"/>
      <c r="AF42" s="166"/>
      <c r="AG42" s="168" t="str">
        <f>IFERROR(IF(Z42="Probabilidad",(R42-(+R42*AC42)),IF(Z42="Impacto",R42,"")),"")</f>
        <v/>
      </c>
      <c r="AH42" s="169" t="str">
        <f>IFERROR(IF(AG42="","",IF(AG42&lt;=0.2,"Muy Baja",IF(AG42&lt;=0.4,"Baja",IF(AG42&lt;=0.6,"Media",IF(AG42&lt;=0.8,"Alta","Muy Alta"))))),"")</f>
        <v/>
      </c>
      <c r="AI42" s="170" t="str">
        <f>+AG42</f>
        <v/>
      </c>
      <c r="AJ42" s="169" t="str">
        <f>IFERROR(IF(AK42="","",IF(AK42&lt;=0.2,"Leve",IF(AK42&lt;=0.4,"Menor",IF(AK42&lt;=0.6,"Moderado",IF(AK42&lt;=0.8,"Mayor","Catastrófico"))))),"")</f>
        <v/>
      </c>
      <c r="AK42" s="170" t="str">
        <f>IFERROR(IF(Z42="Impacto",(V42-(+V42*AC42)),IF(Z42="Probabilidad",V42,"")),"")</f>
        <v/>
      </c>
      <c r="AL42" s="171" t="str">
        <f>IFERROR(IF(OR(AND(AH42="Muy Baja",AJ42="Leve"),AND(AH42="Muy Baja",AJ42="Menor"),AND(AH42="Baja",AJ42="Leve")),"Bajo",IF(OR(AND(AH42="Muy baja",AJ42="Moderado"),AND(AH42="Baja",AJ42="Menor"),AND(AH42="Baja",AJ42="Moderado"),AND(AH42="Media",AJ42="Leve"),AND(AH42="Media",AJ42="Menor"),AND(AH42="Media",AJ42="Moderado"),AND(AH42="Alta",AJ42="Leve"),AND(AH42="Alta",AJ42="Menor")),"Moderado",IF(OR(AND(AH42="Muy Baja",AJ42="Mayor"),AND(AH42="Baja",AJ42="Mayor"),AND(AH42="Media",AJ42="Mayor"),AND(AH42="Alta",AJ42="Moderado"),AND(AH42="Alta",AJ42="Mayor"),AND(AH42="Muy Alta",AJ42="Leve"),AND(AH42="Muy Alta",AJ42="Menor"),AND(AH42="Muy Alta",AJ42="Moderado"),AND(AH42="Muy Alta",AJ42="Mayor")),"Alto",IF(OR(AND(AH42="Muy Baja",AJ42="Catastrófico"),AND(AH42="Baja",AJ42="Catastrófico"),AND(AH42="Media",AJ42="Catastrófico"),AND(AH42="Alta",AJ42="Catastrófico"),AND(AH42="Muy Alta",AJ42="Catastrófico")),"Extremo","")))),"")</f>
        <v/>
      </c>
      <c r="AM42" s="172"/>
      <c r="AN42" s="120"/>
      <c r="AO42" s="120"/>
      <c r="AP42" s="120"/>
      <c r="AQ42" s="120"/>
      <c r="AR42" s="120"/>
      <c r="AS42" s="120"/>
      <c r="AT42" s="121"/>
      <c r="AU42" s="122"/>
      <c r="AV42" s="123"/>
      <c r="AW42" s="123"/>
      <c r="AX42" s="148"/>
      <c r="AY42" s="122"/>
      <c r="AZ42" s="175"/>
      <c r="BA42" s="175"/>
      <c r="BB42" s="175"/>
      <c r="BC42" s="175"/>
      <c r="BD42" s="175"/>
      <c r="BE42" s="8"/>
      <c r="BF42" s="8"/>
      <c r="BG42" s="8"/>
      <c r="BH42" s="8"/>
      <c r="BI42" s="8"/>
      <c r="BJ42" s="8"/>
      <c r="BK42" s="8"/>
      <c r="BL42" s="8"/>
      <c r="BM42" s="8"/>
      <c r="BN42" s="8"/>
      <c r="BO42" s="8"/>
      <c r="BP42" s="8"/>
      <c r="BQ42" s="8"/>
      <c r="BR42" s="8"/>
      <c r="BS42" s="8"/>
      <c r="BT42" s="8"/>
    </row>
    <row r="43" spans="1:72" ht="151.5" customHeight="1" x14ac:dyDescent="0.3">
      <c r="A43" s="279"/>
      <c r="B43" s="125"/>
      <c r="C43" s="282"/>
      <c r="D43" s="128"/>
      <c r="E43" s="282"/>
      <c r="F43" s="282"/>
      <c r="G43" s="285"/>
      <c r="H43" s="153"/>
      <c r="I43" s="282"/>
      <c r="J43" s="288"/>
      <c r="K43" s="291"/>
      <c r="L43" s="273"/>
      <c r="M43" s="294"/>
      <c r="N43" s="273">
        <f>IF(NOT(ISERROR(MATCH(M43,_xlfn.ANCHORARRAY(G54),0))),L56&amp;"Por favor no seleccionar los criterios de impacto",M43)</f>
        <v>0</v>
      </c>
      <c r="O43" s="291"/>
      <c r="P43" s="273"/>
      <c r="Q43" s="276"/>
      <c r="R43" s="164"/>
      <c r="S43" s="164" t="str">
        <f t="shared" si="1"/>
        <v/>
      </c>
      <c r="T43" s="164"/>
      <c r="U43" s="164" t="str">
        <f t="shared" si="17"/>
        <v/>
      </c>
      <c r="V43" s="164" t="str">
        <f t="shared" si="3"/>
        <v/>
      </c>
      <c r="W43" s="164" t="str">
        <f t="shared" si="4"/>
        <v/>
      </c>
      <c r="X43" s="6">
        <v>2</v>
      </c>
      <c r="Y43" s="176"/>
      <c r="Z43" s="165" t="str">
        <f>IF(OR(AA43="Preventivo",AA43="Detectivo"),"Probabilidad",IF(AA43="Correctivo","Impacto",""))</f>
        <v/>
      </c>
      <c r="AA43" s="166"/>
      <c r="AB43" s="166"/>
      <c r="AC43" s="167" t="str">
        <f t="shared" ref="AC43:AC47" si="52">IF(AND(AA43="Preventivo",AB43="Automático"),"50%",IF(AND(AA43="Preventivo",AB43="Manual"),"40%",IF(AND(AA43="Detectivo",AB43="Automático"),"40%",IF(AND(AA43="Detectivo",AB43="Manual"),"30%",IF(AND(AA43="Correctivo",AB43="Automático"),"35%",IF(AND(AA43="Correctivo",AB43="Manual"),"25%",""))))))</f>
        <v/>
      </c>
      <c r="AD43" s="166"/>
      <c r="AE43" s="166"/>
      <c r="AF43" s="166"/>
      <c r="AG43" s="168" t="str">
        <f>IFERROR(IF(AND(Z42="Probabilidad",Z43="Probabilidad"),(AI42-(+AI42*AC43)),IF(Z43="Probabilidad",(R42-(+R42*AC43)),IF(Z43="Impacto",AI42,""))),"")</f>
        <v/>
      </c>
      <c r="AH43" s="169" t="str">
        <f t="shared" si="6"/>
        <v/>
      </c>
      <c r="AI43" s="170" t="str">
        <f t="shared" ref="AI43:AI47" si="53">+AG43</f>
        <v/>
      </c>
      <c r="AJ43" s="169" t="str">
        <f t="shared" si="8"/>
        <v/>
      </c>
      <c r="AK43" s="170" t="str">
        <f>IFERROR(IF(AND(Z42="Impacto",Z43="Impacto"),(AK42-(+AK42*AC43)),IF(Z43="Impacto",(V42-(+V42*AC43)),IF(Z43="Probabilidad",AK42,""))),"")</f>
        <v/>
      </c>
      <c r="AL43" s="171" t="str">
        <f t="shared" ref="AL43:AL44" si="54">IFERROR(IF(OR(AND(AH43="Muy Baja",AJ43="Leve"),AND(AH43="Muy Baja",AJ43="Menor"),AND(AH43="Baja",AJ43="Leve")),"Bajo",IF(OR(AND(AH43="Muy baja",AJ43="Moderado"),AND(AH43="Baja",AJ43="Menor"),AND(AH43="Baja",AJ43="Moderado"),AND(AH43="Media",AJ43="Leve"),AND(AH43="Media",AJ43="Menor"),AND(AH43="Media",AJ43="Moderado"),AND(AH43="Alta",AJ43="Leve"),AND(AH43="Alta",AJ43="Menor")),"Moderado",IF(OR(AND(AH43="Muy Baja",AJ43="Mayor"),AND(AH43="Baja",AJ43="Mayor"),AND(AH43="Media",AJ43="Mayor"),AND(AH43="Alta",AJ43="Moderado"),AND(AH43="Alta",AJ43="Mayor"),AND(AH43="Muy Alta",AJ43="Leve"),AND(AH43="Muy Alta",AJ43="Menor"),AND(AH43="Muy Alta",AJ43="Moderado"),AND(AH43="Muy Alta",AJ43="Mayor")),"Alto",IF(OR(AND(AH43="Muy Baja",AJ43="Catastrófico"),AND(AH43="Baja",AJ43="Catastrófico"),AND(AH43="Media",AJ43="Catastrófico"),AND(AH43="Alta",AJ43="Catastrófico"),AND(AH43="Muy Alta",AJ43="Catastrófico")),"Extremo","")))),"")</f>
        <v/>
      </c>
      <c r="AM43" s="172"/>
      <c r="AN43" s="120"/>
      <c r="AO43" s="120"/>
      <c r="AP43" s="120"/>
      <c r="AQ43" s="120"/>
      <c r="AR43" s="120"/>
      <c r="AS43" s="120"/>
      <c r="AT43" s="121"/>
      <c r="AU43" s="122"/>
      <c r="AV43" s="123"/>
      <c r="AW43" s="123"/>
      <c r="AX43" s="148"/>
      <c r="AY43" s="122"/>
    </row>
    <row r="44" spans="1:72" ht="151.5" customHeight="1" x14ac:dyDescent="0.3">
      <c r="A44" s="279"/>
      <c r="B44" s="125"/>
      <c r="C44" s="282"/>
      <c r="D44" s="128"/>
      <c r="E44" s="282"/>
      <c r="F44" s="282"/>
      <c r="G44" s="285"/>
      <c r="H44" s="153"/>
      <c r="I44" s="282"/>
      <c r="J44" s="288"/>
      <c r="K44" s="291"/>
      <c r="L44" s="273"/>
      <c r="M44" s="294"/>
      <c r="N44" s="273">
        <f>IF(NOT(ISERROR(MATCH(M44,_xlfn.ANCHORARRAY(G55),0))),L57&amp;"Por favor no seleccionar los criterios de impacto",M44)</f>
        <v>0</v>
      </c>
      <c r="O44" s="291"/>
      <c r="P44" s="273"/>
      <c r="Q44" s="276"/>
      <c r="R44" s="164"/>
      <c r="S44" s="164" t="str">
        <f t="shared" si="1"/>
        <v/>
      </c>
      <c r="T44" s="164"/>
      <c r="U44" s="164" t="str">
        <f t="shared" si="17"/>
        <v/>
      </c>
      <c r="V44" s="164" t="str">
        <f t="shared" si="3"/>
        <v/>
      </c>
      <c r="W44" s="164" t="str">
        <f t="shared" si="4"/>
        <v/>
      </c>
      <c r="X44" s="6">
        <v>3</v>
      </c>
      <c r="Y44" s="174"/>
      <c r="Z44" s="165" t="str">
        <f>IF(OR(AA44="Preventivo",AA44="Detectivo"),"Probabilidad",IF(AA44="Correctivo","Impacto",""))</f>
        <v/>
      </c>
      <c r="AA44" s="166"/>
      <c r="AB44" s="166"/>
      <c r="AC44" s="167" t="str">
        <f t="shared" si="52"/>
        <v/>
      </c>
      <c r="AD44" s="166"/>
      <c r="AE44" s="166"/>
      <c r="AF44" s="166"/>
      <c r="AG44" s="168" t="str">
        <f>IFERROR(IF(AND(Z43="Probabilidad",Z44="Probabilidad"),(AI43-(+AI43*AC44)),IF(AND(Z43="Impacto",Z44="Probabilidad"),(AI42-(+AI42*AC44)),IF(Z44="Impacto",AI43,""))),"")</f>
        <v/>
      </c>
      <c r="AH44" s="169" t="str">
        <f t="shared" si="6"/>
        <v/>
      </c>
      <c r="AI44" s="170" t="str">
        <f t="shared" si="53"/>
        <v/>
      </c>
      <c r="AJ44" s="169" t="str">
        <f t="shared" si="8"/>
        <v/>
      </c>
      <c r="AK44" s="170" t="str">
        <f>IFERROR(IF(AND(Z43="Impacto",Z44="Impacto"),(AK43-(+AK43*AC44)),IF(AND(Z43="Probabilidad",Z44="Impacto"),(AK42-(+AK42*AC44)),IF(Z44="Probabilidad",AK43,""))),"")</f>
        <v/>
      </c>
      <c r="AL44" s="171" t="str">
        <f t="shared" si="54"/>
        <v/>
      </c>
      <c r="AM44" s="172"/>
      <c r="AN44" s="120"/>
      <c r="AO44" s="120"/>
      <c r="AP44" s="120"/>
      <c r="AQ44" s="120"/>
      <c r="AR44" s="120"/>
      <c r="AS44" s="120"/>
      <c r="AT44" s="121"/>
      <c r="AU44" s="122"/>
      <c r="AV44" s="123"/>
      <c r="AW44" s="123"/>
      <c r="AX44" s="148"/>
      <c r="AY44" s="122"/>
    </row>
    <row r="45" spans="1:72" ht="151.5" customHeight="1" x14ac:dyDescent="0.3">
      <c r="A45" s="279"/>
      <c r="B45" s="125"/>
      <c r="C45" s="282"/>
      <c r="D45" s="128"/>
      <c r="E45" s="282"/>
      <c r="F45" s="282"/>
      <c r="G45" s="285"/>
      <c r="H45" s="153"/>
      <c r="I45" s="282"/>
      <c r="J45" s="288"/>
      <c r="K45" s="291"/>
      <c r="L45" s="273"/>
      <c r="M45" s="294"/>
      <c r="N45" s="273">
        <f>IF(NOT(ISERROR(MATCH(M45,_xlfn.ANCHORARRAY(G56),0))),L58&amp;"Por favor no seleccionar los criterios de impacto",M45)</f>
        <v>0</v>
      </c>
      <c r="O45" s="291"/>
      <c r="P45" s="273"/>
      <c r="Q45" s="276"/>
      <c r="R45" s="164"/>
      <c r="S45" s="164" t="str">
        <f t="shared" si="1"/>
        <v/>
      </c>
      <c r="T45" s="164"/>
      <c r="U45" s="164" t="str">
        <f t="shared" si="17"/>
        <v/>
      </c>
      <c r="V45" s="164" t="str">
        <f t="shared" si="3"/>
        <v/>
      </c>
      <c r="W45" s="164" t="str">
        <f t="shared" si="4"/>
        <v/>
      </c>
      <c r="X45" s="6">
        <v>4</v>
      </c>
      <c r="Y45" s="176"/>
      <c r="Z45" s="165" t="str">
        <f t="shared" ref="Z45:Z47" si="55">IF(OR(AA45="Preventivo",AA45="Detectivo"),"Probabilidad",IF(AA45="Correctivo","Impacto",""))</f>
        <v/>
      </c>
      <c r="AA45" s="166"/>
      <c r="AB45" s="166"/>
      <c r="AC45" s="167" t="str">
        <f t="shared" si="52"/>
        <v/>
      </c>
      <c r="AD45" s="166"/>
      <c r="AE45" s="166"/>
      <c r="AF45" s="166"/>
      <c r="AG45" s="168" t="str">
        <f t="shared" ref="AG45:AG47" si="56">IFERROR(IF(AND(Z44="Probabilidad",Z45="Probabilidad"),(AI44-(+AI44*AC45)),IF(AND(Z44="Impacto",Z45="Probabilidad"),(AI43-(+AI43*AC45)),IF(Z45="Impacto",AI44,""))),"")</f>
        <v/>
      </c>
      <c r="AH45" s="169" t="str">
        <f t="shared" si="6"/>
        <v/>
      </c>
      <c r="AI45" s="170" t="str">
        <f t="shared" si="53"/>
        <v/>
      </c>
      <c r="AJ45" s="169" t="str">
        <f t="shared" si="8"/>
        <v/>
      </c>
      <c r="AK45" s="170" t="str">
        <f t="shared" ref="AK45:AK47" si="57">IFERROR(IF(AND(Z44="Impacto",Z45="Impacto"),(AK44-(+AK44*AC45)),IF(AND(Z44="Probabilidad",Z45="Impacto"),(AK43-(+AK43*AC45)),IF(Z45="Probabilidad",AK44,""))),"")</f>
        <v/>
      </c>
      <c r="AL45" s="171" t="str">
        <f>IFERROR(IF(OR(AND(AH45="Muy Baja",AJ45="Leve"),AND(AH45="Muy Baja",AJ45="Menor"),AND(AH45="Baja",AJ45="Leve")),"Bajo",IF(OR(AND(AH45="Muy baja",AJ45="Moderado"),AND(AH45="Baja",AJ45="Menor"),AND(AH45="Baja",AJ45="Moderado"),AND(AH45="Media",AJ45="Leve"),AND(AH45="Media",AJ45="Menor"),AND(AH45="Media",AJ45="Moderado"),AND(AH45="Alta",AJ45="Leve"),AND(AH45="Alta",AJ45="Menor")),"Moderado",IF(OR(AND(AH45="Muy Baja",AJ45="Mayor"),AND(AH45="Baja",AJ45="Mayor"),AND(AH45="Media",AJ45="Mayor"),AND(AH45="Alta",AJ45="Moderado"),AND(AH45="Alta",AJ45="Mayor"),AND(AH45="Muy Alta",AJ45="Leve"),AND(AH45="Muy Alta",AJ45="Menor"),AND(AH45="Muy Alta",AJ45="Moderado"),AND(AH45="Muy Alta",AJ45="Mayor")),"Alto",IF(OR(AND(AH45="Muy Baja",AJ45="Catastrófico"),AND(AH45="Baja",AJ45="Catastrófico"),AND(AH45="Media",AJ45="Catastrófico"),AND(AH45="Alta",AJ45="Catastrófico"),AND(AH45="Muy Alta",AJ45="Catastrófico")),"Extremo","")))),"")</f>
        <v/>
      </c>
      <c r="AM45" s="172"/>
      <c r="AN45" s="120"/>
      <c r="AO45" s="120"/>
      <c r="AP45" s="120"/>
      <c r="AQ45" s="120"/>
      <c r="AR45" s="120"/>
      <c r="AS45" s="120"/>
      <c r="AT45" s="121"/>
      <c r="AU45" s="122"/>
      <c r="AV45" s="123"/>
      <c r="AW45" s="123"/>
      <c r="AX45" s="148"/>
      <c r="AY45" s="122"/>
    </row>
    <row r="46" spans="1:72" ht="151.5" customHeight="1" x14ac:dyDescent="0.3">
      <c r="A46" s="279"/>
      <c r="B46" s="125"/>
      <c r="C46" s="282"/>
      <c r="D46" s="128"/>
      <c r="E46" s="282"/>
      <c r="F46" s="282"/>
      <c r="G46" s="285"/>
      <c r="H46" s="141"/>
      <c r="I46" s="282"/>
      <c r="J46" s="288"/>
      <c r="K46" s="291"/>
      <c r="L46" s="273"/>
      <c r="M46" s="294"/>
      <c r="N46" s="273">
        <f>IF(NOT(ISERROR(MATCH(M46,_xlfn.ANCHORARRAY(G57),0))),L59&amp;"Por favor no seleccionar los criterios de impacto",M46)</f>
        <v>0</v>
      </c>
      <c r="O46" s="291"/>
      <c r="P46" s="273"/>
      <c r="Q46" s="276"/>
      <c r="R46" s="164"/>
      <c r="S46" s="164" t="str">
        <f t="shared" si="1"/>
        <v/>
      </c>
      <c r="T46" s="164"/>
      <c r="U46" s="164" t="str">
        <f t="shared" si="17"/>
        <v/>
      </c>
      <c r="V46" s="164" t="str">
        <f t="shared" si="3"/>
        <v/>
      </c>
      <c r="W46" s="164" t="str">
        <f t="shared" si="4"/>
        <v/>
      </c>
      <c r="X46" s="6">
        <v>5</v>
      </c>
      <c r="Y46" s="176"/>
      <c r="Z46" s="165" t="str">
        <f t="shared" si="55"/>
        <v/>
      </c>
      <c r="AA46" s="166"/>
      <c r="AB46" s="166"/>
      <c r="AC46" s="167" t="str">
        <f t="shared" si="52"/>
        <v/>
      </c>
      <c r="AD46" s="166"/>
      <c r="AE46" s="166"/>
      <c r="AF46" s="166"/>
      <c r="AG46" s="168" t="str">
        <f t="shared" si="56"/>
        <v/>
      </c>
      <c r="AH46" s="169" t="str">
        <f t="shared" si="6"/>
        <v/>
      </c>
      <c r="AI46" s="170" t="str">
        <f t="shared" si="53"/>
        <v/>
      </c>
      <c r="AJ46" s="169" t="str">
        <f t="shared" si="8"/>
        <v/>
      </c>
      <c r="AK46" s="170" t="str">
        <f t="shared" si="57"/>
        <v/>
      </c>
      <c r="AL46" s="171" t="str">
        <f t="shared" ref="AL46:AL47" si="58">IFERROR(IF(OR(AND(AH46="Muy Baja",AJ46="Leve"),AND(AH46="Muy Baja",AJ46="Menor"),AND(AH46="Baja",AJ46="Leve")),"Bajo",IF(OR(AND(AH46="Muy baja",AJ46="Moderado"),AND(AH46="Baja",AJ46="Menor"),AND(AH46="Baja",AJ46="Moderado"),AND(AH46="Media",AJ46="Leve"),AND(AH46="Media",AJ46="Menor"),AND(AH46="Media",AJ46="Moderado"),AND(AH46="Alta",AJ46="Leve"),AND(AH46="Alta",AJ46="Menor")),"Moderado",IF(OR(AND(AH46="Muy Baja",AJ46="Mayor"),AND(AH46="Baja",AJ46="Mayor"),AND(AH46="Media",AJ46="Mayor"),AND(AH46="Alta",AJ46="Moderado"),AND(AH46="Alta",AJ46="Mayor"),AND(AH46="Muy Alta",AJ46="Leve"),AND(AH46="Muy Alta",AJ46="Menor"),AND(AH46="Muy Alta",AJ46="Moderado"),AND(AH46="Muy Alta",AJ46="Mayor")),"Alto",IF(OR(AND(AH46="Muy Baja",AJ46="Catastrófico"),AND(AH46="Baja",AJ46="Catastrófico"),AND(AH46="Media",AJ46="Catastrófico"),AND(AH46="Alta",AJ46="Catastrófico"),AND(AH46="Muy Alta",AJ46="Catastrófico")),"Extremo","")))),"")</f>
        <v/>
      </c>
      <c r="AM46" s="172"/>
      <c r="AN46" s="120"/>
      <c r="AO46" s="120"/>
      <c r="AP46" s="120"/>
      <c r="AQ46" s="120"/>
      <c r="AR46" s="120"/>
      <c r="AS46" s="120"/>
      <c r="AT46" s="121"/>
      <c r="AU46" s="122"/>
      <c r="AV46" s="123"/>
      <c r="AW46" s="123"/>
      <c r="AX46" s="148"/>
      <c r="AY46" s="122"/>
    </row>
    <row r="47" spans="1:72" ht="151.5" customHeight="1" x14ac:dyDescent="0.3">
      <c r="A47" s="280"/>
      <c r="B47" s="126"/>
      <c r="C47" s="283"/>
      <c r="D47" s="129"/>
      <c r="E47" s="283"/>
      <c r="F47" s="283"/>
      <c r="G47" s="286"/>
      <c r="H47" s="152"/>
      <c r="I47" s="283"/>
      <c r="J47" s="289"/>
      <c r="K47" s="292"/>
      <c r="L47" s="274"/>
      <c r="M47" s="295"/>
      <c r="N47" s="274">
        <f>IF(NOT(ISERROR(MATCH(M47,_xlfn.ANCHORARRAY(G58),0))),L60&amp;"Por favor no seleccionar los criterios de impacto",M47)</f>
        <v>0</v>
      </c>
      <c r="O47" s="292"/>
      <c r="P47" s="274"/>
      <c r="Q47" s="277"/>
      <c r="R47" s="164"/>
      <c r="S47" s="164" t="str">
        <f t="shared" si="1"/>
        <v/>
      </c>
      <c r="T47" s="164"/>
      <c r="U47" s="164" t="str">
        <f t="shared" si="17"/>
        <v/>
      </c>
      <c r="V47" s="164" t="str">
        <f t="shared" si="3"/>
        <v/>
      </c>
      <c r="W47" s="164" t="str">
        <f t="shared" si="4"/>
        <v/>
      </c>
      <c r="X47" s="6">
        <v>6</v>
      </c>
      <c r="Y47" s="176"/>
      <c r="Z47" s="165" t="str">
        <f t="shared" si="55"/>
        <v/>
      </c>
      <c r="AA47" s="166"/>
      <c r="AB47" s="166"/>
      <c r="AC47" s="167" t="str">
        <f t="shared" si="52"/>
        <v/>
      </c>
      <c r="AD47" s="166"/>
      <c r="AE47" s="166"/>
      <c r="AF47" s="166"/>
      <c r="AG47" s="168" t="str">
        <f t="shared" si="56"/>
        <v/>
      </c>
      <c r="AH47" s="169" t="str">
        <f t="shared" si="6"/>
        <v/>
      </c>
      <c r="AI47" s="170" t="str">
        <f t="shared" si="53"/>
        <v/>
      </c>
      <c r="AJ47" s="169" t="str">
        <f t="shared" si="8"/>
        <v/>
      </c>
      <c r="AK47" s="170" t="str">
        <f t="shared" si="57"/>
        <v/>
      </c>
      <c r="AL47" s="171" t="str">
        <f t="shared" si="58"/>
        <v/>
      </c>
      <c r="AM47" s="172"/>
      <c r="AN47" s="120"/>
      <c r="AO47" s="120"/>
      <c r="AP47" s="120"/>
      <c r="AQ47" s="120"/>
      <c r="AR47" s="120"/>
      <c r="AS47" s="120"/>
      <c r="AT47" s="121"/>
      <c r="AU47" s="122"/>
      <c r="AV47" s="123"/>
      <c r="AW47" s="123"/>
      <c r="AX47" s="148"/>
      <c r="AY47" s="122"/>
    </row>
    <row r="48" spans="1:72" ht="49.5" customHeight="1" x14ac:dyDescent="0.3">
      <c r="A48" s="6"/>
      <c r="B48" s="134"/>
      <c r="C48" s="269" t="s">
        <v>131</v>
      </c>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0"/>
      <c r="AM48" s="270"/>
      <c r="AN48" s="271"/>
      <c r="AO48" s="120"/>
      <c r="AP48" s="120"/>
      <c r="AQ48" s="120"/>
      <c r="AR48" s="120"/>
      <c r="AS48" s="120"/>
      <c r="AT48" s="2"/>
      <c r="AU48" s="2"/>
      <c r="AV48" s="2"/>
      <c r="AW48" s="2"/>
      <c r="AX48" s="2"/>
      <c r="AY48" s="2"/>
    </row>
    <row r="49" spans="1:45" x14ac:dyDescent="0.3">
      <c r="H49" s="153"/>
      <c r="R49" s="164"/>
      <c r="S49" s="164" t="str">
        <f t="shared" si="1"/>
        <v/>
      </c>
      <c r="T49" s="164"/>
      <c r="U49" s="164" t="str">
        <f t="shared" si="17"/>
        <v/>
      </c>
      <c r="V49" s="164" t="str">
        <f t="shared" si="3"/>
        <v/>
      </c>
      <c r="W49" s="164" t="str">
        <f t="shared" si="4"/>
        <v/>
      </c>
      <c r="AN49" s="120"/>
      <c r="AO49" s="120"/>
      <c r="AP49" s="120"/>
      <c r="AQ49" s="120"/>
      <c r="AR49" s="120"/>
      <c r="AS49" s="120"/>
    </row>
    <row r="50" spans="1:45" x14ac:dyDescent="0.3">
      <c r="A50" s="1"/>
      <c r="B50" s="1"/>
      <c r="C50" s="24" t="s">
        <v>142</v>
      </c>
      <c r="D50" s="24"/>
      <c r="E50" s="1"/>
      <c r="F50" s="1"/>
      <c r="H50" s="153"/>
      <c r="I50" s="1"/>
      <c r="R50" s="164"/>
      <c r="S50" s="164" t="str">
        <f t="shared" si="1"/>
        <v/>
      </c>
      <c r="T50" s="164"/>
      <c r="U50" s="164" t="str">
        <f t="shared" si="17"/>
        <v/>
      </c>
      <c r="V50" s="164" t="str">
        <f t="shared" si="3"/>
        <v/>
      </c>
      <c r="W50" s="164" t="str">
        <f t="shared" si="4"/>
        <v/>
      </c>
      <c r="AN50" s="120"/>
      <c r="AO50" s="120"/>
      <c r="AP50" s="120"/>
      <c r="AQ50" s="120"/>
      <c r="AR50" s="120"/>
      <c r="AS50" s="120"/>
    </row>
    <row r="51" spans="1:45" x14ac:dyDescent="0.3">
      <c r="H51" s="153"/>
      <c r="R51" s="164"/>
      <c r="S51" s="164" t="str">
        <f t="shared" si="1"/>
        <v/>
      </c>
      <c r="T51" s="164"/>
      <c r="U51" s="164" t="str">
        <f t="shared" si="17"/>
        <v/>
      </c>
      <c r="V51" s="164" t="str">
        <f t="shared" si="3"/>
        <v/>
      </c>
      <c r="W51" s="164" t="str">
        <f t="shared" si="4"/>
        <v/>
      </c>
      <c r="AN51" s="120"/>
      <c r="AO51" s="120"/>
      <c r="AP51" s="120"/>
      <c r="AQ51" s="120"/>
      <c r="AR51" s="120"/>
      <c r="AS51" s="120"/>
    </row>
    <row r="52" spans="1:45" x14ac:dyDescent="0.3">
      <c r="H52" s="141"/>
      <c r="R52" s="164"/>
      <c r="S52" s="164" t="str">
        <f t="shared" si="1"/>
        <v/>
      </c>
      <c r="T52" s="164"/>
      <c r="U52" s="164" t="str">
        <f t="shared" si="17"/>
        <v/>
      </c>
      <c r="V52" s="164" t="str">
        <f t="shared" si="3"/>
        <v/>
      </c>
      <c r="W52" s="164" t="str">
        <f t="shared" si="4"/>
        <v/>
      </c>
      <c r="AN52" s="120"/>
      <c r="AO52" s="120"/>
      <c r="AP52" s="120"/>
      <c r="AQ52" s="120"/>
      <c r="AR52" s="120"/>
      <c r="AS52" s="120"/>
    </row>
    <row r="53" spans="1:45" x14ac:dyDescent="0.3">
      <c r="H53" s="152"/>
      <c r="R53" s="164"/>
      <c r="S53" s="164" t="str">
        <f t="shared" si="1"/>
        <v/>
      </c>
      <c r="T53" s="164"/>
      <c r="U53" s="164" t="str">
        <f t="shared" si="17"/>
        <v/>
      </c>
      <c r="V53" s="164" t="str">
        <f t="shared" si="3"/>
        <v/>
      </c>
      <c r="W53" s="164" t="str">
        <f t="shared" si="4"/>
        <v/>
      </c>
      <c r="AN53" s="120"/>
      <c r="AO53" s="120"/>
      <c r="AP53" s="120"/>
      <c r="AQ53" s="120"/>
      <c r="AR53" s="120"/>
      <c r="AS53" s="120"/>
    </row>
    <row r="54" spans="1:45" x14ac:dyDescent="0.3">
      <c r="H54" s="153"/>
      <c r="R54" s="164"/>
      <c r="S54" s="164" t="str">
        <f t="shared" si="1"/>
        <v/>
      </c>
      <c r="T54" s="164"/>
      <c r="U54" s="164" t="str">
        <f t="shared" si="17"/>
        <v/>
      </c>
      <c r="V54" s="164" t="str">
        <f t="shared" si="3"/>
        <v/>
      </c>
      <c r="W54" s="164" t="str">
        <f t="shared" si="4"/>
        <v/>
      </c>
      <c r="AN54" s="120"/>
      <c r="AO54" s="120"/>
      <c r="AP54" s="120"/>
      <c r="AQ54" s="120"/>
      <c r="AR54" s="120"/>
      <c r="AS54" s="120"/>
    </row>
    <row r="55" spans="1:45" x14ac:dyDescent="0.3">
      <c r="H55" s="153"/>
      <c r="R55" s="164"/>
      <c r="S55" s="164" t="str">
        <f t="shared" si="1"/>
        <v/>
      </c>
      <c r="T55" s="164"/>
      <c r="U55" s="164" t="str">
        <f t="shared" si="17"/>
        <v/>
      </c>
      <c r="V55" s="164" t="str">
        <f t="shared" si="3"/>
        <v/>
      </c>
      <c r="W55" s="164" t="str">
        <f t="shared" si="4"/>
        <v/>
      </c>
      <c r="AN55" s="120"/>
      <c r="AO55" s="120"/>
      <c r="AP55" s="120"/>
      <c r="AQ55" s="120"/>
      <c r="AR55" s="120"/>
      <c r="AS55" s="120"/>
    </row>
    <row r="56" spans="1:45" x14ac:dyDescent="0.3">
      <c r="H56" s="153"/>
      <c r="R56" s="164"/>
      <c r="S56" s="164" t="str">
        <f t="shared" si="1"/>
        <v/>
      </c>
      <c r="T56" s="164"/>
      <c r="U56" s="164" t="str">
        <f t="shared" si="17"/>
        <v/>
      </c>
      <c r="V56" s="164" t="str">
        <f t="shared" si="3"/>
        <v/>
      </c>
      <c r="W56" s="164" t="str">
        <f t="shared" si="4"/>
        <v/>
      </c>
      <c r="AN56" s="120"/>
      <c r="AO56" s="120"/>
      <c r="AP56" s="120"/>
      <c r="AQ56" s="120"/>
      <c r="AR56" s="120"/>
      <c r="AS56" s="120"/>
    </row>
    <row r="57" spans="1:45" x14ac:dyDescent="0.3">
      <c r="H57" s="153"/>
      <c r="R57" s="164"/>
      <c r="S57" s="164" t="str">
        <f t="shared" si="1"/>
        <v/>
      </c>
      <c r="T57" s="164"/>
      <c r="U57" s="164" t="str">
        <f t="shared" si="17"/>
        <v/>
      </c>
      <c r="V57" s="164" t="str">
        <f t="shared" si="3"/>
        <v/>
      </c>
      <c r="W57" s="164" t="str">
        <f t="shared" si="4"/>
        <v/>
      </c>
      <c r="AN57" s="120"/>
      <c r="AO57" s="120"/>
      <c r="AP57" s="120"/>
      <c r="AQ57" s="120"/>
      <c r="AR57" s="120"/>
      <c r="AS57" s="120"/>
    </row>
    <row r="58" spans="1:45" x14ac:dyDescent="0.3">
      <c r="H58" s="141"/>
      <c r="R58" s="164"/>
      <c r="S58" s="164" t="str">
        <f t="shared" si="1"/>
        <v/>
      </c>
      <c r="T58" s="164"/>
      <c r="U58" s="164" t="str">
        <f t="shared" si="17"/>
        <v/>
      </c>
      <c r="V58" s="164" t="str">
        <f t="shared" si="3"/>
        <v/>
      </c>
      <c r="W58" s="164" t="str">
        <f t="shared" si="4"/>
        <v/>
      </c>
      <c r="AN58" s="120"/>
      <c r="AO58" s="120"/>
      <c r="AP58" s="120"/>
      <c r="AQ58" s="120"/>
      <c r="AR58" s="120"/>
      <c r="AS58" s="120"/>
    </row>
    <row r="59" spans="1:45" x14ac:dyDescent="0.3">
      <c r="AN59" s="2"/>
      <c r="AO59" s="2"/>
      <c r="AP59" s="2"/>
      <c r="AQ59" s="2"/>
      <c r="AR59" s="150"/>
      <c r="AS59" s="2"/>
    </row>
  </sheetData>
  <dataConsolidate/>
  <mergeCells count="173">
    <mergeCell ref="P9:P10"/>
    <mergeCell ref="R10:S10"/>
    <mergeCell ref="T10:U10"/>
    <mergeCell ref="R9:U9"/>
    <mergeCell ref="C9:C10"/>
    <mergeCell ref="Q9:Q10"/>
    <mergeCell ref="M9:M10"/>
    <mergeCell ref="N9:N10"/>
    <mergeCell ref="A11:A12"/>
    <mergeCell ref="C11:C12"/>
    <mergeCell ref="E11:E12"/>
    <mergeCell ref="F11:F12"/>
    <mergeCell ref="G11:G12"/>
    <mergeCell ref="Q11:Q12"/>
    <mergeCell ref="L11:L12"/>
    <mergeCell ref="M11:M12"/>
    <mergeCell ref="N11:N12"/>
    <mergeCell ref="O11:O12"/>
    <mergeCell ref="P11:P12"/>
    <mergeCell ref="B11:B12"/>
    <mergeCell ref="A13:A14"/>
    <mergeCell ref="C13:C14"/>
    <mergeCell ref="E13:E14"/>
    <mergeCell ref="F13:F14"/>
    <mergeCell ref="G13:G14"/>
    <mergeCell ref="AI9:AI10"/>
    <mergeCell ref="AM9:AM10"/>
    <mergeCell ref="AL9:AL10"/>
    <mergeCell ref="AK9:AK10"/>
    <mergeCell ref="AJ9:AJ10"/>
    <mergeCell ref="I11:I12"/>
    <mergeCell ref="J11:J12"/>
    <mergeCell ref="K11:K12"/>
    <mergeCell ref="A9:A10"/>
    <mergeCell ref="I9:I10"/>
    <mergeCell ref="G9:G10"/>
    <mergeCell ref="F9:F10"/>
    <mergeCell ref="E9:E10"/>
    <mergeCell ref="AH9:AH10"/>
    <mergeCell ref="AG9:AG10"/>
    <mergeCell ref="J9:J10"/>
    <mergeCell ref="K9:K10"/>
    <mergeCell ref="L9:L10"/>
    <mergeCell ref="O9:O10"/>
    <mergeCell ref="A15:A16"/>
    <mergeCell ref="C15:C16"/>
    <mergeCell ref="E15:E16"/>
    <mergeCell ref="F15:F16"/>
    <mergeCell ref="G15:G16"/>
    <mergeCell ref="I15:I16"/>
    <mergeCell ref="J15:J16"/>
    <mergeCell ref="K15:K16"/>
    <mergeCell ref="L15:L16"/>
    <mergeCell ref="I24:I29"/>
    <mergeCell ref="J24:J29"/>
    <mergeCell ref="K24:K29"/>
    <mergeCell ref="L24:L29"/>
    <mergeCell ref="P15:P16"/>
    <mergeCell ref="Q15:Q16"/>
    <mergeCell ref="N13:N14"/>
    <mergeCell ref="O13:O14"/>
    <mergeCell ref="P13:P14"/>
    <mergeCell ref="Q13:Q14"/>
    <mergeCell ref="M15:M16"/>
    <mergeCell ref="N15:N16"/>
    <mergeCell ref="O15:O16"/>
    <mergeCell ref="I13:I14"/>
    <mergeCell ref="J13:J14"/>
    <mergeCell ref="K13:K14"/>
    <mergeCell ref="L13:L14"/>
    <mergeCell ref="M13:M14"/>
    <mergeCell ref="A24:A29"/>
    <mergeCell ref="C24:C29"/>
    <mergeCell ref="E24:E29"/>
    <mergeCell ref="F24:F29"/>
    <mergeCell ref="G24:G29"/>
    <mergeCell ref="P18:P23"/>
    <mergeCell ref="Q18:Q23"/>
    <mergeCell ref="M24:M29"/>
    <mergeCell ref="N24:N29"/>
    <mergeCell ref="O24:O29"/>
    <mergeCell ref="A18:A23"/>
    <mergeCell ref="C18:C23"/>
    <mergeCell ref="E18:E23"/>
    <mergeCell ref="F18:F23"/>
    <mergeCell ref="G18:G23"/>
    <mergeCell ref="I18:I23"/>
    <mergeCell ref="M18:M23"/>
    <mergeCell ref="N18:N23"/>
    <mergeCell ref="O18:O23"/>
    <mergeCell ref="J18:J23"/>
    <mergeCell ref="K18:K23"/>
    <mergeCell ref="L18:L23"/>
    <mergeCell ref="P24:P29"/>
    <mergeCell ref="Q24:Q29"/>
    <mergeCell ref="I30:I35"/>
    <mergeCell ref="J30:J35"/>
    <mergeCell ref="K30:K35"/>
    <mergeCell ref="L30:L35"/>
    <mergeCell ref="M30:M35"/>
    <mergeCell ref="A30:A35"/>
    <mergeCell ref="C30:C35"/>
    <mergeCell ref="E30:E35"/>
    <mergeCell ref="F30:F35"/>
    <mergeCell ref="G30:G35"/>
    <mergeCell ref="N36:N41"/>
    <mergeCell ref="O36:O41"/>
    <mergeCell ref="A36:A41"/>
    <mergeCell ref="C36:C41"/>
    <mergeCell ref="E36:E41"/>
    <mergeCell ref="F36:F41"/>
    <mergeCell ref="G36:G41"/>
    <mergeCell ref="I36:I41"/>
    <mergeCell ref="J36:J41"/>
    <mergeCell ref="K36:K41"/>
    <mergeCell ref="L36:L41"/>
    <mergeCell ref="A8:J8"/>
    <mergeCell ref="K8:Q8"/>
    <mergeCell ref="C48:AN48"/>
    <mergeCell ref="P36:P41"/>
    <mergeCell ref="Q36:Q41"/>
    <mergeCell ref="A42:A47"/>
    <mergeCell ref="C42:C47"/>
    <mergeCell ref="E42:E47"/>
    <mergeCell ref="F42:F47"/>
    <mergeCell ref="G42:G47"/>
    <mergeCell ref="I42:I47"/>
    <mergeCell ref="J42:J47"/>
    <mergeCell ref="K42:K47"/>
    <mergeCell ref="L42:L47"/>
    <mergeCell ref="M42:M47"/>
    <mergeCell ref="N42:N47"/>
    <mergeCell ref="O42:O47"/>
    <mergeCell ref="P42:P47"/>
    <mergeCell ref="Q42:Q47"/>
    <mergeCell ref="M36:M41"/>
    <mergeCell ref="N30:N35"/>
    <mergeCell ref="O30:O35"/>
    <mergeCell ref="P30:P35"/>
    <mergeCell ref="Q30:Q35"/>
    <mergeCell ref="D5:Q5"/>
    <mergeCell ref="D6:Q6"/>
    <mergeCell ref="D7:Q7"/>
    <mergeCell ref="A1:E4"/>
    <mergeCell ref="F1:L4"/>
    <mergeCell ref="M1:Q1"/>
    <mergeCell ref="M2:Q2"/>
    <mergeCell ref="M3:Q3"/>
    <mergeCell ref="M4:Q4"/>
    <mergeCell ref="A5:C5"/>
    <mergeCell ref="A6:C6"/>
    <mergeCell ref="A7:C7"/>
    <mergeCell ref="X5:Z5"/>
    <mergeCell ref="X8:AF8"/>
    <mergeCell ref="AG8:AM8"/>
    <mergeCell ref="AN8:AS8"/>
    <mergeCell ref="Z9:Z10"/>
    <mergeCell ref="AA9:AF9"/>
    <mergeCell ref="AN9:AQ9"/>
    <mergeCell ref="AR9:AS9"/>
    <mergeCell ref="AN10:AO10"/>
    <mergeCell ref="AP10:AQ10"/>
    <mergeCell ref="AT8:AY8"/>
    <mergeCell ref="AT9:AT10"/>
    <mergeCell ref="AU9:AU10"/>
    <mergeCell ref="AV9:AV10"/>
    <mergeCell ref="AW9:AW10"/>
    <mergeCell ref="AX9:AX10"/>
    <mergeCell ref="AY9:AY10"/>
    <mergeCell ref="R8:W8"/>
    <mergeCell ref="V9:W9"/>
    <mergeCell ref="X9:X10"/>
    <mergeCell ref="Y9:Y10"/>
  </mergeCells>
  <conditionalFormatting sqref="K11 K13">
    <cfRule type="cellIs" dxfId="94" priority="428" operator="equal">
      <formula>"Baja"</formula>
    </cfRule>
    <cfRule type="cellIs" dxfId="93" priority="427" operator="equal">
      <formula>"Media"</formula>
    </cfRule>
    <cfRule type="cellIs" dxfId="92" priority="426" operator="equal">
      <formula>"Alta"</formula>
    </cfRule>
    <cfRule type="cellIs" dxfId="91" priority="425" operator="equal">
      <formula>"Muy Alta"</formula>
    </cfRule>
    <cfRule type="cellIs" dxfId="90" priority="429" operator="equal">
      <formula>"Muy Baja"</formula>
    </cfRule>
  </conditionalFormatting>
  <conditionalFormatting sqref="K15">
    <cfRule type="cellIs" dxfId="89" priority="331" operator="equal">
      <formula>"Muy Baja"</formula>
    </cfRule>
    <cfRule type="cellIs" dxfId="88" priority="327" operator="equal">
      <formula>"Muy Alta"</formula>
    </cfRule>
    <cfRule type="cellIs" dxfId="87" priority="330" operator="equal">
      <formula>"Baja"</formula>
    </cfRule>
    <cfRule type="cellIs" dxfId="86" priority="329" operator="equal">
      <formula>"Media"</formula>
    </cfRule>
    <cfRule type="cellIs" dxfId="85" priority="328" operator="equal">
      <formula>"Alta"</formula>
    </cfRule>
  </conditionalFormatting>
  <conditionalFormatting sqref="K18">
    <cfRule type="cellIs" dxfId="84" priority="244" operator="equal">
      <formula>"Alta"</formula>
    </cfRule>
    <cfRule type="cellIs" dxfId="83" priority="243" operator="equal">
      <formula>"Muy Alta"</formula>
    </cfRule>
    <cfRule type="cellIs" dxfId="82" priority="247" operator="equal">
      <formula>"Muy Baja"</formula>
    </cfRule>
    <cfRule type="cellIs" dxfId="81" priority="246" operator="equal">
      <formula>"Baja"</formula>
    </cfRule>
    <cfRule type="cellIs" dxfId="80" priority="245" operator="equal">
      <formula>"Media"</formula>
    </cfRule>
  </conditionalFormatting>
  <conditionalFormatting sqref="K24">
    <cfRule type="cellIs" dxfId="79" priority="218" operator="equal">
      <formula>"Baja"</formula>
    </cfRule>
    <cfRule type="cellIs" dxfId="78" priority="217" operator="equal">
      <formula>"Media"</formula>
    </cfRule>
    <cfRule type="cellIs" dxfId="77" priority="216" operator="equal">
      <formula>"Alta"</formula>
    </cfRule>
    <cfRule type="cellIs" dxfId="76" priority="215" operator="equal">
      <formula>"Muy Alta"</formula>
    </cfRule>
    <cfRule type="cellIs" dxfId="75" priority="219" operator="equal">
      <formula>"Muy Baja"</formula>
    </cfRule>
  </conditionalFormatting>
  <conditionalFormatting sqref="K30">
    <cfRule type="cellIs" dxfId="74" priority="187" operator="equal">
      <formula>"Muy Alta"</formula>
    </cfRule>
    <cfRule type="cellIs" dxfId="73" priority="188" operator="equal">
      <formula>"Alta"</formula>
    </cfRule>
    <cfRule type="cellIs" dxfId="72" priority="189" operator="equal">
      <formula>"Media"</formula>
    </cfRule>
    <cfRule type="cellIs" dxfId="71" priority="190" operator="equal">
      <formula>"Baja"</formula>
    </cfRule>
    <cfRule type="cellIs" dxfId="70" priority="191" operator="equal">
      <formula>"Muy Baja"</formula>
    </cfRule>
  </conditionalFormatting>
  <conditionalFormatting sqref="K36">
    <cfRule type="cellIs" dxfId="69" priority="160" operator="equal">
      <formula>"Alta"</formula>
    </cfRule>
    <cfRule type="cellIs" dxfId="68" priority="161" operator="equal">
      <formula>"Media"</formula>
    </cfRule>
    <cfRule type="cellIs" dxfId="67" priority="162" operator="equal">
      <formula>"Baja"</formula>
    </cfRule>
    <cfRule type="cellIs" dxfId="66" priority="163" operator="equal">
      <formula>"Muy Baja"</formula>
    </cfRule>
    <cfRule type="cellIs" dxfId="65" priority="159" operator="equal">
      <formula>"Muy Alta"</formula>
    </cfRule>
  </conditionalFormatting>
  <conditionalFormatting sqref="K42">
    <cfRule type="cellIs" dxfId="64" priority="131" operator="equal">
      <formula>"Muy Alta"</formula>
    </cfRule>
    <cfRule type="cellIs" dxfId="63" priority="132" operator="equal">
      <formula>"Alta"</formula>
    </cfRule>
    <cfRule type="cellIs" dxfId="62" priority="133" operator="equal">
      <formula>"Media"</formula>
    </cfRule>
    <cfRule type="cellIs" dxfId="61" priority="134" operator="equal">
      <formula>"Baja"</formula>
    </cfRule>
    <cfRule type="cellIs" dxfId="60" priority="135" operator="equal">
      <formula>"Muy Baja"</formula>
    </cfRule>
  </conditionalFormatting>
  <conditionalFormatting sqref="N11:N47">
    <cfRule type="containsText" dxfId="59" priority="107" operator="containsText" text="❌">
      <formula>NOT(ISERROR(SEARCH("❌",N11)))</formula>
    </cfRule>
  </conditionalFormatting>
  <conditionalFormatting sqref="O11 O13 O15 O18 O24 O30 O36 O42">
    <cfRule type="cellIs" dxfId="58" priority="424" operator="equal">
      <formula>"Leve"</formula>
    </cfRule>
    <cfRule type="cellIs" dxfId="57" priority="423" operator="equal">
      <formula>"Menor"</formula>
    </cfRule>
    <cfRule type="cellIs" dxfId="56" priority="422" operator="equal">
      <formula>"Moderado"</formula>
    </cfRule>
    <cfRule type="cellIs" dxfId="55" priority="420" operator="equal">
      <formula>"Catastrófico"</formula>
    </cfRule>
    <cfRule type="cellIs" dxfId="54" priority="421" operator="equal">
      <formula>"Mayor"</formula>
    </cfRule>
  </conditionalFormatting>
  <conditionalFormatting sqref="Q11">
    <cfRule type="cellIs" dxfId="53" priority="418" operator="equal">
      <formula>"Moderado"</formula>
    </cfRule>
    <cfRule type="cellIs" dxfId="52" priority="419" operator="equal">
      <formula>"Bajo"</formula>
    </cfRule>
    <cfRule type="cellIs" dxfId="51" priority="417" operator="equal">
      <formula>"Alto"</formula>
    </cfRule>
    <cfRule type="cellIs" dxfId="50" priority="416" operator="equal">
      <formula>"Extremo"</formula>
    </cfRule>
  </conditionalFormatting>
  <conditionalFormatting sqref="Q13">
    <cfRule type="cellIs" dxfId="49" priority="347" operator="equal">
      <formula>"Alto"</formula>
    </cfRule>
    <cfRule type="cellIs" dxfId="48" priority="349" operator="equal">
      <formula>"Bajo"</formula>
    </cfRule>
    <cfRule type="cellIs" dxfId="47" priority="348" operator="equal">
      <formula>"Moderado"</formula>
    </cfRule>
    <cfRule type="cellIs" dxfId="46" priority="346" operator="equal">
      <formula>"Extremo"</formula>
    </cfRule>
  </conditionalFormatting>
  <conditionalFormatting sqref="Q15">
    <cfRule type="cellIs" dxfId="45" priority="319" operator="equal">
      <formula>"Alto"</formula>
    </cfRule>
    <cfRule type="cellIs" dxfId="44" priority="321" operator="equal">
      <formula>"Bajo"</formula>
    </cfRule>
    <cfRule type="cellIs" dxfId="43" priority="320" operator="equal">
      <formula>"Moderado"</formula>
    </cfRule>
    <cfRule type="cellIs" dxfId="42" priority="318" operator="equal">
      <formula>"Extremo"</formula>
    </cfRule>
  </conditionalFormatting>
  <conditionalFormatting sqref="Q18">
    <cfRule type="cellIs" dxfId="41" priority="236" operator="equal">
      <formula>"Moderado"</formula>
    </cfRule>
    <cfRule type="cellIs" dxfId="40" priority="237" operator="equal">
      <formula>"Bajo"</formula>
    </cfRule>
    <cfRule type="cellIs" dxfId="39" priority="234" operator="equal">
      <formula>"Extremo"</formula>
    </cfRule>
    <cfRule type="cellIs" dxfId="38" priority="235" operator="equal">
      <formula>"Alto"</formula>
    </cfRule>
  </conditionalFormatting>
  <conditionalFormatting sqref="Q24">
    <cfRule type="cellIs" dxfId="37" priority="208" operator="equal">
      <formula>"Moderado"</formula>
    </cfRule>
    <cfRule type="cellIs" dxfId="36" priority="209" operator="equal">
      <formula>"Bajo"</formula>
    </cfRule>
    <cfRule type="cellIs" dxfId="35" priority="207" operator="equal">
      <formula>"Alto"</formula>
    </cfRule>
    <cfRule type="cellIs" dxfId="34" priority="206" operator="equal">
      <formula>"Extremo"</formula>
    </cfRule>
  </conditionalFormatting>
  <conditionalFormatting sqref="Q30">
    <cfRule type="cellIs" dxfId="33" priority="178" operator="equal">
      <formula>"Extremo"</formula>
    </cfRule>
    <cfRule type="cellIs" dxfId="32" priority="179" operator="equal">
      <formula>"Alto"</formula>
    </cfRule>
    <cfRule type="cellIs" dxfId="31" priority="180" operator="equal">
      <formula>"Moderado"</formula>
    </cfRule>
    <cfRule type="cellIs" dxfId="30" priority="181" operator="equal">
      <formula>"Bajo"</formula>
    </cfRule>
  </conditionalFormatting>
  <conditionalFormatting sqref="Q36">
    <cfRule type="cellIs" dxfId="29" priority="151" operator="equal">
      <formula>"Alto"</formula>
    </cfRule>
    <cfRule type="cellIs" dxfId="28" priority="150" operator="equal">
      <formula>"Extremo"</formula>
    </cfRule>
    <cfRule type="cellIs" dxfId="27" priority="153" operator="equal">
      <formula>"Bajo"</formula>
    </cfRule>
    <cfRule type="cellIs" dxfId="26" priority="152" operator="equal">
      <formula>"Moderado"</formula>
    </cfRule>
  </conditionalFormatting>
  <conditionalFormatting sqref="Q42">
    <cfRule type="cellIs" dxfId="25" priority="123" operator="equal">
      <formula>"Alto"</formula>
    </cfRule>
    <cfRule type="cellIs" dxfId="24" priority="122" operator="equal">
      <formula>"Extremo"</formula>
    </cfRule>
    <cfRule type="cellIs" dxfId="23" priority="124" operator="equal">
      <formula>"Moderado"</formula>
    </cfRule>
    <cfRule type="cellIs" dxfId="22" priority="125" operator="equal">
      <formula>"Bajo"</formula>
    </cfRule>
  </conditionalFormatting>
  <conditionalFormatting sqref="R11:W58">
    <cfRule type="cellIs" dxfId="21" priority="106" operator="equal">
      <formula>"Bajo"</formula>
    </cfRule>
    <cfRule type="cellIs" dxfId="20" priority="105" operator="equal">
      <formula>"Moderado"</formula>
    </cfRule>
    <cfRule type="cellIs" dxfId="19" priority="104" operator="equal">
      <formula>"Alto"</formula>
    </cfRule>
    <cfRule type="cellIs" dxfId="18" priority="103" operator="equal">
      <formula>"Extremo"</formula>
    </cfRule>
  </conditionalFormatting>
  <conditionalFormatting sqref="AH11:AH47">
    <cfRule type="cellIs" dxfId="17" priority="17" operator="equal">
      <formula>"Baja"</formula>
    </cfRule>
    <cfRule type="cellIs" dxfId="16" priority="18" operator="equal">
      <formula>"Muy Baja"</formula>
    </cfRule>
    <cfRule type="cellIs" dxfId="15" priority="16" operator="equal">
      <formula>"Media"</formula>
    </cfRule>
    <cfRule type="cellIs" dxfId="14" priority="15" operator="equal">
      <formula>"Alta"</formula>
    </cfRule>
    <cfRule type="cellIs" dxfId="13" priority="14" operator="equal">
      <formula>"Muy Alta"</formula>
    </cfRule>
  </conditionalFormatting>
  <conditionalFormatting sqref="AJ11:AJ47">
    <cfRule type="cellIs" dxfId="12" priority="12" operator="equal">
      <formula>"Menor"</formula>
    </cfRule>
    <cfRule type="cellIs" dxfId="11" priority="9" operator="equal">
      <formula>"Catastrófico"</formula>
    </cfRule>
    <cfRule type="cellIs" dxfId="10" priority="13" operator="equal">
      <formula>"Leve"</formula>
    </cfRule>
    <cfRule type="cellIs" dxfId="9" priority="11" operator="equal">
      <formula>"Moderado"</formula>
    </cfRule>
    <cfRule type="cellIs" dxfId="8" priority="10" operator="equal">
      <formula>"Mayor"</formula>
    </cfRule>
  </conditionalFormatting>
  <conditionalFormatting sqref="AL11:AL47">
    <cfRule type="cellIs" dxfId="7" priority="7" operator="equal">
      <formula>"Moderado"</formula>
    </cfRule>
    <cfRule type="cellIs" dxfId="6" priority="8" operator="equal">
      <formula>"Bajo"</formula>
    </cfRule>
    <cfRule type="cellIs" dxfId="5" priority="5" operator="equal">
      <formula>"Extremo"</formula>
    </cfRule>
    <cfRule type="cellIs" dxfId="4" priority="6" operator="equal">
      <formula>"Alto"</formula>
    </cfRule>
  </conditionalFormatting>
  <conditionalFormatting sqref="AN11:AS30">
    <cfRule type="cellIs" dxfId="3" priority="3" operator="equal">
      <formula>"Moderado"</formula>
    </cfRule>
    <cfRule type="cellIs" dxfId="2" priority="4" operator="equal">
      <formula>"Bajo"</formula>
    </cfRule>
    <cfRule type="cellIs" dxfId="1" priority="1" operator="equal">
      <formula>"Extremo"</formula>
    </cfRule>
    <cfRule type="cellIs" dxfId="0" priority="2"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0000000}">
          <x14:formula1>
            <xm:f>'Opciones Tratamiento'!$E$2:$E$4</xm:f>
          </x14:formula1>
          <xm:sqref>D17:D47 C11:C47</xm:sqref>
        </x14:dataValidation>
        <x14:dataValidation type="list" allowBlank="1" showInputMessage="1" showErrorMessage="1" xr:uid="{00000000-0002-0000-0100-000001000000}">
          <x14:formula1>
            <xm:f>'Opciones Tratamiento'!$B$13:$B$19</xm:f>
          </x14:formula1>
          <xm:sqref>I11:I47</xm:sqref>
        </x14:dataValidation>
        <x14:dataValidation type="list" allowBlank="1" showInputMessage="1" showErrorMessage="1" xr:uid="{00000000-0002-0000-0100-000002000000}">
          <x14:formula1>
            <xm:f>'Tabla Impacto'!$F$210:$F$221</xm:f>
          </x14:formula1>
          <xm:sqref>M11:M47</xm:sqref>
        </x14:dataValidation>
        <x14:dataValidation type="list" allowBlank="1" showInputMessage="1" showErrorMessage="1" xr:uid="{00000000-0002-0000-0100-000003000000}">
          <x14:formula1>
            <xm:f>'C:\Users\CORPOCESAR\Documents\H -\Mapas de Riesgos\2024\[PCE_4_ Mapa de riesgo de talento humano_DIC 2024.xlsx]Tabla Valoración controles'!#REF!</xm:f>
          </x14:formula1>
          <xm:sqref>AA11:AB47 AD11:AF47</xm:sqref>
        </x14:dataValidation>
        <x14:dataValidation type="list" allowBlank="1" showInputMessage="1" showErrorMessage="1" xr:uid="{00000000-0002-0000-0100-000008000000}">
          <x14:formula1>
            <xm:f>'C:\Users\CORPOCESAR\Documents\H -\Mapas de Riesgos\2024\[PCE_4_ Mapa de riesgo de talento humano_DIC 2024.xlsx]Opciones Tratamiento'!#REF!</xm:f>
          </x14:formula1>
          <xm:sqref>AM11:AM47 AY45:AY46 AY39:AY40 AY42:AY43 AY18:AY19 AY21:AY22 AY24:AY25 AY27:AY28 AY30:AY31 AY33:AY34 AY36:AY37</xm:sqref>
        </x14:dataValidation>
        <x14:dataValidation type="custom" allowBlank="1" showInputMessage="1" showErrorMessage="1" error="Recuerde que las acciones se generan bajo la medida de mitigar el riesgo" xr:uid="{00000000-0002-0000-0100-000009000000}">
          <x14:formula1>
            <xm:f>IF(OR(AS17='C:\Users\CORPOCESAR\Documents\H -\Mapas de Riesgos\2024\[PCE_4_ Mapa de riesgo de talento humano_DIC 2024.xlsx]Opciones Tratamiento'!#REF!,AS17='C:\Users\CORPOCESAR\Documents\H -\Mapas de Riesgos\2024\[PCE_4_ Mapa de riesgo de talento humano_DIC 2024.xlsx]Opciones Tratamiento'!#REF!,AS17='C:\Users\CORPOCESAR\Documents\H -\Mapas de Riesgos\2024\[PCE_4_ Mapa de riesgo de talento humano_DIC 2024.xlsx]Opciones Tratamiento'!#REF!),ISBLANK(AS17),ISTEXT(AS17))</xm:f>
          </x14:formula1>
          <xm:sqref>AW17:AW47</xm:sqref>
        </x14:dataValidation>
        <x14:dataValidation type="custom" allowBlank="1" showInputMessage="1" showErrorMessage="1" error="Recuerde que las acciones se generan bajo la medida de mitigar el riesgo" xr:uid="{00000000-0002-0000-0100-00000A000000}">
          <x14:formula1>
            <xm:f>IF(OR(AS17='C:\Users\CORPOCESAR\Documents\H -\Mapas de Riesgos\2024\[PCE_4_ Mapa de riesgo de talento humano_DIC 2024.xlsx]Opciones Tratamiento'!#REF!,AS17='C:\Users\CORPOCESAR\Documents\H -\Mapas de Riesgos\2024\[PCE_4_ Mapa de riesgo de talento humano_DIC 2024.xlsx]Opciones Tratamiento'!#REF!,AS17='C:\Users\CORPOCESAR\Documents\H -\Mapas de Riesgos\2024\[PCE_4_ Mapa de riesgo de talento humano_DIC 2024.xlsx]Opciones Tratamiento'!#REF!),ISBLANK(AS17),ISTEXT(AS17))</xm:f>
          </x14:formula1>
          <xm:sqref>AV17:AV47</xm:sqref>
        </x14:dataValidation>
        <x14:dataValidation type="custom" allowBlank="1" showInputMessage="1" showErrorMessage="1" error="Recuerde que las acciones se generan bajo la medida de mitigar el riesgo" xr:uid="{00000000-0002-0000-0100-00000B000000}">
          <x14:formula1>
            <xm:f>IF(OR(AS17='C:\Users\CORPOCESAR\Documents\H -\Mapas de Riesgos\2024\[PCE_4_ Mapa de riesgo de talento humano_DIC 2024.xlsx]Opciones Tratamiento'!#REF!,AS17='C:\Users\CORPOCESAR\Documents\H -\Mapas de Riesgos\2024\[PCE_4_ Mapa de riesgo de talento humano_DIC 2024.xlsx]Opciones Tratamiento'!#REF!,AS17='C:\Users\CORPOCESAR\Documents\H -\Mapas de Riesgos\2024\[PCE_4_ Mapa de riesgo de talento humano_DIC 2024.xlsx]Opciones Tratamiento'!#REF!),ISBLANK(AS17),ISTEXT(AS17))</xm:f>
          </x14:formula1>
          <xm:sqref>AU17:AU47</xm:sqref>
        </x14:dataValidation>
        <x14:dataValidation type="custom" allowBlank="1" showInputMessage="1" showErrorMessage="1" error="Recuerde que las acciones se generan bajo la medida de mitigar el riesgo" xr:uid="{00000000-0002-0000-0100-00000C000000}">
          <x14:formula1>
            <xm:f>IF(OR(AS17='C:\Users\CORPOCESAR\Documents\H -\Mapas de Riesgos\2024\[PCE_4_ Mapa de riesgo de talento humano_DIC 2024.xlsx]Opciones Tratamiento'!#REF!,AS17='C:\Users\CORPOCESAR\Documents\H -\Mapas de Riesgos\2024\[PCE_4_ Mapa de riesgo de talento humano_DIC 2024.xlsx]Opciones Tratamiento'!#REF!,AS17='C:\Users\CORPOCESAR\Documents\H -\Mapas de Riesgos\2024\[PCE_4_ Mapa de riesgo de talento humano_DIC 2024.xlsx]Opciones Tratamiento'!#REF!),ISBLANK(AS17),ISTEXT(AS17))</xm:f>
          </x14:formula1>
          <xm:sqref>AT17:AT47</xm:sqref>
        </x14:dataValidation>
        <x14:dataValidation type="custom" allowBlank="1" showInputMessage="1" showErrorMessage="1" error="Recuerde que las acciones se generan bajo la medida de mitigar el riesgo" xr:uid="{00000000-0002-0000-0100-00000D000000}">
          <x14:formula1>
            <xm:f>IF(OR(AS17='C:\Users\CORPOCESAR\Documents\H -\Mapas de Riesgos\2024\[PCE_4_ Mapa de riesgo de talento humano_DIC 2024.xlsx]Opciones Tratamiento'!#REF!,AS17='C:\Users\CORPOCESAR\Documents\H -\Mapas de Riesgos\2024\[PCE_4_ Mapa de riesgo de talento humano_DIC 2024.xlsx]Opciones Tratamiento'!#REF!,AS17='C:\Users\CORPOCESAR\Documents\H -\Mapas de Riesgos\2024\[PCE_4_ Mapa de riesgo de talento humano_DIC 2024.xlsx]Opciones Tratamiento'!#REF!),ISBLANK(AS17),ISTEXT(AS17))</xm:f>
          </x14:formula1>
          <xm:sqref>AX17:AX47</xm:sqref>
        </x14:dataValidation>
        <x14:dataValidation type="list" allowBlank="1" showInputMessage="1" showErrorMessage="1" xr:uid="{00000000-0002-0000-0100-00000F000000}">
          <x14:formula1>
            <xm:f>'[2025_ PCE_3_Mapa de Riesgos y Oportunidade_ Proceso Gestión y Mejora del Sistema_.xlsx]Opciones Tratamiento'!#REF!</xm:f>
          </x14:formula1>
          <xm:sqref>AN31:AS58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433" t="s">
        <v>159</v>
      </c>
      <c r="C2" s="433"/>
      <c r="D2" s="433"/>
      <c r="E2" s="433"/>
      <c r="F2" s="433"/>
      <c r="G2" s="433"/>
      <c r="H2" s="433"/>
      <c r="I2" s="433"/>
      <c r="J2" s="401" t="s">
        <v>2</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c r="AL2" s="401"/>
      <c r="AM2" s="401"/>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433"/>
      <c r="C3" s="433"/>
      <c r="D3" s="433"/>
      <c r="E3" s="433"/>
      <c r="F3" s="433"/>
      <c r="G3" s="433"/>
      <c r="H3" s="433"/>
      <c r="I3" s="433"/>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c r="AL3" s="401"/>
      <c r="AM3" s="401"/>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433"/>
      <c r="C4" s="433"/>
      <c r="D4" s="433"/>
      <c r="E4" s="433"/>
      <c r="F4" s="433"/>
      <c r="G4" s="433"/>
      <c r="H4" s="433"/>
      <c r="I4" s="433"/>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48" t="s">
        <v>4</v>
      </c>
      <c r="C6" s="348"/>
      <c r="D6" s="349"/>
      <c r="E6" s="386" t="s">
        <v>116</v>
      </c>
      <c r="F6" s="387"/>
      <c r="G6" s="387"/>
      <c r="H6" s="387"/>
      <c r="I6" s="388"/>
      <c r="J6" s="397" t="str">
        <f>IF(AND('Mapa final'!$K$11="Muy Alta",'Mapa final'!$O$11="Leve"),CONCATENATE("R",'Mapa final'!$A$11),"")</f>
        <v/>
      </c>
      <c r="K6" s="398"/>
      <c r="L6" s="398" t="str">
        <f>IF(AND('Mapa final'!$K$13="Muy Alta",'Mapa final'!$O$13="Leve"),CONCATENATE("R",'Mapa final'!$A$13),"")</f>
        <v/>
      </c>
      <c r="M6" s="398"/>
      <c r="N6" s="398" t="str">
        <f>IF(AND('Mapa final'!$K$15="Muy Alta",'Mapa final'!$O$15="Leve"),CONCATENATE("R",'Mapa final'!$A$15),"")</f>
        <v/>
      </c>
      <c r="O6" s="400"/>
      <c r="P6" s="397" t="str">
        <f>IF(AND('Mapa final'!$K$11="Muy Alta",'Mapa final'!$O$11="Menor"),CONCATENATE("R",'Mapa final'!$A$11),"")</f>
        <v/>
      </c>
      <c r="Q6" s="398"/>
      <c r="R6" s="398" t="str">
        <f>IF(AND('Mapa final'!$K$13="Muy Alta",'Mapa final'!$O$13="Menor"),CONCATENATE("R",'Mapa final'!$A$13),"")</f>
        <v/>
      </c>
      <c r="S6" s="398"/>
      <c r="T6" s="398" t="str">
        <f>IF(AND('Mapa final'!$K$15="Muy Alta",'Mapa final'!$O$15="Menor"),CONCATENATE("R",'Mapa final'!$A$15),"")</f>
        <v/>
      </c>
      <c r="U6" s="400"/>
      <c r="V6" s="397" t="str">
        <f>IF(AND('Mapa final'!$K$11="Muy Alta",'Mapa final'!$O$11="Moderado"),CONCATENATE("R",'Mapa final'!$A$11),"")</f>
        <v/>
      </c>
      <c r="W6" s="398"/>
      <c r="X6" s="398" t="str">
        <f>IF(AND('Mapa final'!$K$13="Muy Alta",'Mapa final'!$O$13="Moderado"),CONCATENATE("R",'Mapa final'!$A$13),"")</f>
        <v/>
      </c>
      <c r="Y6" s="398"/>
      <c r="Z6" s="398" t="str">
        <f>IF(AND('Mapa final'!$K$15="Muy Alta",'Mapa final'!$O$15="Moderado"),CONCATENATE("R",'Mapa final'!$A$15),"")</f>
        <v/>
      </c>
      <c r="AA6" s="400"/>
      <c r="AB6" s="397" t="str">
        <f>IF(AND('Mapa final'!$K$11="Muy Alta",'Mapa final'!$O$11="Mayor"),CONCATENATE("R",'Mapa final'!$A$11),"")</f>
        <v/>
      </c>
      <c r="AC6" s="398"/>
      <c r="AD6" s="398" t="str">
        <f>IF(AND('Mapa final'!$K$13="Muy Alta",'Mapa final'!$O$13="Mayor"),CONCATENATE("R",'Mapa final'!$A$13),"")</f>
        <v/>
      </c>
      <c r="AE6" s="398"/>
      <c r="AF6" s="398" t="str">
        <f>IF(AND('Mapa final'!$K$15="Muy Alta",'Mapa final'!$O$15="Mayor"),CONCATENATE("R",'Mapa final'!$A$15),"")</f>
        <v/>
      </c>
      <c r="AG6" s="400"/>
      <c r="AH6" s="412" t="str">
        <f>IF(AND('Mapa final'!$K$11="Muy Alta",'Mapa final'!$O$11="Catastrófico"),CONCATENATE("R",'Mapa final'!$A$11),"")</f>
        <v/>
      </c>
      <c r="AI6" s="413"/>
      <c r="AJ6" s="413" t="str">
        <f>IF(AND('Mapa final'!$K$13="Muy Alta",'Mapa final'!$O$13="Catastrófico"),CONCATENATE("R",'Mapa final'!$A$13),"")</f>
        <v/>
      </c>
      <c r="AK6" s="413"/>
      <c r="AL6" s="413" t="str">
        <f>IF(AND('Mapa final'!$K$15="Muy Alta",'Mapa final'!$O$15="Catastrófico"),CONCATENATE("R",'Mapa final'!$A$15),"")</f>
        <v/>
      </c>
      <c r="AM6" s="414"/>
      <c r="AO6" s="350" t="s">
        <v>79</v>
      </c>
      <c r="AP6" s="351"/>
      <c r="AQ6" s="351"/>
      <c r="AR6" s="351"/>
      <c r="AS6" s="351"/>
      <c r="AT6" s="352"/>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48"/>
      <c r="C7" s="348"/>
      <c r="D7" s="349"/>
      <c r="E7" s="389"/>
      <c r="F7" s="390"/>
      <c r="G7" s="390"/>
      <c r="H7" s="390"/>
      <c r="I7" s="391"/>
      <c r="J7" s="399"/>
      <c r="K7" s="395"/>
      <c r="L7" s="395"/>
      <c r="M7" s="395"/>
      <c r="N7" s="395"/>
      <c r="O7" s="396"/>
      <c r="P7" s="399"/>
      <c r="Q7" s="395"/>
      <c r="R7" s="395"/>
      <c r="S7" s="395"/>
      <c r="T7" s="395"/>
      <c r="U7" s="396"/>
      <c r="V7" s="399"/>
      <c r="W7" s="395"/>
      <c r="X7" s="395"/>
      <c r="Y7" s="395"/>
      <c r="Z7" s="395"/>
      <c r="AA7" s="396"/>
      <c r="AB7" s="399"/>
      <c r="AC7" s="395"/>
      <c r="AD7" s="395"/>
      <c r="AE7" s="395"/>
      <c r="AF7" s="395"/>
      <c r="AG7" s="396"/>
      <c r="AH7" s="406"/>
      <c r="AI7" s="407"/>
      <c r="AJ7" s="407"/>
      <c r="AK7" s="407"/>
      <c r="AL7" s="407"/>
      <c r="AM7" s="408"/>
      <c r="AN7" s="80"/>
      <c r="AO7" s="353"/>
      <c r="AP7" s="354"/>
      <c r="AQ7" s="354"/>
      <c r="AR7" s="354"/>
      <c r="AS7" s="354"/>
      <c r="AT7" s="355"/>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48"/>
      <c r="C8" s="348"/>
      <c r="D8" s="349"/>
      <c r="E8" s="389"/>
      <c r="F8" s="390"/>
      <c r="G8" s="390"/>
      <c r="H8" s="390"/>
      <c r="I8" s="391"/>
      <c r="J8" s="399" t="e">
        <f>IF(AND('Mapa final'!#REF!="Muy Alta",'Mapa final'!#REF!="Leve"),CONCATENATE("R",'Mapa final'!#REF!),"")</f>
        <v>#REF!</v>
      </c>
      <c r="K8" s="395"/>
      <c r="L8" s="395" t="e">
        <f>IF(AND('Mapa final'!#REF!="Muy Alta",'Mapa final'!#REF!="Leve"),CONCATENATE("R",'Mapa final'!#REF!),"")</f>
        <v>#REF!</v>
      </c>
      <c r="M8" s="395"/>
      <c r="N8" s="395" t="str">
        <f>IF(AND('Mapa final'!$K$18="Muy Alta",'Mapa final'!$O$18="Leve"),CONCATENATE("R",'Mapa final'!$A$18),"")</f>
        <v/>
      </c>
      <c r="O8" s="396"/>
      <c r="P8" s="399" t="e">
        <f>IF(AND('Mapa final'!#REF!="Muy Alta",'Mapa final'!#REF!="Menor"),CONCATENATE("R",'Mapa final'!#REF!),"")</f>
        <v>#REF!</v>
      </c>
      <c r="Q8" s="395"/>
      <c r="R8" s="395" t="e">
        <f>IF(AND('Mapa final'!#REF!="Muy Alta",'Mapa final'!#REF!="Menor"),CONCATENATE("R",'Mapa final'!#REF!),"")</f>
        <v>#REF!</v>
      </c>
      <c r="S8" s="395"/>
      <c r="T8" s="395" t="str">
        <f>IF(AND('Mapa final'!$K$18="Muy Alta",'Mapa final'!$O$18="Menor"),CONCATENATE("R",'Mapa final'!$A$18),"")</f>
        <v/>
      </c>
      <c r="U8" s="396"/>
      <c r="V8" s="399" t="e">
        <f>IF(AND('Mapa final'!#REF!="Muy Alta",'Mapa final'!#REF!="Moderado"),CONCATENATE("R",'Mapa final'!#REF!),"")</f>
        <v>#REF!</v>
      </c>
      <c r="W8" s="395"/>
      <c r="X8" s="395" t="e">
        <f>IF(AND('Mapa final'!#REF!="Muy Alta",'Mapa final'!#REF!="Moderado"),CONCATENATE("R",'Mapa final'!#REF!),"")</f>
        <v>#REF!</v>
      </c>
      <c r="Y8" s="395"/>
      <c r="Z8" s="395" t="str">
        <f>IF(AND('Mapa final'!$K$18="Muy Alta",'Mapa final'!$O$18="Moderado"),CONCATENATE("R",'Mapa final'!$A$18),"")</f>
        <v/>
      </c>
      <c r="AA8" s="396"/>
      <c r="AB8" s="399" t="e">
        <f>IF(AND('Mapa final'!#REF!="Muy Alta",'Mapa final'!#REF!="Mayor"),CONCATENATE("R",'Mapa final'!#REF!),"")</f>
        <v>#REF!</v>
      </c>
      <c r="AC8" s="395"/>
      <c r="AD8" s="395" t="e">
        <f>IF(AND('Mapa final'!#REF!="Muy Alta",'Mapa final'!#REF!="Mayor"),CONCATENATE("R",'Mapa final'!#REF!),"")</f>
        <v>#REF!</v>
      </c>
      <c r="AE8" s="395"/>
      <c r="AF8" s="395" t="str">
        <f>IF(AND('Mapa final'!$K$18="Muy Alta",'Mapa final'!$O$18="Mayor"),CONCATENATE("R",'Mapa final'!$A$18),"")</f>
        <v/>
      </c>
      <c r="AG8" s="396"/>
      <c r="AH8" s="406" t="e">
        <f>IF(AND('Mapa final'!#REF!="Muy Alta",'Mapa final'!#REF!="Catastrófico"),CONCATENATE("R",'Mapa final'!#REF!),"")</f>
        <v>#REF!</v>
      </c>
      <c r="AI8" s="407"/>
      <c r="AJ8" s="407" t="e">
        <f>IF(AND('Mapa final'!#REF!="Muy Alta",'Mapa final'!#REF!="Catastrófico"),CONCATENATE("R",'Mapa final'!#REF!),"")</f>
        <v>#REF!</v>
      </c>
      <c r="AK8" s="407"/>
      <c r="AL8" s="407" t="str">
        <f>IF(AND('Mapa final'!$K$18="Muy Alta",'Mapa final'!$O$18="Catastrófico"),CONCATENATE("R",'Mapa final'!$A$18),"")</f>
        <v/>
      </c>
      <c r="AM8" s="408"/>
      <c r="AN8" s="80"/>
      <c r="AO8" s="353"/>
      <c r="AP8" s="354"/>
      <c r="AQ8" s="354"/>
      <c r="AR8" s="354"/>
      <c r="AS8" s="354"/>
      <c r="AT8" s="355"/>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48"/>
      <c r="C9" s="348"/>
      <c r="D9" s="349"/>
      <c r="E9" s="389"/>
      <c r="F9" s="390"/>
      <c r="G9" s="390"/>
      <c r="H9" s="390"/>
      <c r="I9" s="391"/>
      <c r="J9" s="399"/>
      <c r="K9" s="395"/>
      <c r="L9" s="395"/>
      <c r="M9" s="395"/>
      <c r="N9" s="395"/>
      <c r="O9" s="396"/>
      <c r="P9" s="399"/>
      <c r="Q9" s="395"/>
      <c r="R9" s="395"/>
      <c r="S9" s="395"/>
      <c r="T9" s="395"/>
      <c r="U9" s="396"/>
      <c r="V9" s="399"/>
      <c r="W9" s="395"/>
      <c r="X9" s="395"/>
      <c r="Y9" s="395"/>
      <c r="Z9" s="395"/>
      <c r="AA9" s="396"/>
      <c r="AB9" s="399"/>
      <c r="AC9" s="395"/>
      <c r="AD9" s="395"/>
      <c r="AE9" s="395"/>
      <c r="AF9" s="395"/>
      <c r="AG9" s="396"/>
      <c r="AH9" s="406"/>
      <c r="AI9" s="407"/>
      <c r="AJ9" s="407"/>
      <c r="AK9" s="407"/>
      <c r="AL9" s="407"/>
      <c r="AM9" s="408"/>
      <c r="AN9" s="80"/>
      <c r="AO9" s="353"/>
      <c r="AP9" s="354"/>
      <c r="AQ9" s="354"/>
      <c r="AR9" s="354"/>
      <c r="AS9" s="354"/>
      <c r="AT9" s="355"/>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48"/>
      <c r="C10" s="348"/>
      <c r="D10" s="349"/>
      <c r="E10" s="389"/>
      <c r="F10" s="390"/>
      <c r="G10" s="390"/>
      <c r="H10" s="390"/>
      <c r="I10" s="391"/>
      <c r="J10" s="399" t="str">
        <f>IF(AND('Mapa final'!$K$24="Muy Alta",'Mapa final'!$O$24="Leve"),CONCATENATE("R",'Mapa final'!$A$24),"")</f>
        <v/>
      </c>
      <c r="K10" s="395"/>
      <c r="L10" s="395" t="str">
        <f>IF(AND('Mapa final'!$K$30="Muy Alta",'Mapa final'!$O$30="Leve"),CONCATENATE("R",'Mapa final'!$A$30),"")</f>
        <v/>
      </c>
      <c r="M10" s="395"/>
      <c r="N10" s="395" t="str">
        <f>IF(AND('Mapa final'!$K$36="Muy Alta",'Mapa final'!$O$36="Leve"),CONCATENATE("R",'Mapa final'!$A$36),"")</f>
        <v/>
      </c>
      <c r="O10" s="396"/>
      <c r="P10" s="399" t="str">
        <f>IF(AND('Mapa final'!$K$24="Muy Alta",'Mapa final'!$O$24="Menor"),CONCATENATE("R",'Mapa final'!$A$24),"")</f>
        <v/>
      </c>
      <c r="Q10" s="395"/>
      <c r="R10" s="395" t="str">
        <f>IF(AND('Mapa final'!$K$30="Muy Alta",'Mapa final'!$O$30="Menor"),CONCATENATE("R",'Mapa final'!$A$30),"")</f>
        <v/>
      </c>
      <c r="S10" s="395"/>
      <c r="T10" s="395" t="str">
        <f>IF(AND('Mapa final'!$K$36="Muy Alta",'Mapa final'!$O$36="Menor"),CONCATENATE("R",'Mapa final'!$A$36),"")</f>
        <v/>
      </c>
      <c r="U10" s="396"/>
      <c r="V10" s="399" t="str">
        <f>IF(AND('Mapa final'!$K$24="Muy Alta",'Mapa final'!$O$24="Moderado"),CONCATENATE("R",'Mapa final'!$A$24),"")</f>
        <v/>
      </c>
      <c r="W10" s="395"/>
      <c r="X10" s="395" t="str">
        <f>IF(AND('Mapa final'!$K$30="Muy Alta",'Mapa final'!$O$30="Moderado"),CONCATENATE("R",'Mapa final'!$A$30),"")</f>
        <v/>
      </c>
      <c r="Y10" s="395"/>
      <c r="Z10" s="395" t="str">
        <f>IF(AND('Mapa final'!$K$36="Muy Alta",'Mapa final'!$O$36="Moderado"),CONCATENATE("R",'Mapa final'!$A$36),"")</f>
        <v/>
      </c>
      <c r="AA10" s="396"/>
      <c r="AB10" s="399" t="str">
        <f>IF(AND('Mapa final'!$K$24="Muy Alta",'Mapa final'!$O$24="Mayor"),CONCATENATE("R",'Mapa final'!$A$24),"")</f>
        <v/>
      </c>
      <c r="AC10" s="395"/>
      <c r="AD10" s="395" t="str">
        <f>IF(AND('Mapa final'!$K$30="Muy Alta",'Mapa final'!$O$30="Mayor"),CONCATENATE("R",'Mapa final'!$A$30),"")</f>
        <v/>
      </c>
      <c r="AE10" s="395"/>
      <c r="AF10" s="395" t="str">
        <f>IF(AND('Mapa final'!$K$36="Muy Alta",'Mapa final'!$O$36="Mayor"),CONCATENATE("R",'Mapa final'!$A$36),"")</f>
        <v/>
      </c>
      <c r="AG10" s="396"/>
      <c r="AH10" s="406" t="str">
        <f>IF(AND('Mapa final'!$K$24="Muy Alta",'Mapa final'!$O$24="Catastrófico"),CONCATENATE("R",'Mapa final'!$A$24),"")</f>
        <v/>
      </c>
      <c r="AI10" s="407"/>
      <c r="AJ10" s="407" t="str">
        <f>IF(AND('Mapa final'!$K$30="Muy Alta",'Mapa final'!$O$30="Catastrófico"),CONCATENATE("R",'Mapa final'!$A$30),"")</f>
        <v/>
      </c>
      <c r="AK10" s="407"/>
      <c r="AL10" s="407" t="str">
        <f>IF(AND('Mapa final'!$K$36="Muy Alta",'Mapa final'!$O$36="Catastrófico"),CONCATENATE("R",'Mapa final'!$A$36),"")</f>
        <v/>
      </c>
      <c r="AM10" s="408"/>
      <c r="AN10" s="80"/>
      <c r="AO10" s="353"/>
      <c r="AP10" s="354"/>
      <c r="AQ10" s="354"/>
      <c r="AR10" s="354"/>
      <c r="AS10" s="354"/>
      <c r="AT10" s="355"/>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48"/>
      <c r="C11" s="348"/>
      <c r="D11" s="349"/>
      <c r="E11" s="389"/>
      <c r="F11" s="390"/>
      <c r="G11" s="390"/>
      <c r="H11" s="390"/>
      <c r="I11" s="391"/>
      <c r="J11" s="399"/>
      <c r="K11" s="395"/>
      <c r="L11" s="395"/>
      <c r="M11" s="395"/>
      <c r="N11" s="395"/>
      <c r="O11" s="396"/>
      <c r="P11" s="399"/>
      <c r="Q11" s="395"/>
      <c r="R11" s="395"/>
      <c r="S11" s="395"/>
      <c r="T11" s="395"/>
      <c r="U11" s="396"/>
      <c r="V11" s="399"/>
      <c r="W11" s="395"/>
      <c r="X11" s="395"/>
      <c r="Y11" s="395"/>
      <c r="Z11" s="395"/>
      <c r="AA11" s="396"/>
      <c r="AB11" s="399"/>
      <c r="AC11" s="395"/>
      <c r="AD11" s="395"/>
      <c r="AE11" s="395"/>
      <c r="AF11" s="395"/>
      <c r="AG11" s="396"/>
      <c r="AH11" s="406"/>
      <c r="AI11" s="407"/>
      <c r="AJ11" s="407"/>
      <c r="AK11" s="407"/>
      <c r="AL11" s="407"/>
      <c r="AM11" s="408"/>
      <c r="AN11" s="80"/>
      <c r="AO11" s="353"/>
      <c r="AP11" s="354"/>
      <c r="AQ11" s="354"/>
      <c r="AR11" s="354"/>
      <c r="AS11" s="354"/>
      <c r="AT11" s="355"/>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48"/>
      <c r="C12" s="348"/>
      <c r="D12" s="349"/>
      <c r="E12" s="389"/>
      <c r="F12" s="390"/>
      <c r="G12" s="390"/>
      <c r="H12" s="390"/>
      <c r="I12" s="391"/>
      <c r="J12" s="399" t="str">
        <f>IF(AND('Mapa final'!$K$42="Muy Alta",'Mapa final'!$O$42="Leve"),CONCATENATE("R",'Mapa final'!$A$42),"")</f>
        <v/>
      </c>
      <c r="K12" s="395"/>
      <c r="L12" s="395" t="str">
        <f>IF(AND('Mapa final'!$K$48="Muy Alta",'Mapa final'!$O$48="Leve"),CONCATENATE("R",'Mapa final'!$A$48),"")</f>
        <v/>
      </c>
      <c r="M12" s="395"/>
      <c r="N12" s="395" t="str">
        <f>IF(AND('Mapa final'!$K$54="Muy Alta",'Mapa final'!$O$54="Leve"),CONCATENATE("R",'Mapa final'!$A$54),"")</f>
        <v/>
      </c>
      <c r="O12" s="396"/>
      <c r="P12" s="399" t="str">
        <f>IF(AND('Mapa final'!$K$42="Muy Alta",'Mapa final'!$O$42="Menor"),CONCATENATE("R",'Mapa final'!$A$42),"")</f>
        <v/>
      </c>
      <c r="Q12" s="395"/>
      <c r="R12" s="395" t="str">
        <f>IF(AND('Mapa final'!$K$48="Muy Alta",'Mapa final'!$O$48="Menor"),CONCATENATE("R",'Mapa final'!$A$48),"")</f>
        <v/>
      </c>
      <c r="S12" s="395"/>
      <c r="T12" s="395" t="str">
        <f>IF(AND('Mapa final'!$K$54="Muy Alta",'Mapa final'!$O$54="Menor"),CONCATENATE("R",'Mapa final'!$A$54),"")</f>
        <v/>
      </c>
      <c r="U12" s="396"/>
      <c r="V12" s="399" t="str">
        <f>IF(AND('Mapa final'!$K$42="Muy Alta",'Mapa final'!$O$42="Moderado"),CONCATENATE("R",'Mapa final'!$A$42),"")</f>
        <v/>
      </c>
      <c r="W12" s="395"/>
      <c r="X12" s="395" t="str">
        <f>IF(AND('Mapa final'!$K$48="Muy Alta",'Mapa final'!$O$48="Moderado"),CONCATENATE("R",'Mapa final'!$A$48),"")</f>
        <v/>
      </c>
      <c r="Y12" s="395"/>
      <c r="Z12" s="395" t="str">
        <f>IF(AND('Mapa final'!$K$54="Muy Alta",'Mapa final'!$O$54="Moderado"),CONCATENATE("R",'Mapa final'!$A$54),"")</f>
        <v/>
      </c>
      <c r="AA12" s="396"/>
      <c r="AB12" s="399" t="str">
        <f>IF(AND('Mapa final'!$K$42="Muy Alta",'Mapa final'!$O$42="Mayor"),CONCATENATE("R",'Mapa final'!$A$42),"")</f>
        <v/>
      </c>
      <c r="AC12" s="395"/>
      <c r="AD12" s="395" t="str">
        <f>IF(AND('Mapa final'!$K$48="Muy Alta",'Mapa final'!$O$48="Mayor"),CONCATENATE("R",'Mapa final'!$A$48),"")</f>
        <v/>
      </c>
      <c r="AE12" s="395"/>
      <c r="AF12" s="395" t="str">
        <f>IF(AND('Mapa final'!$K$54="Muy Alta",'Mapa final'!$O$54="Mayor"),CONCATENATE("R",'Mapa final'!$A$54),"")</f>
        <v/>
      </c>
      <c r="AG12" s="396"/>
      <c r="AH12" s="406" t="str">
        <f>IF(AND('Mapa final'!$K$42="Muy Alta",'Mapa final'!$O$42="Catastrófico"),CONCATENATE("R",'Mapa final'!$A$42),"")</f>
        <v/>
      </c>
      <c r="AI12" s="407"/>
      <c r="AJ12" s="407" t="str">
        <f>IF(AND('Mapa final'!$K$48="Muy Alta",'Mapa final'!$O$48="Catastrófico"),CONCATENATE("R",'Mapa final'!$A$48),"")</f>
        <v/>
      </c>
      <c r="AK12" s="407"/>
      <c r="AL12" s="407" t="str">
        <f>IF(AND('Mapa final'!$K$54="Muy Alta",'Mapa final'!$O$54="Catastrófico"),CONCATENATE("R",'Mapa final'!$A$54),"")</f>
        <v/>
      </c>
      <c r="AM12" s="408"/>
      <c r="AN12" s="80"/>
      <c r="AO12" s="353"/>
      <c r="AP12" s="354"/>
      <c r="AQ12" s="354"/>
      <c r="AR12" s="354"/>
      <c r="AS12" s="354"/>
      <c r="AT12" s="355"/>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48"/>
      <c r="C13" s="348"/>
      <c r="D13" s="349"/>
      <c r="E13" s="392"/>
      <c r="F13" s="393"/>
      <c r="G13" s="393"/>
      <c r="H13" s="393"/>
      <c r="I13" s="394"/>
      <c r="J13" s="399"/>
      <c r="K13" s="395"/>
      <c r="L13" s="395"/>
      <c r="M13" s="395"/>
      <c r="N13" s="395"/>
      <c r="O13" s="396"/>
      <c r="P13" s="399"/>
      <c r="Q13" s="395"/>
      <c r="R13" s="395"/>
      <c r="S13" s="395"/>
      <c r="T13" s="395"/>
      <c r="U13" s="396"/>
      <c r="V13" s="399"/>
      <c r="W13" s="395"/>
      <c r="X13" s="395"/>
      <c r="Y13" s="395"/>
      <c r="Z13" s="395"/>
      <c r="AA13" s="396"/>
      <c r="AB13" s="399"/>
      <c r="AC13" s="395"/>
      <c r="AD13" s="395"/>
      <c r="AE13" s="395"/>
      <c r="AF13" s="395"/>
      <c r="AG13" s="396"/>
      <c r="AH13" s="409"/>
      <c r="AI13" s="410"/>
      <c r="AJ13" s="410"/>
      <c r="AK13" s="410"/>
      <c r="AL13" s="410"/>
      <c r="AM13" s="411"/>
      <c r="AN13" s="80"/>
      <c r="AO13" s="356"/>
      <c r="AP13" s="357"/>
      <c r="AQ13" s="357"/>
      <c r="AR13" s="357"/>
      <c r="AS13" s="357"/>
      <c r="AT13" s="358"/>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48"/>
      <c r="C14" s="348"/>
      <c r="D14" s="349"/>
      <c r="E14" s="386" t="s">
        <v>115</v>
      </c>
      <c r="F14" s="387"/>
      <c r="G14" s="387"/>
      <c r="H14" s="387"/>
      <c r="I14" s="387"/>
      <c r="J14" s="421" t="str">
        <f>IF(AND('Mapa final'!$K$11="Alta",'Mapa final'!$O$11="Leve"),CONCATENATE("R",'Mapa final'!$A$11),"")</f>
        <v/>
      </c>
      <c r="K14" s="422"/>
      <c r="L14" s="422" t="str">
        <f>IF(AND('Mapa final'!$K$13="Alta",'Mapa final'!$O$13="Leve"),CONCATENATE("R",'Mapa final'!$A$13),"")</f>
        <v/>
      </c>
      <c r="M14" s="422"/>
      <c r="N14" s="422" t="str">
        <f>IF(AND('Mapa final'!$K$15="Alta",'Mapa final'!$O$15="Leve"),CONCATENATE("R",'Mapa final'!$A$15),"")</f>
        <v/>
      </c>
      <c r="O14" s="423"/>
      <c r="P14" s="421" t="str">
        <f>IF(AND('Mapa final'!$K$11="Alta",'Mapa final'!$O$11="Menor"),CONCATENATE("R",'Mapa final'!$A$11),"")</f>
        <v/>
      </c>
      <c r="Q14" s="422"/>
      <c r="R14" s="422" t="str">
        <f>IF(AND('Mapa final'!$K$13="Alta",'Mapa final'!$O$13="Menor"),CONCATENATE("R",'Mapa final'!$A$13),"")</f>
        <v/>
      </c>
      <c r="S14" s="422"/>
      <c r="T14" s="422" t="str">
        <f>IF(AND('Mapa final'!$K$15="Alta",'Mapa final'!$O$15="Menor"),CONCATENATE("R",'Mapa final'!$A$15),"")</f>
        <v/>
      </c>
      <c r="U14" s="423"/>
      <c r="V14" s="397" t="str">
        <f>IF(AND('Mapa final'!$K$11="Alta",'Mapa final'!$O$11="Moderado"),CONCATENATE("R",'Mapa final'!$A$11),"")</f>
        <v/>
      </c>
      <c r="W14" s="398"/>
      <c r="X14" s="398" t="str">
        <f>IF(AND('Mapa final'!$K$13="Alta",'Mapa final'!$O$13="Moderado"),CONCATENATE("R",'Mapa final'!$A$13),"")</f>
        <v/>
      </c>
      <c r="Y14" s="398"/>
      <c r="Z14" s="398" t="str">
        <f>IF(AND('Mapa final'!$K$15="Alta",'Mapa final'!$O$15="Moderado"),CONCATENATE("R",'Mapa final'!$A$15),"")</f>
        <v/>
      </c>
      <c r="AA14" s="400"/>
      <c r="AB14" s="397" t="str">
        <f>IF(AND('Mapa final'!$K$11="Alta",'Mapa final'!$O$11="Mayor"),CONCATENATE("R",'Mapa final'!$A$11),"")</f>
        <v/>
      </c>
      <c r="AC14" s="398"/>
      <c r="AD14" s="398" t="str">
        <f>IF(AND('Mapa final'!$K$13="Alta",'Mapa final'!$O$13="Mayor"),CONCATENATE("R",'Mapa final'!$A$13),"")</f>
        <v/>
      </c>
      <c r="AE14" s="398"/>
      <c r="AF14" s="398" t="str">
        <f>IF(AND('Mapa final'!$K$15="Alta",'Mapa final'!$O$15="Mayor"),CONCATENATE("R",'Mapa final'!$A$15),"")</f>
        <v/>
      </c>
      <c r="AG14" s="400"/>
      <c r="AH14" s="412" t="str">
        <f>IF(AND('Mapa final'!$K$11="Alta",'Mapa final'!$O$11="Catastrófico"),CONCATENATE("R",'Mapa final'!$A$11),"")</f>
        <v/>
      </c>
      <c r="AI14" s="413"/>
      <c r="AJ14" s="413" t="str">
        <f>IF(AND('Mapa final'!$K$13="Alta",'Mapa final'!$O$13="Catastrófico"),CONCATENATE("R",'Mapa final'!$A$13),"")</f>
        <v/>
      </c>
      <c r="AK14" s="413"/>
      <c r="AL14" s="413" t="str">
        <f>IF(AND('Mapa final'!$K$15="Alta",'Mapa final'!$O$15="Catastrófico"),CONCATENATE("R",'Mapa final'!$A$15),"")</f>
        <v/>
      </c>
      <c r="AM14" s="414"/>
      <c r="AN14" s="80"/>
      <c r="AO14" s="359" t="s">
        <v>80</v>
      </c>
      <c r="AP14" s="360"/>
      <c r="AQ14" s="360"/>
      <c r="AR14" s="360"/>
      <c r="AS14" s="360"/>
      <c r="AT14" s="361"/>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48"/>
      <c r="C15" s="348"/>
      <c r="D15" s="349"/>
      <c r="E15" s="389"/>
      <c r="F15" s="390"/>
      <c r="G15" s="390"/>
      <c r="H15" s="390"/>
      <c r="I15" s="390"/>
      <c r="J15" s="415"/>
      <c r="K15" s="416"/>
      <c r="L15" s="416"/>
      <c r="M15" s="416"/>
      <c r="N15" s="416"/>
      <c r="O15" s="417"/>
      <c r="P15" s="415"/>
      <c r="Q15" s="416"/>
      <c r="R15" s="416"/>
      <c r="S15" s="416"/>
      <c r="T15" s="416"/>
      <c r="U15" s="417"/>
      <c r="V15" s="399"/>
      <c r="W15" s="395"/>
      <c r="X15" s="395"/>
      <c r="Y15" s="395"/>
      <c r="Z15" s="395"/>
      <c r="AA15" s="396"/>
      <c r="AB15" s="399"/>
      <c r="AC15" s="395"/>
      <c r="AD15" s="395"/>
      <c r="AE15" s="395"/>
      <c r="AF15" s="395"/>
      <c r="AG15" s="396"/>
      <c r="AH15" s="406"/>
      <c r="AI15" s="407"/>
      <c r="AJ15" s="407"/>
      <c r="AK15" s="407"/>
      <c r="AL15" s="407"/>
      <c r="AM15" s="408"/>
      <c r="AN15" s="80"/>
      <c r="AO15" s="362"/>
      <c r="AP15" s="363"/>
      <c r="AQ15" s="363"/>
      <c r="AR15" s="363"/>
      <c r="AS15" s="363"/>
      <c r="AT15" s="364"/>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48"/>
      <c r="C16" s="348"/>
      <c r="D16" s="349"/>
      <c r="E16" s="389"/>
      <c r="F16" s="390"/>
      <c r="G16" s="390"/>
      <c r="H16" s="390"/>
      <c r="I16" s="390"/>
      <c r="J16" s="415" t="e">
        <f>IF(AND('Mapa final'!#REF!="Alta",'Mapa final'!#REF!="Leve"),CONCATENATE("R",'Mapa final'!#REF!),"")</f>
        <v>#REF!</v>
      </c>
      <c r="K16" s="416"/>
      <c r="L16" s="416" t="e">
        <f>IF(AND('Mapa final'!#REF!="Alta",'Mapa final'!#REF!="Leve"),CONCATENATE("R",'Mapa final'!#REF!),"")</f>
        <v>#REF!</v>
      </c>
      <c r="M16" s="416"/>
      <c r="N16" s="416" t="str">
        <f>IF(AND('Mapa final'!$K$18="Alta",'Mapa final'!$O$18="Leve"),CONCATENATE("R",'Mapa final'!$A$18),"")</f>
        <v/>
      </c>
      <c r="O16" s="417"/>
      <c r="P16" s="415" t="e">
        <f>IF(AND('Mapa final'!#REF!="Alta",'Mapa final'!#REF!="Menor"),CONCATENATE("R",'Mapa final'!#REF!),"")</f>
        <v>#REF!</v>
      </c>
      <c r="Q16" s="416"/>
      <c r="R16" s="416" t="e">
        <f>IF(AND('Mapa final'!#REF!="Alta",'Mapa final'!#REF!="Menor"),CONCATENATE("R",'Mapa final'!#REF!),"")</f>
        <v>#REF!</v>
      </c>
      <c r="S16" s="416"/>
      <c r="T16" s="416" t="str">
        <f>IF(AND('Mapa final'!$K$18="Alta",'Mapa final'!$O$18="Menor"),CONCATENATE("R",'Mapa final'!$A$18),"")</f>
        <v/>
      </c>
      <c r="U16" s="417"/>
      <c r="V16" s="399" t="e">
        <f>IF(AND('Mapa final'!#REF!="Alta",'Mapa final'!#REF!="Moderado"),CONCATENATE("R",'Mapa final'!#REF!),"")</f>
        <v>#REF!</v>
      </c>
      <c r="W16" s="395"/>
      <c r="X16" s="395" t="e">
        <f>IF(AND('Mapa final'!#REF!="Alta",'Mapa final'!#REF!="Moderado"),CONCATENATE("R",'Mapa final'!#REF!),"")</f>
        <v>#REF!</v>
      </c>
      <c r="Y16" s="395"/>
      <c r="Z16" s="395" t="str">
        <f>IF(AND('Mapa final'!$K$18="Alta",'Mapa final'!$O$18="Moderado"),CONCATENATE("R",'Mapa final'!$A$18),"")</f>
        <v/>
      </c>
      <c r="AA16" s="396"/>
      <c r="AB16" s="399" t="e">
        <f>IF(AND('Mapa final'!#REF!="Alta",'Mapa final'!#REF!="Mayor"),CONCATENATE("R",'Mapa final'!#REF!),"")</f>
        <v>#REF!</v>
      </c>
      <c r="AC16" s="395"/>
      <c r="AD16" s="395" t="e">
        <f>IF(AND('Mapa final'!#REF!="Alta",'Mapa final'!#REF!="Mayor"),CONCATENATE("R",'Mapa final'!#REF!),"")</f>
        <v>#REF!</v>
      </c>
      <c r="AE16" s="395"/>
      <c r="AF16" s="395" t="str">
        <f>IF(AND('Mapa final'!$K$18="Alta",'Mapa final'!$O$18="Mayor"),CONCATENATE("R",'Mapa final'!$A$18),"")</f>
        <v/>
      </c>
      <c r="AG16" s="396"/>
      <c r="AH16" s="406" t="e">
        <f>IF(AND('Mapa final'!#REF!="Alta",'Mapa final'!#REF!="Catastrófico"),CONCATENATE("R",'Mapa final'!#REF!),"")</f>
        <v>#REF!</v>
      </c>
      <c r="AI16" s="407"/>
      <c r="AJ16" s="407" t="e">
        <f>IF(AND('Mapa final'!#REF!="Alta",'Mapa final'!#REF!="Catastrófico"),CONCATENATE("R",'Mapa final'!#REF!),"")</f>
        <v>#REF!</v>
      </c>
      <c r="AK16" s="407"/>
      <c r="AL16" s="407" t="str">
        <f>IF(AND('Mapa final'!$K$18="Alta",'Mapa final'!$O$18="Catastrófico"),CONCATENATE("R",'Mapa final'!$A$18),"")</f>
        <v/>
      </c>
      <c r="AM16" s="408"/>
      <c r="AN16" s="80"/>
      <c r="AO16" s="362"/>
      <c r="AP16" s="363"/>
      <c r="AQ16" s="363"/>
      <c r="AR16" s="363"/>
      <c r="AS16" s="363"/>
      <c r="AT16" s="364"/>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48"/>
      <c r="C17" s="348"/>
      <c r="D17" s="349"/>
      <c r="E17" s="389"/>
      <c r="F17" s="390"/>
      <c r="G17" s="390"/>
      <c r="H17" s="390"/>
      <c r="I17" s="390"/>
      <c r="J17" s="415"/>
      <c r="K17" s="416"/>
      <c r="L17" s="416"/>
      <c r="M17" s="416"/>
      <c r="N17" s="416"/>
      <c r="O17" s="417"/>
      <c r="P17" s="415"/>
      <c r="Q17" s="416"/>
      <c r="R17" s="416"/>
      <c r="S17" s="416"/>
      <c r="T17" s="416"/>
      <c r="U17" s="417"/>
      <c r="V17" s="399"/>
      <c r="W17" s="395"/>
      <c r="X17" s="395"/>
      <c r="Y17" s="395"/>
      <c r="Z17" s="395"/>
      <c r="AA17" s="396"/>
      <c r="AB17" s="399"/>
      <c r="AC17" s="395"/>
      <c r="AD17" s="395"/>
      <c r="AE17" s="395"/>
      <c r="AF17" s="395"/>
      <c r="AG17" s="396"/>
      <c r="AH17" s="406"/>
      <c r="AI17" s="407"/>
      <c r="AJ17" s="407"/>
      <c r="AK17" s="407"/>
      <c r="AL17" s="407"/>
      <c r="AM17" s="408"/>
      <c r="AN17" s="80"/>
      <c r="AO17" s="362"/>
      <c r="AP17" s="363"/>
      <c r="AQ17" s="363"/>
      <c r="AR17" s="363"/>
      <c r="AS17" s="363"/>
      <c r="AT17" s="364"/>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48"/>
      <c r="C18" s="348"/>
      <c r="D18" s="349"/>
      <c r="E18" s="389"/>
      <c r="F18" s="390"/>
      <c r="G18" s="390"/>
      <c r="H18" s="390"/>
      <c r="I18" s="390"/>
      <c r="J18" s="415" t="str">
        <f>IF(AND('Mapa final'!$K$24="Alta",'Mapa final'!$O$24="Leve"),CONCATENATE("R",'Mapa final'!$A$24),"")</f>
        <v/>
      </c>
      <c r="K18" s="416"/>
      <c r="L18" s="416" t="str">
        <f>IF(AND('Mapa final'!$K$30="Alta",'Mapa final'!$O$30="Leve"),CONCATENATE("R",'Mapa final'!$A$30),"")</f>
        <v/>
      </c>
      <c r="M18" s="416"/>
      <c r="N18" s="416" t="str">
        <f>IF(AND('Mapa final'!$K$36="Alta",'Mapa final'!$O$36="Leve"),CONCATENATE("R",'Mapa final'!$A$36),"")</f>
        <v/>
      </c>
      <c r="O18" s="417"/>
      <c r="P18" s="415" t="str">
        <f>IF(AND('Mapa final'!$K$24="Alta",'Mapa final'!$O$24="Menor"),CONCATENATE("R",'Mapa final'!$A$24),"")</f>
        <v/>
      </c>
      <c r="Q18" s="416"/>
      <c r="R18" s="416" t="str">
        <f>IF(AND('Mapa final'!$K$30="Alta",'Mapa final'!$O$30="Menor"),CONCATENATE("R",'Mapa final'!$A$30),"")</f>
        <v/>
      </c>
      <c r="S18" s="416"/>
      <c r="T18" s="416" t="str">
        <f>IF(AND('Mapa final'!$K$36="Alta",'Mapa final'!$O$36="Menor"),CONCATENATE("R",'Mapa final'!$A$36),"")</f>
        <v/>
      </c>
      <c r="U18" s="417"/>
      <c r="V18" s="399" t="str">
        <f>IF(AND('Mapa final'!$K$24="Alta",'Mapa final'!$O$24="Moderado"),CONCATENATE("R",'Mapa final'!$A$24),"")</f>
        <v/>
      </c>
      <c r="W18" s="395"/>
      <c r="X18" s="395" t="str">
        <f>IF(AND('Mapa final'!$K$30="Alta",'Mapa final'!$O$30="Moderado"),CONCATENATE("R",'Mapa final'!$A$30),"")</f>
        <v/>
      </c>
      <c r="Y18" s="395"/>
      <c r="Z18" s="395" t="str">
        <f>IF(AND('Mapa final'!$K$36="Alta",'Mapa final'!$O$36="Moderado"),CONCATENATE("R",'Mapa final'!$A$36),"")</f>
        <v/>
      </c>
      <c r="AA18" s="396"/>
      <c r="AB18" s="399" t="str">
        <f>IF(AND('Mapa final'!$K$24="Alta",'Mapa final'!$O$24="Mayor"),CONCATENATE("R",'Mapa final'!$A$24),"")</f>
        <v/>
      </c>
      <c r="AC18" s="395"/>
      <c r="AD18" s="395" t="str">
        <f>IF(AND('Mapa final'!$K$30="Alta",'Mapa final'!$O$30="Mayor"),CONCATENATE("R",'Mapa final'!$A$30),"")</f>
        <v/>
      </c>
      <c r="AE18" s="395"/>
      <c r="AF18" s="395" t="str">
        <f>IF(AND('Mapa final'!$K$36="Alta",'Mapa final'!$O$36="Mayor"),CONCATENATE("R",'Mapa final'!$A$36),"")</f>
        <v/>
      </c>
      <c r="AG18" s="396"/>
      <c r="AH18" s="406" t="str">
        <f>IF(AND('Mapa final'!$K$24="Alta",'Mapa final'!$O$24="Catastrófico"),CONCATENATE("R",'Mapa final'!$A$24),"")</f>
        <v/>
      </c>
      <c r="AI18" s="407"/>
      <c r="AJ18" s="407" t="str">
        <f>IF(AND('Mapa final'!$K$30="Alta",'Mapa final'!$O$30="Catastrófico"),CONCATENATE("R",'Mapa final'!$A$30),"")</f>
        <v/>
      </c>
      <c r="AK18" s="407"/>
      <c r="AL18" s="407" t="str">
        <f>IF(AND('Mapa final'!$K$36="Alta",'Mapa final'!$O$36="Catastrófico"),CONCATENATE("R",'Mapa final'!$A$36),"")</f>
        <v/>
      </c>
      <c r="AM18" s="408"/>
      <c r="AN18" s="80"/>
      <c r="AO18" s="362"/>
      <c r="AP18" s="363"/>
      <c r="AQ18" s="363"/>
      <c r="AR18" s="363"/>
      <c r="AS18" s="363"/>
      <c r="AT18" s="364"/>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48"/>
      <c r="C19" s="348"/>
      <c r="D19" s="349"/>
      <c r="E19" s="389"/>
      <c r="F19" s="390"/>
      <c r="G19" s="390"/>
      <c r="H19" s="390"/>
      <c r="I19" s="390"/>
      <c r="J19" s="415"/>
      <c r="K19" s="416"/>
      <c r="L19" s="416"/>
      <c r="M19" s="416"/>
      <c r="N19" s="416"/>
      <c r="O19" s="417"/>
      <c r="P19" s="415"/>
      <c r="Q19" s="416"/>
      <c r="R19" s="416"/>
      <c r="S19" s="416"/>
      <c r="T19" s="416"/>
      <c r="U19" s="417"/>
      <c r="V19" s="399"/>
      <c r="W19" s="395"/>
      <c r="X19" s="395"/>
      <c r="Y19" s="395"/>
      <c r="Z19" s="395"/>
      <c r="AA19" s="396"/>
      <c r="AB19" s="399"/>
      <c r="AC19" s="395"/>
      <c r="AD19" s="395"/>
      <c r="AE19" s="395"/>
      <c r="AF19" s="395"/>
      <c r="AG19" s="396"/>
      <c r="AH19" s="406"/>
      <c r="AI19" s="407"/>
      <c r="AJ19" s="407"/>
      <c r="AK19" s="407"/>
      <c r="AL19" s="407"/>
      <c r="AM19" s="408"/>
      <c r="AN19" s="80"/>
      <c r="AO19" s="362"/>
      <c r="AP19" s="363"/>
      <c r="AQ19" s="363"/>
      <c r="AR19" s="363"/>
      <c r="AS19" s="363"/>
      <c r="AT19" s="364"/>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48"/>
      <c r="C20" s="348"/>
      <c r="D20" s="349"/>
      <c r="E20" s="389"/>
      <c r="F20" s="390"/>
      <c r="G20" s="390"/>
      <c r="H20" s="390"/>
      <c r="I20" s="390"/>
      <c r="J20" s="415" t="str">
        <f>IF(AND('Mapa final'!$K$42="Alta",'Mapa final'!$O$42="Leve"),CONCATENATE("R",'Mapa final'!$A$42),"")</f>
        <v/>
      </c>
      <c r="K20" s="416"/>
      <c r="L20" s="416" t="str">
        <f>IF(AND('Mapa final'!$K$48="Alta",'Mapa final'!$O$48="Leve"),CONCATENATE("R",'Mapa final'!$A$48),"")</f>
        <v/>
      </c>
      <c r="M20" s="416"/>
      <c r="N20" s="416" t="str">
        <f>IF(AND('Mapa final'!$K$54="Alta",'Mapa final'!$O$54="Leve"),CONCATENATE("R",'Mapa final'!$A$54),"")</f>
        <v/>
      </c>
      <c r="O20" s="417"/>
      <c r="P20" s="415" t="str">
        <f>IF(AND('Mapa final'!$K$42="Alta",'Mapa final'!$O$42="Menor"),CONCATENATE("R",'Mapa final'!$A$42),"")</f>
        <v/>
      </c>
      <c r="Q20" s="416"/>
      <c r="R20" s="416" t="str">
        <f>IF(AND('Mapa final'!$K$48="Alta",'Mapa final'!$O$48="Menor"),CONCATENATE("R",'Mapa final'!$A$48),"")</f>
        <v/>
      </c>
      <c r="S20" s="416"/>
      <c r="T20" s="416" t="str">
        <f>IF(AND('Mapa final'!$K$54="Alta",'Mapa final'!$O$54="Menor"),CONCATENATE("R",'Mapa final'!$A$54),"")</f>
        <v/>
      </c>
      <c r="U20" s="417"/>
      <c r="V20" s="399" t="str">
        <f>IF(AND('Mapa final'!$K$42="Alta",'Mapa final'!$O$42="Moderado"),CONCATENATE("R",'Mapa final'!$A$42),"")</f>
        <v/>
      </c>
      <c r="W20" s="395"/>
      <c r="X20" s="395" t="str">
        <f>IF(AND('Mapa final'!$K$48="Alta",'Mapa final'!$O$48="Moderado"),CONCATENATE("R",'Mapa final'!$A$48),"")</f>
        <v/>
      </c>
      <c r="Y20" s="395"/>
      <c r="Z20" s="395" t="str">
        <f>IF(AND('Mapa final'!$K$54="Alta",'Mapa final'!$O$54="Moderado"),CONCATENATE("R",'Mapa final'!$A$54),"")</f>
        <v/>
      </c>
      <c r="AA20" s="396"/>
      <c r="AB20" s="399" t="str">
        <f>IF(AND('Mapa final'!$K$42="Alta",'Mapa final'!$O$42="Mayor"),CONCATENATE("R",'Mapa final'!$A$42),"")</f>
        <v/>
      </c>
      <c r="AC20" s="395"/>
      <c r="AD20" s="395" t="str">
        <f>IF(AND('Mapa final'!$K$48="Alta",'Mapa final'!$O$48="Mayor"),CONCATENATE("R",'Mapa final'!$A$48),"")</f>
        <v/>
      </c>
      <c r="AE20" s="395"/>
      <c r="AF20" s="395" t="str">
        <f>IF(AND('Mapa final'!$K$54="Alta",'Mapa final'!$O$54="Mayor"),CONCATENATE("R",'Mapa final'!$A$54),"")</f>
        <v/>
      </c>
      <c r="AG20" s="396"/>
      <c r="AH20" s="406" t="str">
        <f>IF(AND('Mapa final'!$K$42="Alta",'Mapa final'!$O$42="Catastrófico"),CONCATENATE("R",'Mapa final'!$A$42),"")</f>
        <v/>
      </c>
      <c r="AI20" s="407"/>
      <c r="AJ20" s="407" t="str">
        <f>IF(AND('Mapa final'!$K$48="Alta",'Mapa final'!$O$48="Catastrófico"),CONCATENATE("R",'Mapa final'!$A$48),"")</f>
        <v/>
      </c>
      <c r="AK20" s="407"/>
      <c r="AL20" s="407" t="str">
        <f>IF(AND('Mapa final'!$K$54="Alta",'Mapa final'!$O$54="Catastrófico"),CONCATENATE("R",'Mapa final'!$A$54),"")</f>
        <v/>
      </c>
      <c r="AM20" s="408"/>
      <c r="AN20" s="80"/>
      <c r="AO20" s="362"/>
      <c r="AP20" s="363"/>
      <c r="AQ20" s="363"/>
      <c r="AR20" s="363"/>
      <c r="AS20" s="363"/>
      <c r="AT20" s="364"/>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48"/>
      <c r="C21" s="348"/>
      <c r="D21" s="349"/>
      <c r="E21" s="392"/>
      <c r="F21" s="393"/>
      <c r="G21" s="393"/>
      <c r="H21" s="393"/>
      <c r="I21" s="393"/>
      <c r="J21" s="418"/>
      <c r="K21" s="419"/>
      <c r="L21" s="419"/>
      <c r="M21" s="419"/>
      <c r="N21" s="419"/>
      <c r="O21" s="420"/>
      <c r="P21" s="418"/>
      <c r="Q21" s="419"/>
      <c r="R21" s="419"/>
      <c r="S21" s="419"/>
      <c r="T21" s="419"/>
      <c r="U21" s="420"/>
      <c r="V21" s="403"/>
      <c r="W21" s="404"/>
      <c r="X21" s="404"/>
      <c r="Y21" s="404"/>
      <c r="Z21" s="404"/>
      <c r="AA21" s="405"/>
      <c r="AB21" s="403"/>
      <c r="AC21" s="404"/>
      <c r="AD21" s="404"/>
      <c r="AE21" s="404"/>
      <c r="AF21" s="404"/>
      <c r="AG21" s="405"/>
      <c r="AH21" s="409"/>
      <c r="AI21" s="410"/>
      <c r="AJ21" s="410"/>
      <c r="AK21" s="410"/>
      <c r="AL21" s="410"/>
      <c r="AM21" s="411"/>
      <c r="AN21" s="80"/>
      <c r="AO21" s="365"/>
      <c r="AP21" s="366"/>
      <c r="AQ21" s="366"/>
      <c r="AR21" s="366"/>
      <c r="AS21" s="366"/>
      <c r="AT21" s="367"/>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48"/>
      <c r="C22" s="348"/>
      <c r="D22" s="349"/>
      <c r="E22" s="386" t="s">
        <v>117</v>
      </c>
      <c r="F22" s="387"/>
      <c r="G22" s="387"/>
      <c r="H22" s="387"/>
      <c r="I22" s="388"/>
      <c r="J22" s="421" t="str">
        <f>IF(AND('Mapa final'!$K$11="Media",'Mapa final'!$O$11="Leve"),CONCATENATE("R",'Mapa final'!$A$11),"")</f>
        <v/>
      </c>
      <c r="K22" s="422"/>
      <c r="L22" s="422" t="str">
        <f>IF(AND('Mapa final'!$K$13="Media",'Mapa final'!$O$13="Leve"),CONCATENATE("R",'Mapa final'!$A$13),"")</f>
        <v/>
      </c>
      <c r="M22" s="422"/>
      <c r="N22" s="422" t="str">
        <f>IF(AND('Mapa final'!$K$15="Media",'Mapa final'!$O$15="Leve"),CONCATENATE("R",'Mapa final'!$A$15),"")</f>
        <v/>
      </c>
      <c r="O22" s="423"/>
      <c r="P22" s="421" t="str">
        <f>IF(AND('Mapa final'!$K$11="Media",'Mapa final'!$O$11="Menor"),CONCATENATE("R",'Mapa final'!$A$11),"")</f>
        <v/>
      </c>
      <c r="Q22" s="422"/>
      <c r="R22" s="422" t="str">
        <f>IF(AND('Mapa final'!$K$13="Media",'Mapa final'!$O$13="Menor"),CONCATENATE("R",'Mapa final'!$A$13),"")</f>
        <v>R2</v>
      </c>
      <c r="S22" s="422"/>
      <c r="T22" s="422" t="str">
        <f>IF(AND('Mapa final'!$K$15="Media",'Mapa final'!$O$15="Menor"),CONCATENATE("R",'Mapa final'!$A$15),"")</f>
        <v>R3</v>
      </c>
      <c r="U22" s="423"/>
      <c r="V22" s="421" t="str">
        <f>IF(AND('Mapa final'!$K$11="Media",'Mapa final'!$O$11="Moderado"),CONCATENATE("R",'Mapa final'!$A$11),"")</f>
        <v>R1</v>
      </c>
      <c r="W22" s="422"/>
      <c r="X22" s="422" t="str">
        <f>IF(AND('Mapa final'!$K$13="Media",'Mapa final'!$O$13="Moderado"),CONCATENATE("R",'Mapa final'!$A$13),"")</f>
        <v/>
      </c>
      <c r="Y22" s="422"/>
      <c r="Z22" s="422" t="str">
        <f>IF(AND('Mapa final'!$K$15="Media",'Mapa final'!$O$15="Moderado"),CONCATENATE("R",'Mapa final'!$A$15),"")</f>
        <v/>
      </c>
      <c r="AA22" s="423"/>
      <c r="AB22" s="397" t="str">
        <f>IF(AND('Mapa final'!$K$11="Media",'Mapa final'!$O$11="Mayor"),CONCATENATE("R",'Mapa final'!$A$11),"")</f>
        <v/>
      </c>
      <c r="AC22" s="398"/>
      <c r="AD22" s="398" t="str">
        <f>IF(AND('Mapa final'!$K$13="Media",'Mapa final'!$O$13="Mayor"),CONCATENATE("R",'Mapa final'!$A$13),"")</f>
        <v/>
      </c>
      <c r="AE22" s="398"/>
      <c r="AF22" s="398" t="str">
        <f>IF(AND('Mapa final'!$K$15="Media",'Mapa final'!$O$15="Mayor"),CONCATENATE("R",'Mapa final'!$A$15),"")</f>
        <v/>
      </c>
      <c r="AG22" s="400"/>
      <c r="AH22" s="412" t="str">
        <f>IF(AND('Mapa final'!$K$11="Media",'Mapa final'!$O$11="Catastrófico"),CONCATENATE("R",'Mapa final'!$A$11),"")</f>
        <v/>
      </c>
      <c r="AI22" s="413"/>
      <c r="AJ22" s="413" t="str">
        <f>IF(AND('Mapa final'!$K$13="Media",'Mapa final'!$O$13="Catastrófico"),CONCATENATE("R",'Mapa final'!$A$13),"")</f>
        <v/>
      </c>
      <c r="AK22" s="413"/>
      <c r="AL22" s="413" t="str">
        <f>IF(AND('Mapa final'!$K$15="Media",'Mapa final'!$O$15="Catastrófico"),CONCATENATE("R",'Mapa final'!$A$15),"")</f>
        <v/>
      </c>
      <c r="AM22" s="414"/>
      <c r="AN22" s="80"/>
      <c r="AO22" s="368" t="s">
        <v>81</v>
      </c>
      <c r="AP22" s="369"/>
      <c r="AQ22" s="369"/>
      <c r="AR22" s="369"/>
      <c r="AS22" s="369"/>
      <c r="AT22" s="37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48"/>
      <c r="C23" s="348"/>
      <c r="D23" s="349"/>
      <c r="E23" s="389"/>
      <c r="F23" s="390"/>
      <c r="G23" s="390"/>
      <c r="H23" s="390"/>
      <c r="I23" s="391"/>
      <c r="J23" s="415"/>
      <c r="K23" s="416"/>
      <c r="L23" s="416"/>
      <c r="M23" s="416"/>
      <c r="N23" s="416"/>
      <c r="O23" s="417"/>
      <c r="P23" s="415"/>
      <c r="Q23" s="416"/>
      <c r="R23" s="416"/>
      <c r="S23" s="416"/>
      <c r="T23" s="416"/>
      <c r="U23" s="417"/>
      <c r="V23" s="415"/>
      <c r="W23" s="416"/>
      <c r="X23" s="416"/>
      <c r="Y23" s="416"/>
      <c r="Z23" s="416"/>
      <c r="AA23" s="417"/>
      <c r="AB23" s="399"/>
      <c r="AC23" s="395"/>
      <c r="AD23" s="395"/>
      <c r="AE23" s="395"/>
      <c r="AF23" s="395"/>
      <c r="AG23" s="396"/>
      <c r="AH23" s="406"/>
      <c r="AI23" s="407"/>
      <c r="AJ23" s="407"/>
      <c r="AK23" s="407"/>
      <c r="AL23" s="407"/>
      <c r="AM23" s="408"/>
      <c r="AN23" s="80"/>
      <c r="AO23" s="371"/>
      <c r="AP23" s="372"/>
      <c r="AQ23" s="372"/>
      <c r="AR23" s="372"/>
      <c r="AS23" s="372"/>
      <c r="AT23" s="373"/>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48"/>
      <c r="C24" s="348"/>
      <c r="D24" s="349"/>
      <c r="E24" s="389"/>
      <c r="F24" s="390"/>
      <c r="G24" s="390"/>
      <c r="H24" s="390"/>
      <c r="I24" s="391"/>
      <c r="J24" s="415" t="e">
        <f>IF(AND('Mapa final'!#REF!="Media",'Mapa final'!#REF!="Leve"),CONCATENATE("R",'Mapa final'!#REF!),"")</f>
        <v>#REF!</v>
      </c>
      <c r="K24" s="416"/>
      <c r="L24" s="416" t="e">
        <f>IF(AND('Mapa final'!#REF!="Media",'Mapa final'!#REF!="Leve"),CONCATENATE("R",'Mapa final'!#REF!),"")</f>
        <v>#REF!</v>
      </c>
      <c r="M24" s="416"/>
      <c r="N24" s="416" t="str">
        <f>IF(AND('Mapa final'!$K$18="Media",'Mapa final'!$O$18="Leve"),CONCATENATE("R",'Mapa final'!$A$18),"")</f>
        <v/>
      </c>
      <c r="O24" s="417"/>
      <c r="P24" s="415" t="e">
        <f>IF(AND('Mapa final'!#REF!="Media",'Mapa final'!#REF!="Menor"),CONCATENATE("R",'Mapa final'!#REF!),"")</f>
        <v>#REF!</v>
      </c>
      <c r="Q24" s="416"/>
      <c r="R24" s="416" t="e">
        <f>IF(AND('Mapa final'!#REF!="Media",'Mapa final'!#REF!="Menor"),CONCATENATE("R",'Mapa final'!#REF!),"")</f>
        <v>#REF!</v>
      </c>
      <c r="S24" s="416"/>
      <c r="T24" s="416" t="str">
        <f>IF(AND('Mapa final'!$K$18="Media",'Mapa final'!$O$18="Menor"),CONCATENATE("R",'Mapa final'!$A$18),"")</f>
        <v/>
      </c>
      <c r="U24" s="417"/>
      <c r="V24" s="415" t="e">
        <f>IF(AND('Mapa final'!#REF!="Media",'Mapa final'!#REF!="Moderado"),CONCATENATE("R",'Mapa final'!#REF!),"")</f>
        <v>#REF!</v>
      </c>
      <c r="W24" s="416"/>
      <c r="X24" s="416" t="e">
        <f>IF(AND('Mapa final'!#REF!="Media",'Mapa final'!#REF!="Moderado"),CONCATENATE("R",'Mapa final'!#REF!),"")</f>
        <v>#REF!</v>
      </c>
      <c r="Y24" s="416"/>
      <c r="Z24" s="416" t="str">
        <f>IF(AND('Mapa final'!$K$18="Media",'Mapa final'!$O$18="Moderado"),CONCATENATE("R",'Mapa final'!$A$18),"")</f>
        <v/>
      </c>
      <c r="AA24" s="417"/>
      <c r="AB24" s="399" t="e">
        <f>IF(AND('Mapa final'!#REF!="Media",'Mapa final'!#REF!="Mayor"),CONCATENATE("R",'Mapa final'!#REF!),"")</f>
        <v>#REF!</v>
      </c>
      <c r="AC24" s="395"/>
      <c r="AD24" s="395" t="e">
        <f>IF(AND('Mapa final'!#REF!="Media",'Mapa final'!#REF!="Mayor"),CONCATENATE("R",'Mapa final'!#REF!),"")</f>
        <v>#REF!</v>
      </c>
      <c r="AE24" s="395"/>
      <c r="AF24" s="395" t="str">
        <f>IF(AND('Mapa final'!$K$18="Media",'Mapa final'!$O$18="Mayor"),CONCATENATE("R",'Mapa final'!$A$18),"")</f>
        <v/>
      </c>
      <c r="AG24" s="396"/>
      <c r="AH24" s="406" t="e">
        <f>IF(AND('Mapa final'!#REF!="Media",'Mapa final'!#REF!="Catastrófico"),CONCATENATE("R",'Mapa final'!#REF!),"")</f>
        <v>#REF!</v>
      </c>
      <c r="AI24" s="407"/>
      <c r="AJ24" s="407" t="e">
        <f>IF(AND('Mapa final'!#REF!="Media",'Mapa final'!#REF!="Catastrófico"),CONCATENATE("R",'Mapa final'!#REF!),"")</f>
        <v>#REF!</v>
      </c>
      <c r="AK24" s="407"/>
      <c r="AL24" s="407" t="str">
        <f>IF(AND('Mapa final'!$K$18="Media",'Mapa final'!$O$18="Catastrófico"),CONCATENATE("R",'Mapa final'!$A$18),"")</f>
        <v/>
      </c>
      <c r="AM24" s="408"/>
      <c r="AN24" s="80"/>
      <c r="AO24" s="371"/>
      <c r="AP24" s="372"/>
      <c r="AQ24" s="372"/>
      <c r="AR24" s="372"/>
      <c r="AS24" s="372"/>
      <c r="AT24" s="373"/>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48"/>
      <c r="C25" s="348"/>
      <c r="D25" s="349"/>
      <c r="E25" s="389"/>
      <c r="F25" s="390"/>
      <c r="G25" s="390"/>
      <c r="H25" s="390"/>
      <c r="I25" s="391"/>
      <c r="J25" s="415"/>
      <c r="K25" s="416"/>
      <c r="L25" s="416"/>
      <c r="M25" s="416"/>
      <c r="N25" s="416"/>
      <c r="O25" s="417"/>
      <c r="P25" s="415"/>
      <c r="Q25" s="416"/>
      <c r="R25" s="416"/>
      <c r="S25" s="416"/>
      <c r="T25" s="416"/>
      <c r="U25" s="417"/>
      <c r="V25" s="415"/>
      <c r="W25" s="416"/>
      <c r="X25" s="416"/>
      <c r="Y25" s="416"/>
      <c r="Z25" s="416"/>
      <c r="AA25" s="417"/>
      <c r="AB25" s="399"/>
      <c r="AC25" s="395"/>
      <c r="AD25" s="395"/>
      <c r="AE25" s="395"/>
      <c r="AF25" s="395"/>
      <c r="AG25" s="396"/>
      <c r="AH25" s="406"/>
      <c r="AI25" s="407"/>
      <c r="AJ25" s="407"/>
      <c r="AK25" s="407"/>
      <c r="AL25" s="407"/>
      <c r="AM25" s="408"/>
      <c r="AN25" s="80"/>
      <c r="AO25" s="371"/>
      <c r="AP25" s="372"/>
      <c r="AQ25" s="372"/>
      <c r="AR25" s="372"/>
      <c r="AS25" s="372"/>
      <c r="AT25" s="373"/>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48"/>
      <c r="C26" s="348"/>
      <c r="D26" s="349"/>
      <c r="E26" s="389"/>
      <c r="F26" s="390"/>
      <c r="G26" s="390"/>
      <c r="H26" s="390"/>
      <c r="I26" s="391"/>
      <c r="J26" s="415" t="str">
        <f>IF(AND('Mapa final'!$K$24="Media",'Mapa final'!$O$24="Leve"),CONCATENATE("R",'Mapa final'!$A$24),"")</f>
        <v/>
      </c>
      <c r="K26" s="416"/>
      <c r="L26" s="416" t="str">
        <f>IF(AND('Mapa final'!$K$30="Media",'Mapa final'!$O$30="Leve"),CONCATENATE("R",'Mapa final'!$A$30),"")</f>
        <v/>
      </c>
      <c r="M26" s="416"/>
      <c r="N26" s="416" t="str">
        <f>IF(AND('Mapa final'!$K$36="Media",'Mapa final'!$O$36="Leve"),CONCATENATE("R",'Mapa final'!$A$36),"")</f>
        <v/>
      </c>
      <c r="O26" s="417"/>
      <c r="P26" s="415" t="str">
        <f>IF(AND('Mapa final'!$K$24="Media",'Mapa final'!$O$24="Menor"),CONCATENATE("R",'Mapa final'!$A$24),"")</f>
        <v/>
      </c>
      <c r="Q26" s="416"/>
      <c r="R26" s="416" t="str">
        <f>IF(AND('Mapa final'!$K$30="Media",'Mapa final'!$O$30="Menor"),CONCATENATE("R",'Mapa final'!$A$30),"")</f>
        <v/>
      </c>
      <c r="S26" s="416"/>
      <c r="T26" s="416" t="str">
        <f>IF(AND('Mapa final'!$K$36="Media",'Mapa final'!$O$36="Menor"),CONCATENATE("R",'Mapa final'!$A$36),"")</f>
        <v/>
      </c>
      <c r="U26" s="417"/>
      <c r="V26" s="415" t="str">
        <f>IF(AND('Mapa final'!$K$24="Media",'Mapa final'!$O$24="Moderado"),CONCATENATE("R",'Mapa final'!$A$24),"")</f>
        <v/>
      </c>
      <c r="W26" s="416"/>
      <c r="X26" s="416" t="str">
        <f>IF(AND('Mapa final'!$K$30="Media",'Mapa final'!$O$30="Moderado"),CONCATENATE("R",'Mapa final'!$A$30),"")</f>
        <v/>
      </c>
      <c r="Y26" s="416"/>
      <c r="Z26" s="416" t="str">
        <f>IF(AND('Mapa final'!$K$36="Media",'Mapa final'!$O$36="Moderado"),CONCATENATE("R",'Mapa final'!$A$36),"")</f>
        <v/>
      </c>
      <c r="AA26" s="417"/>
      <c r="AB26" s="399" t="str">
        <f>IF(AND('Mapa final'!$K$24="Media",'Mapa final'!$O$24="Mayor"),CONCATENATE("R",'Mapa final'!$A$24),"")</f>
        <v/>
      </c>
      <c r="AC26" s="395"/>
      <c r="AD26" s="395" t="str">
        <f>IF(AND('Mapa final'!$K$30="Media",'Mapa final'!$O$30="Mayor"),CONCATENATE("R",'Mapa final'!$A$30),"")</f>
        <v/>
      </c>
      <c r="AE26" s="395"/>
      <c r="AF26" s="395" t="str">
        <f>IF(AND('Mapa final'!$K$36="Media",'Mapa final'!$O$36="Mayor"),CONCATENATE("R",'Mapa final'!$A$36),"")</f>
        <v/>
      </c>
      <c r="AG26" s="396"/>
      <c r="AH26" s="406" t="str">
        <f>IF(AND('Mapa final'!$K$24="Media",'Mapa final'!$O$24="Catastrófico"),CONCATENATE("R",'Mapa final'!$A$24),"")</f>
        <v/>
      </c>
      <c r="AI26" s="407"/>
      <c r="AJ26" s="407" t="str">
        <f>IF(AND('Mapa final'!$K$30="Media",'Mapa final'!$O$30="Catastrófico"),CONCATENATE("R",'Mapa final'!$A$30),"")</f>
        <v/>
      </c>
      <c r="AK26" s="407"/>
      <c r="AL26" s="407" t="str">
        <f>IF(AND('Mapa final'!$K$36="Media",'Mapa final'!$O$36="Catastrófico"),CONCATENATE("R",'Mapa final'!$A$36),"")</f>
        <v/>
      </c>
      <c r="AM26" s="408"/>
      <c r="AN26" s="80"/>
      <c r="AO26" s="371"/>
      <c r="AP26" s="372"/>
      <c r="AQ26" s="372"/>
      <c r="AR26" s="372"/>
      <c r="AS26" s="372"/>
      <c r="AT26" s="373"/>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48"/>
      <c r="C27" s="348"/>
      <c r="D27" s="349"/>
      <c r="E27" s="389"/>
      <c r="F27" s="390"/>
      <c r="G27" s="390"/>
      <c r="H27" s="390"/>
      <c r="I27" s="391"/>
      <c r="J27" s="415"/>
      <c r="K27" s="416"/>
      <c r="L27" s="416"/>
      <c r="M27" s="416"/>
      <c r="N27" s="416"/>
      <c r="O27" s="417"/>
      <c r="P27" s="415"/>
      <c r="Q27" s="416"/>
      <c r="R27" s="416"/>
      <c r="S27" s="416"/>
      <c r="T27" s="416"/>
      <c r="U27" s="417"/>
      <c r="V27" s="415"/>
      <c r="W27" s="416"/>
      <c r="X27" s="416"/>
      <c r="Y27" s="416"/>
      <c r="Z27" s="416"/>
      <c r="AA27" s="417"/>
      <c r="AB27" s="399"/>
      <c r="AC27" s="395"/>
      <c r="AD27" s="395"/>
      <c r="AE27" s="395"/>
      <c r="AF27" s="395"/>
      <c r="AG27" s="396"/>
      <c r="AH27" s="406"/>
      <c r="AI27" s="407"/>
      <c r="AJ27" s="407"/>
      <c r="AK27" s="407"/>
      <c r="AL27" s="407"/>
      <c r="AM27" s="408"/>
      <c r="AN27" s="80"/>
      <c r="AO27" s="371"/>
      <c r="AP27" s="372"/>
      <c r="AQ27" s="372"/>
      <c r="AR27" s="372"/>
      <c r="AS27" s="372"/>
      <c r="AT27" s="373"/>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48"/>
      <c r="C28" s="348"/>
      <c r="D28" s="349"/>
      <c r="E28" s="389"/>
      <c r="F28" s="390"/>
      <c r="G28" s="390"/>
      <c r="H28" s="390"/>
      <c r="I28" s="391"/>
      <c r="J28" s="415" t="str">
        <f>IF(AND('Mapa final'!$K$42="Media",'Mapa final'!$O$42="Leve"),CONCATENATE("R",'Mapa final'!$A$42),"")</f>
        <v/>
      </c>
      <c r="K28" s="416"/>
      <c r="L28" s="416" t="str">
        <f>IF(AND('Mapa final'!$K$48="Media",'Mapa final'!$O$48="Leve"),CONCATENATE("R",'Mapa final'!$A$48),"")</f>
        <v/>
      </c>
      <c r="M28" s="416"/>
      <c r="N28" s="416" t="str">
        <f>IF(AND('Mapa final'!$K$54="Media",'Mapa final'!$O$54="Leve"),CONCATENATE("R",'Mapa final'!$A$54),"")</f>
        <v/>
      </c>
      <c r="O28" s="417"/>
      <c r="P28" s="415" t="str">
        <f>IF(AND('Mapa final'!$K$42="Media",'Mapa final'!$O$42="Menor"),CONCATENATE("R",'Mapa final'!$A$42),"")</f>
        <v/>
      </c>
      <c r="Q28" s="416"/>
      <c r="R28" s="416" t="str">
        <f>IF(AND('Mapa final'!$K$48="Media",'Mapa final'!$O$48="Menor"),CONCATENATE("R",'Mapa final'!$A$48),"")</f>
        <v/>
      </c>
      <c r="S28" s="416"/>
      <c r="T28" s="416" t="str">
        <f>IF(AND('Mapa final'!$K$54="Media",'Mapa final'!$O$54="Menor"),CONCATENATE("R",'Mapa final'!$A$54),"")</f>
        <v/>
      </c>
      <c r="U28" s="417"/>
      <c r="V28" s="415" t="str">
        <f>IF(AND('Mapa final'!$K$42="Media",'Mapa final'!$O$42="Moderado"),CONCATENATE("R",'Mapa final'!$A$42),"")</f>
        <v/>
      </c>
      <c r="W28" s="416"/>
      <c r="X28" s="416" t="str">
        <f>IF(AND('Mapa final'!$K$48="Media",'Mapa final'!$O$48="Moderado"),CONCATENATE("R",'Mapa final'!$A$48),"")</f>
        <v/>
      </c>
      <c r="Y28" s="416"/>
      <c r="Z28" s="416" t="str">
        <f>IF(AND('Mapa final'!$K$54="Media",'Mapa final'!$O$54="Moderado"),CONCATENATE("R",'Mapa final'!$A$54),"")</f>
        <v/>
      </c>
      <c r="AA28" s="417"/>
      <c r="AB28" s="399" t="str">
        <f>IF(AND('Mapa final'!$K$42="Media",'Mapa final'!$O$42="Mayor"),CONCATENATE("R",'Mapa final'!$A$42),"")</f>
        <v/>
      </c>
      <c r="AC28" s="395"/>
      <c r="AD28" s="395" t="str">
        <f>IF(AND('Mapa final'!$K$48="Media",'Mapa final'!$O$48="Mayor"),CONCATENATE("R",'Mapa final'!$A$48),"")</f>
        <v/>
      </c>
      <c r="AE28" s="395"/>
      <c r="AF28" s="395" t="str">
        <f>IF(AND('Mapa final'!$K$54="Media",'Mapa final'!$O$54="Mayor"),CONCATENATE("R",'Mapa final'!$A$54),"")</f>
        <v/>
      </c>
      <c r="AG28" s="396"/>
      <c r="AH28" s="406" t="str">
        <f>IF(AND('Mapa final'!$K$42="Media",'Mapa final'!$O$42="Catastrófico"),CONCATENATE("R",'Mapa final'!$A$42),"")</f>
        <v/>
      </c>
      <c r="AI28" s="407"/>
      <c r="AJ28" s="407" t="str">
        <f>IF(AND('Mapa final'!$K$48="Media",'Mapa final'!$O$48="Catastrófico"),CONCATENATE("R",'Mapa final'!$A$48),"")</f>
        <v/>
      </c>
      <c r="AK28" s="407"/>
      <c r="AL28" s="407" t="str">
        <f>IF(AND('Mapa final'!$K$54="Media",'Mapa final'!$O$54="Catastrófico"),CONCATENATE("R",'Mapa final'!$A$54),"")</f>
        <v/>
      </c>
      <c r="AM28" s="408"/>
      <c r="AN28" s="80"/>
      <c r="AO28" s="371"/>
      <c r="AP28" s="372"/>
      <c r="AQ28" s="372"/>
      <c r="AR28" s="372"/>
      <c r="AS28" s="372"/>
      <c r="AT28" s="373"/>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48"/>
      <c r="C29" s="348"/>
      <c r="D29" s="349"/>
      <c r="E29" s="392"/>
      <c r="F29" s="393"/>
      <c r="G29" s="393"/>
      <c r="H29" s="393"/>
      <c r="I29" s="394"/>
      <c r="J29" s="415"/>
      <c r="K29" s="416"/>
      <c r="L29" s="416"/>
      <c r="M29" s="416"/>
      <c r="N29" s="416"/>
      <c r="O29" s="417"/>
      <c r="P29" s="418"/>
      <c r="Q29" s="419"/>
      <c r="R29" s="419"/>
      <c r="S29" s="419"/>
      <c r="T29" s="419"/>
      <c r="U29" s="420"/>
      <c r="V29" s="418"/>
      <c r="W29" s="419"/>
      <c r="X29" s="419"/>
      <c r="Y29" s="419"/>
      <c r="Z29" s="419"/>
      <c r="AA29" s="420"/>
      <c r="AB29" s="403"/>
      <c r="AC29" s="404"/>
      <c r="AD29" s="404"/>
      <c r="AE29" s="404"/>
      <c r="AF29" s="404"/>
      <c r="AG29" s="405"/>
      <c r="AH29" s="409"/>
      <c r="AI29" s="410"/>
      <c r="AJ29" s="410"/>
      <c r="AK29" s="410"/>
      <c r="AL29" s="410"/>
      <c r="AM29" s="411"/>
      <c r="AN29" s="80"/>
      <c r="AO29" s="374"/>
      <c r="AP29" s="375"/>
      <c r="AQ29" s="375"/>
      <c r="AR29" s="375"/>
      <c r="AS29" s="375"/>
      <c r="AT29" s="376"/>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48"/>
      <c r="C30" s="348"/>
      <c r="D30" s="349"/>
      <c r="E30" s="386" t="s">
        <v>114</v>
      </c>
      <c r="F30" s="387"/>
      <c r="G30" s="387"/>
      <c r="H30" s="387"/>
      <c r="I30" s="387"/>
      <c r="J30" s="430" t="str">
        <f>IF(AND('Mapa final'!$K$11="Baja",'Mapa final'!$O$11="Leve"),CONCATENATE("R",'Mapa final'!$A$11),"")</f>
        <v/>
      </c>
      <c r="K30" s="431"/>
      <c r="L30" s="431" t="str">
        <f>IF(AND('Mapa final'!$K$13="Baja",'Mapa final'!$O$13="Leve"),CONCATENATE("R",'Mapa final'!$A$13),"")</f>
        <v/>
      </c>
      <c r="M30" s="431"/>
      <c r="N30" s="431" t="str">
        <f>IF(AND('Mapa final'!$K$15="Baja",'Mapa final'!$O$15="Leve"),CONCATENATE("R",'Mapa final'!$A$15),"")</f>
        <v/>
      </c>
      <c r="O30" s="432"/>
      <c r="P30" s="422" t="str">
        <f>IF(AND('Mapa final'!$K$11="Baja",'Mapa final'!$O$11="Menor"),CONCATENATE("R",'Mapa final'!$A$11),"")</f>
        <v/>
      </c>
      <c r="Q30" s="422"/>
      <c r="R30" s="422" t="str">
        <f>IF(AND('Mapa final'!$K$13="Baja",'Mapa final'!$O$13="Menor"),CONCATENATE("R",'Mapa final'!$A$13),"")</f>
        <v/>
      </c>
      <c r="S30" s="422"/>
      <c r="T30" s="422" t="str">
        <f>IF(AND('Mapa final'!$K$15="Baja",'Mapa final'!$O$15="Menor"),CONCATENATE("R",'Mapa final'!$A$15),"")</f>
        <v/>
      </c>
      <c r="U30" s="423"/>
      <c r="V30" s="421" t="str">
        <f>IF(AND('Mapa final'!$K$11="Baja",'Mapa final'!$O$11="Moderado"),CONCATENATE("R",'Mapa final'!$A$11),"")</f>
        <v/>
      </c>
      <c r="W30" s="422"/>
      <c r="X30" s="422" t="str">
        <f>IF(AND('Mapa final'!$K$13="Baja",'Mapa final'!$O$13="Moderado"),CONCATENATE("R",'Mapa final'!$A$13),"")</f>
        <v/>
      </c>
      <c r="Y30" s="422"/>
      <c r="Z30" s="422" t="str">
        <f>IF(AND('Mapa final'!$K$15="Baja",'Mapa final'!$O$15="Moderado"),CONCATENATE("R",'Mapa final'!$A$15),"")</f>
        <v/>
      </c>
      <c r="AA30" s="423"/>
      <c r="AB30" s="397" t="str">
        <f>IF(AND('Mapa final'!$K$11="Baja",'Mapa final'!$O$11="Mayor"),CONCATENATE("R",'Mapa final'!$A$11),"")</f>
        <v/>
      </c>
      <c r="AC30" s="398"/>
      <c r="AD30" s="398" t="str">
        <f>IF(AND('Mapa final'!$K$13="Baja",'Mapa final'!$O$13="Mayor"),CONCATENATE("R",'Mapa final'!$A$13),"")</f>
        <v/>
      </c>
      <c r="AE30" s="398"/>
      <c r="AF30" s="398" t="str">
        <f>IF(AND('Mapa final'!$K$15="Baja",'Mapa final'!$O$15="Mayor"),CONCATENATE("R",'Mapa final'!$A$15),"")</f>
        <v/>
      </c>
      <c r="AG30" s="400"/>
      <c r="AH30" s="412" t="str">
        <f>IF(AND('Mapa final'!$K$11="Baja",'Mapa final'!$O$11="Catastrófico"),CONCATENATE("R",'Mapa final'!$A$11),"")</f>
        <v/>
      </c>
      <c r="AI30" s="413"/>
      <c r="AJ30" s="413" t="str">
        <f>IF(AND('Mapa final'!$K$13="Baja",'Mapa final'!$O$13="Catastrófico"),CONCATENATE("R",'Mapa final'!$A$13),"")</f>
        <v/>
      </c>
      <c r="AK30" s="413"/>
      <c r="AL30" s="413" t="str">
        <f>IF(AND('Mapa final'!$K$15="Baja",'Mapa final'!$O$15="Catastrófico"),CONCATENATE("R",'Mapa final'!$A$15),"")</f>
        <v/>
      </c>
      <c r="AM30" s="414"/>
      <c r="AN30" s="80"/>
      <c r="AO30" s="377" t="s">
        <v>82</v>
      </c>
      <c r="AP30" s="378"/>
      <c r="AQ30" s="378"/>
      <c r="AR30" s="378"/>
      <c r="AS30" s="378"/>
      <c r="AT30" s="379"/>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48"/>
      <c r="C31" s="348"/>
      <c r="D31" s="349"/>
      <c r="E31" s="389"/>
      <c r="F31" s="390"/>
      <c r="G31" s="390"/>
      <c r="H31" s="390"/>
      <c r="I31" s="390"/>
      <c r="J31" s="426"/>
      <c r="K31" s="424"/>
      <c r="L31" s="424"/>
      <c r="M31" s="424"/>
      <c r="N31" s="424"/>
      <c r="O31" s="425"/>
      <c r="P31" s="416"/>
      <c r="Q31" s="416"/>
      <c r="R31" s="416"/>
      <c r="S31" s="416"/>
      <c r="T31" s="416"/>
      <c r="U31" s="417"/>
      <c r="V31" s="415"/>
      <c r="W31" s="416"/>
      <c r="X31" s="416"/>
      <c r="Y31" s="416"/>
      <c r="Z31" s="416"/>
      <c r="AA31" s="417"/>
      <c r="AB31" s="399"/>
      <c r="AC31" s="395"/>
      <c r="AD31" s="395"/>
      <c r="AE31" s="395"/>
      <c r="AF31" s="395"/>
      <c r="AG31" s="396"/>
      <c r="AH31" s="406"/>
      <c r="AI31" s="407"/>
      <c r="AJ31" s="407"/>
      <c r="AK31" s="407"/>
      <c r="AL31" s="407"/>
      <c r="AM31" s="408"/>
      <c r="AN31" s="80"/>
      <c r="AO31" s="380"/>
      <c r="AP31" s="381"/>
      <c r="AQ31" s="381"/>
      <c r="AR31" s="381"/>
      <c r="AS31" s="381"/>
      <c r="AT31" s="382"/>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48"/>
      <c r="C32" s="348"/>
      <c r="D32" s="349"/>
      <c r="E32" s="389"/>
      <c r="F32" s="390"/>
      <c r="G32" s="390"/>
      <c r="H32" s="390"/>
      <c r="I32" s="390"/>
      <c r="J32" s="426" t="e">
        <f>IF(AND('Mapa final'!#REF!="Baja",'Mapa final'!#REF!="Leve"),CONCATENATE("R",'Mapa final'!#REF!),"")</f>
        <v>#REF!</v>
      </c>
      <c r="K32" s="424"/>
      <c r="L32" s="424" t="e">
        <f>IF(AND('Mapa final'!#REF!="Baja",'Mapa final'!#REF!="Leve"),CONCATENATE("R",'Mapa final'!#REF!),"")</f>
        <v>#REF!</v>
      </c>
      <c r="M32" s="424"/>
      <c r="N32" s="424" t="str">
        <f>IF(AND('Mapa final'!$K$18="Baja",'Mapa final'!$O$18="Leve"),CONCATENATE("R",'Mapa final'!$A$18),"")</f>
        <v/>
      </c>
      <c r="O32" s="425"/>
      <c r="P32" s="416" t="e">
        <f>IF(AND('Mapa final'!#REF!="Baja",'Mapa final'!#REF!="Menor"),CONCATENATE("R",'Mapa final'!#REF!),"")</f>
        <v>#REF!</v>
      </c>
      <c r="Q32" s="416"/>
      <c r="R32" s="416" t="e">
        <f>IF(AND('Mapa final'!#REF!="Baja",'Mapa final'!#REF!="Menor"),CONCATENATE("R",'Mapa final'!#REF!),"")</f>
        <v>#REF!</v>
      </c>
      <c r="S32" s="416"/>
      <c r="T32" s="416" t="str">
        <f>IF(AND('Mapa final'!$K$18="Baja",'Mapa final'!$O$18="Menor"),CONCATENATE("R",'Mapa final'!$A$18),"")</f>
        <v/>
      </c>
      <c r="U32" s="417"/>
      <c r="V32" s="415" t="e">
        <f>IF(AND('Mapa final'!#REF!="Baja",'Mapa final'!#REF!="Moderado"),CONCATENATE("R",'Mapa final'!#REF!),"")</f>
        <v>#REF!</v>
      </c>
      <c r="W32" s="416"/>
      <c r="X32" s="416" t="e">
        <f>IF(AND('Mapa final'!#REF!="Baja",'Mapa final'!#REF!="Moderado"),CONCATENATE("R",'Mapa final'!#REF!),"")</f>
        <v>#REF!</v>
      </c>
      <c r="Y32" s="416"/>
      <c r="Z32" s="416" t="str">
        <f>IF(AND('Mapa final'!$K$18="Baja",'Mapa final'!$O$18="Moderado"),CONCATENATE("R",'Mapa final'!$A$18),"")</f>
        <v/>
      </c>
      <c r="AA32" s="417"/>
      <c r="AB32" s="399" t="e">
        <f>IF(AND('Mapa final'!#REF!="Baja",'Mapa final'!#REF!="Mayor"),CONCATENATE("R",'Mapa final'!#REF!),"")</f>
        <v>#REF!</v>
      </c>
      <c r="AC32" s="395"/>
      <c r="AD32" s="395" t="e">
        <f>IF(AND('Mapa final'!#REF!="Baja",'Mapa final'!#REF!="Mayor"),CONCATENATE("R",'Mapa final'!#REF!),"")</f>
        <v>#REF!</v>
      </c>
      <c r="AE32" s="395"/>
      <c r="AF32" s="395" t="str">
        <f>IF(AND('Mapa final'!$K$18="Baja",'Mapa final'!$O$18="Mayor"),CONCATENATE("R",'Mapa final'!$A$18),"")</f>
        <v/>
      </c>
      <c r="AG32" s="396"/>
      <c r="AH32" s="406" t="e">
        <f>IF(AND('Mapa final'!#REF!="Baja",'Mapa final'!#REF!="Catastrófico"),CONCATENATE("R",'Mapa final'!#REF!),"")</f>
        <v>#REF!</v>
      </c>
      <c r="AI32" s="407"/>
      <c r="AJ32" s="407" t="e">
        <f>IF(AND('Mapa final'!#REF!="Baja",'Mapa final'!#REF!="Catastrófico"),CONCATENATE("R",'Mapa final'!#REF!),"")</f>
        <v>#REF!</v>
      </c>
      <c r="AK32" s="407"/>
      <c r="AL32" s="407" t="str">
        <f>IF(AND('Mapa final'!$K$18="Baja",'Mapa final'!$O$18="Catastrófico"),CONCATENATE("R",'Mapa final'!$A$18),"")</f>
        <v/>
      </c>
      <c r="AM32" s="408"/>
      <c r="AN32" s="80"/>
      <c r="AO32" s="380"/>
      <c r="AP32" s="381"/>
      <c r="AQ32" s="381"/>
      <c r="AR32" s="381"/>
      <c r="AS32" s="381"/>
      <c r="AT32" s="382"/>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48"/>
      <c r="C33" s="348"/>
      <c r="D33" s="349"/>
      <c r="E33" s="389"/>
      <c r="F33" s="390"/>
      <c r="G33" s="390"/>
      <c r="H33" s="390"/>
      <c r="I33" s="390"/>
      <c r="J33" s="426"/>
      <c r="K33" s="424"/>
      <c r="L33" s="424"/>
      <c r="M33" s="424"/>
      <c r="N33" s="424"/>
      <c r="O33" s="425"/>
      <c r="P33" s="416"/>
      <c r="Q33" s="416"/>
      <c r="R33" s="416"/>
      <c r="S33" s="416"/>
      <c r="T33" s="416"/>
      <c r="U33" s="417"/>
      <c r="V33" s="415"/>
      <c r="W33" s="416"/>
      <c r="X33" s="416"/>
      <c r="Y33" s="416"/>
      <c r="Z33" s="416"/>
      <c r="AA33" s="417"/>
      <c r="AB33" s="399"/>
      <c r="AC33" s="395"/>
      <c r="AD33" s="395"/>
      <c r="AE33" s="395"/>
      <c r="AF33" s="395"/>
      <c r="AG33" s="396"/>
      <c r="AH33" s="406"/>
      <c r="AI33" s="407"/>
      <c r="AJ33" s="407"/>
      <c r="AK33" s="407"/>
      <c r="AL33" s="407"/>
      <c r="AM33" s="408"/>
      <c r="AN33" s="80"/>
      <c r="AO33" s="380"/>
      <c r="AP33" s="381"/>
      <c r="AQ33" s="381"/>
      <c r="AR33" s="381"/>
      <c r="AS33" s="381"/>
      <c r="AT33" s="382"/>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48"/>
      <c r="C34" s="348"/>
      <c r="D34" s="349"/>
      <c r="E34" s="389"/>
      <c r="F34" s="390"/>
      <c r="G34" s="390"/>
      <c r="H34" s="390"/>
      <c r="I34" s="390"/>
      <c r="J34" s="426" t="str">
        <f>IF(AND('Mapa final'!$K$24="Baja",'Mapa final'!$O$24="Leve"),CONCATENATE("R",'Mapa final'!$A$24),"")</f>
        <v/>
      </c>
      <c r="K34" s="424"/>
      <c r="L34" s="424" t="str">
        <f>IF(AND('Mapa final'!$K$30="Baja",'Mapa final'!$O$30="Leve"),CONCATENATE("R",'Mapa final'!$A$30),"")</f>
        <v/>
      </c>
      <c r="M34" s="424"/>
      <c r="N34" s="424" t="str">
        <f>IF(AND('Mapa final'!$K$36="Baja",'Mapa final'!$O$36="Leve"),CONCATENATE("R",'Mapa final'!$A$36),"")</f>
        <v/>
      </c>
      <c r="O34" s="425"/>
      <c r="P34" s="416" t="str">
        <f>IF(AND('Mapa final'!$K$24="Baja",'Mapa final'!$O$24="Menor"),CONCATENATE("R",'Mapa final'!$A$24),"")</f>
        <v/>
      </c>
      <c r="Q34" s="416"/>
      <c r="R34" s="416" t="str">
        <f>IF(AND('Mapa final'!$K$30="Baja",'Mapa final'!$O$30="Menor"),CONCATENATE("R",'Mapa final'!$A$30),"")</f>
        <v/>
      </c>
      <c r="S34" s="416"/>
      <c r="T34" s="416" t="str">
        <f>IF(AND('Mapa final'!$K$36="Baja",'Mapa final'!$O$36="Menor"),CONCATENATE("R",'Mapa final'!$A$36),"")</f>
        <v/>
      </c>
      <c r="U34" s="417"/>
      <c r="V34" s="415" t="str">
        <f>IF(AND('Mapa final'!$K$24="Baja",'Mapa final'!$O$24="Moderado"),CONCATENATE("R",'Mapa final'!$A$24),"")</f>
        <v/>
      </c>
      <c r="W34" s="416"/>
      <c r="X34" s="416" t="str">
        <f>IF(AND('Mapa final'!$K$30="Baja",'Mapa final'!$O$30="Moderado"),CONCATENATE("R",'Mapa final'!$A$30),"")</f>
        <v/>
      </c>
      <c r="Y34" s="416"/>
      <c r="Z34" s="416" t="str">
        <f>IF(AND('Mapa final'!$K$36="Baja",'Mapa final'!$O$36="Moderado"),CONCATENATE("R",'Mapa final'!$A$36),"")</f>
        <v/>
      </c>
      <c r="AA34" s="417"/>
      <c r="AB34" s="399" t="str">
        <f>IF(AND('Mapa final'!$K$24="Baja",'Mapa final'!$O$24="Mayor"),CONCATENATE("R",'Mapa final'!$A$24),"")</f>
        <v/>
      </c>
      <c r="AC34" s="395"/>
      <c r="AD34" s="395" t="str">
        <f>IF(AND('Mapa final'!$K$30="Baja",'Mapa final'!$O$30="Mayor"),CONCATENATE("R",'Mapa final'!$A$30),"")</f>
        <v/>
      </c>
      <c r="AE34" s="395"/>
      <c r="AF34" s="395" t="str">
        <f>IF(AND('Mapa final'!$K$36="Baja",'Mapa final'!$O$36="Mayor"),CONCATENATE("R",'Mapa final'!$A$36),"")</f>
        <v/>
      </c>
      <c r="AG34" s="396"/>
      <c r="AH34" s="406" t="str">
        <f>IF(AND('Mapa final'!$K$24="Baja",'Mapa final'!$O$24="Catastrófico"),CONCATENATE("R",'Mapa final'!$A$24),"")</f>
        <v/>
      </c>
      <c r="AI34" s="407"/>
      <c r="AJ34" s="407" t="str">
        <f>IF(AND('Mapa final'!$K$30="Baja",'Mapa final'!$O$30="Catastrófico"),CONCATENATE("R",'Mapa final'!$A$30),"")</f>
        <v/>
      </c>
      <c r="AK34" s="407"/>
      <c r="AL34" s="407" t="str">
        <f>IF(AND('Mapa final'!$K$36="Baja",'Mapa final'!$O$36="Catastrófico"),CONCATENATE("R",'Mapa final'!$A$36),"")</f>
        <v/>
      </c>
      <c r="AM34" s="408"/>
      <c r="AN34" s="80"/>
      <c r="AO34" s="380"/>
      <c r="AP34" s="381"/>
      <c r="AQ34" s="381"/>
      <c r="AR34" s="381"/>
      <c r="AS34" s="381"/>
      <c r="AT34" s="382"/>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48"/>
      <c r="C35" s="348"/>
      <c r="D35" s="349"/>
      <c r="E35" s="389"/>
      <c r="F35" s="390"/>
      <c r="G35" s="390"/>
      <c r="H35" s="390"/>
      <c r="I35" s="390"/>
      <c r="J35" s="426"/>
      <c r="K35" s="424"/>
      <c r="L35" s="424"/>
      <c r="M35" s="424"/>
      <c r="N35" s="424"/>
      <c r="O35" s="425"/>
      <c r="P35" s="416"/>
      <c r="Q35" s="416"/>
      <c r="R35" s="416"/>
      <c r="S35" s="416"/>
      <c r="T35" s="416"/>
      <c r="U35" s="417"/>
      <c r="V35" s="415"/>
      <c r="W35" s="416"/>
      <c r="X35" s="416"/>
      <c r="Y35" s="416"/>
      <c r="Z35" s="416"/>
      <c r="AA35" s="417"/>
      <c r="AB35" s="399"/>
      <c r="AC35" s="395"/>
      <c r="AD35" s="395"/>
      <c r="AE35" s="395"/>
      <c r="AF35" s="395"/>
      <c r="AG35" s="396"/>
      <c r="AH35" s="406"/>
      <c r="AI35" s="407"/>
      <c r="AJ35" s="407"/>
      <c r="AK35" s="407"/>
      <c r="AL35" s="407"/>
      <c r="AM35" s="408"/>
      <c r="AN35" s="80"/>
      <c r="AO35" s="380"/>
      <c r="AP35" s="381"/>
      <c r="AQ35" s="381"/>
      <c r="AR35" s="381"/>
      <c r="AS35" s="381"/>
      <c r="AT35" s="382"/>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48"/>
      <c r="C36" s="348"/>
      <c r="D36" s="349"/>
      <c r="E36" s="389"/>
      <c r="F36" s="390"/>
      <c r="G36" s="390"/>
      <c r="H36" s="390"/>
      <c r="I36" s="390"/>
      <c r="J36" s="426" t="str">
        <f>IF(AND('Mapa final'!$K$42="Baja",'Mapa final'!$O$42="Leve"),CONCATENATE("R",'Mapa final'!$A$42),"")</f>
        <v/>
      </c>
      <c r="K36" s="424"/>
      <c r="L36" s="424" t="str">
        <f>IF(AND('Mapa final'!$K$48="Baja",'Mapa final'!$O$48="Leve"),CONCATENATE("R",'Mapa final'!$A$48),"")</f>
        <v/>
      </c>
      <c r="M36" s="424"/>
      <c r="N36" s="424" t="str">
        <f>IF(AND('Mapa final'!$K$54="Baja",'Mapa final'!$O$54="Leve"),CONCATENATE("R",'Mapa final'!$A$54),"")</f>
        <v/>
      </c>
      <c r="O36" s="425"/>
      <c r="P36" s="416" t="str">
        <f>IF(AND('Mapa final'!$K$42="Baja",'Mapa final'!$O$42="Menor"),CONCATENATE("R",'Mapa final'!$A$42),"")</f>
        <v/>
      </c>
      <c r="Q36" s="416"/>
      <c r="R36" s="416" t="str">
        <f>IF(AND('Mapa final'!$K$48="Baja",'Mapa final'!$O$48="Menor"),CONCATENATE("R",'Mapa final'!$A$48),"")</f>
        <v/>
      </c>
      <c r="S36" s="416"/>
      <c r="T36" s="416" t="str">
        <f>IF(AND('Mapa final'!$K$54="Baja",'Mapa final'!$O$54="Menor"),CONCATENATE("R",'Mapa final'!$A$54),"")</f>
        <v/>
      </c>
      <c r="U36" s="417"/>
      <c r="V36" s="415" t="str">
        <f>IF(AND('Mapa final'!$K$42="Baja",'Mapa final'!$O$42="Moderado"),CONCATENATE("R",'Mapa final'!$A$42),"")</f>
        <v/>
      </c>
      <c r="W36" s="416"/>
      <c r="X36" s="416" t="str">
        <f>IF(AND('Mapa final'!$K$48="Baja",'Mapa final'!$O$48="Moderado"),CONCATENATE("R",'Mapa final'!$A$48),"")</f>
        <v/>
      </c>
      <c r="Y36" s="416"/>
      <c r="Z36" s="416" t="str">
        <f>IF(AND('Mapa final'!$K$54="Baja",'Mapa final'!$O$54="Moderado"),CONCATENATE("R",'Mapa final'!$A$54),"")</f>
        <v/>
      </c>
      <c r="AA36" s="417"/>
      <c r="AB36" s="399" t="str">
        <f>IF(AND('Mapa final'!$K$42="Baja",'Mapa final'!$O$42="Mayor"),CONCATENATE("R",'Mapa final'!$A$42),"")</f>
        <v/>
      </c>
      <c r="AC36" s="395"/>
      <c r="AD36" s="395" t="str">
        <f>IF(AND('Mapa final'!$K$48="Baja",'Mapa final'!$O$48="Mayor"),CONCATENATE("R",'Mapa final'!$A$48),"")</f>
        <v/>
      </c>
      <c r="AE36" s="395"/>
      <c r="AF36" s="395" t="str">
        <f>IF(AND('Mapa final'!$K$54="Baja",'Mapa final'!$O$54="Mayor"),CONCATENATE("R",'Mapa final'!$A$54),"")</f>
        <v/>
      </c>
      <c r="AG36" s="396"/>
      <c r="AH36" s="406" t="str">
        <f>IF(AND('Mapa final'!$K$42="Baja",'Mapa final'!$O$42="Catastrófico"),CONCATENATE("R",'Mapa final'!$A$42),"")</f>
        <v/>
      </c>
      <c r="AI36" s="407"/>
      <c r="AJ36" s="407" t="str">
        <f>IF(AND('Mapa final'!$K$48="Baja",'Mapa final'!$O$48="Catastrófico"),CONCATENATE("R",'Mapa final'!$A$48),"")</f>
        <v/>
      </c>
      <c r="AK36" s="407"/>
      <c r="AL36" s="407" t="str">
        <f>IF(AND('Mapa final'!$K$54="Baja",'Mapa final'!$O$54="Catastrófico"),CONCATENATE("R",'Mapa final'!$A$54),"")</f>
        <v/>
      </c>
      <c r="AM36" s="408"/>
      <c r="AN36" s="80"/>
      <c r="AO36" s="380"/>
      <c r="AP36" s="381"/>
      <c r="AQ36" s="381"/>
      <c r="AR36" s="381"/>
      <c r="AS36" s="381"/>
      <c r="AT36" s="382"/>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48"/>
      <c r="C37" s="348"/>
      <c r="D37" s="349"/>
      <c r="E37" s="392"/>
      <c r="F37" s="393"/>
      <c r="G37" s="393"/>
      <c r="H37" s="393"/>
      <c r="I37" s="393"/>
      <c r="J37" s="427"/>
      <c r="K37" s="428"/>
      <c r="L37" s="428"/>
      <c r="M37" s="428"/>
      <c r="N37" s="428"/>
      <c r="O37" s="429"/>
      <c r="P37" s="419"/>
      <c r="Q37" s="419"/>
      <c r="R37" s="419"/>
      <c r="S37" s="419"/>
      <c r="T37" s="419"/>
      <c r="U37" s="420"/>
      <c r="V37" s="418"/>
      <c r="W37" s="419"/>
      <c r="X37" s="419"/>
      <c r="Y37" s="419"/>
      <c r="Z37" s="419"/>
      <c r="AA37" s="420"/>
      <c r="AB37" s="403"/>
      <c r="AC37" s="404"/>
      <c r="AD37" s="404"/>
      <c r="AE37" s="404"/>
      <c r="AF37" s="404"/>
      <c r="AG37" s="405"/>
      <c r="AH37" s="409"/>
      <c r="AI37" s="410"/>
      <c r="AJ37" s="410"/>
      <c r="AK37" s="410"/>
      <c r="AL37" s="410"/>
      <c r="AM37" s="411"/>
      <c r="AN37" s="80"/>
      <c r="AO37" s="383"/>
      <c r="AP37" s="384"/>
      <c r="AQ37" s="384"/>
      <c r="AR37" s="384"/>
      <c r="AS37" s="384"/>
      <c r="AT37" s="385"/>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48"/>
      <c r="C38" s="348"/>
      <c r="D38" s="349"/>
      <c r="E38" s="386" t="s">
        <v>113</v>
      </c>
      <c r="F38" s="387"/>
      <c r="G38" s="387"/>
      <c r="H38" s="387"/>
      <c r="I38" s="388"/>
      <c r="J38" s="430" t="str">
        <f>IF(AND('Mapa final'!$K$11="Muy Baja",'Mapa final'!$O$11="Leve"),CONCATENATE("R",'Mapa final'!$A$11),"")</f>
        <v/>
      </c>
      <c r="K38" s="431"/>
      <c r="L38" s="431" t="str">
        <f>IF(AND('Mapa final'!$K$13="Muy Baja",'Mapa final'!$O$13="Leve"),CONCATENATE("R",'Mapa final'!$A$13),"")</f>
        <v/>
      </c>
      <c r="M38" s="431"/>
      <c r="N38" s="431" t="str">
        <f>IF(AND('Mapa final'!$K$15="Muy Baja",'Mapa final'!$O$15="Leve"),CONCATENATE("R",'Mapa final'!$A$15),"")</f>
        <v/>
      </c>
      <c r="O38" s="432"/>
      <c r="P38" s="430" t="str">
        <f>IF(AND('Mapa final'!$K$11="Muy Baja",'Mapa final'!$O$11="Menor"),CONCATENATE("R",'Mapa final'!$A$11),"")</f>
        <v/>
      </c>
      <c r="Q38" s="431"/>
      <c r="R38" s="431" t="str">
        <f>IF(AND('Mapa final'!$K$13="Muy Baja",'Mapa final'!$O$13="Menor"),CONCATENATE("R",'Mapa final'!$A$13),"")</f>
        <v/>
      </c>
      <c r="S38" s="431"/>
      <c r="T38" s="431" t="str">
        <f>IF(AND('Mapa final'!$K$15="Muy Baja",'Mapa final'!$O$15="Menor"),CONCATENATE("R",'Mapa final'!$A$15),"")</f>
        <v/>
      </c>
      <c r="U38" s="432"/>
      <c r="V38" s="421" t="str">
        <f>IF(AND('Mapa final'!$K$11="Muy Baja",'Mapa final'!$O$11="Moderado"),CONCATENATE("R",'Mapa final'!$A$11),"")</f>
        <v/>
      </c>
      <c r="W38" s="422"/>
      <c r="X38" s="422" t="str">
        <f>IF(AND('Mapa final'!$K$13="Muy Baja",'Mapa final'!$O$13="Moderado"),CONCATENATE("R",'Mapa final'!$A$13),"")</f>
        <v/>
      </c>
      <c r="Y38" s="422"/>
      <c r="Z38" s="422" t="str">
        <f>IF(AND('Mapa final'!$K$15="Muy Baja",'Mapa final'!$O$15="Moderado"),CONCATENATE("R",'Mapa final'!$A$15),"")</f>
        <v/>
      </c>
      <c r="AA38" s="423"/>
      <c r="AB38" s="397" t="str">
        <f>IF(AND('Mapa final'!$K$11="Muy Baja",'Mapa final'!$O$11="Mayor"),CONCATENATE("R",'Mapa final'!$A$11),"")</f>
        <v/>
      </c>
      <c r="AC38" s="398"/>
      <c r="AD38" s="398" t="str">
        <f>IF(AND('Mapa final'!$K$13="Muy Baja",'Mapa final'!$O$13="Mayor"),CONCATENATE("R",'Mapa final'!$A$13),"")</f>
        <v/>
      </c>
      <c r="AE38" s="398"/>
      <c r="AF38" s="398" t="str">
        <f>IF(AND('Mapa final'!$K$15="Muy Baja",'Mapa final'!$O$15="Mayor"),CONCATENATE("R",'Mapa final'!$A$15),"")</f>
        <v/>
      </c>
      <c r="AG38" s="400"/>
      <c r="AH38" s="412" t="str">
        <f>IF(AND('Mapa final'!$K$11="Muy Baja",'Mapa final'!$O$11="Catastrófico"),CONCATENATE("R",'Mapa final'!$A$11),"")</f>
        <v/>
      </c>
      <c r="AI38" s="413"/>
      <c r="AJ38" s="413" t="str">
        <f>IF(AND('Mapa final'!$K$13="Muy Baja",'Mapa final'!$O$13="Catastrófico"),CONCATENATE("R",'Mapa final'!$A$13),"")</f>
        <v/>
      </c>
      <c r="AK38" s="413"/>
      <c r="AL38" s="413" t="str">
        <f>IF(AND('Mapa final'!$K$15="Muy Baja",'Mapa final'!$O$15="Catastrófico"),CONCATENATE("R",'Mapa final'!$A$15),"")</f>
        <v/>
      </c>
      <c r="AM38" s="414"/>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48"/>
      <c r="C39" s="348"/>
      <c r="D39" s="349"/>
      <c r="E39" s="389"/>
      <c r="F39" s="390"/>
      <c r="G39" s="390"/>
      <c r="H39" s="390"/>
      <c r="I39" s="391"/>
      <c r="J39" s="426"/>
      <c r="K39" s="424"/>
      <c r="L39" s="424"/>
      <c r="M39" s="424"/>
      <c r="N39" s="424"/>
      <c r="O39" s="425"/>
      <c r="P39" s="426"/>
      <c r="Q39" s="424"/>
      <c r="R39" s="424"/>
      <c r="S39" s="424"/>
      <c r="T39" s="424"/>
      <c r="U39" s="425"/>
      <c r="V39" s="415"/>
      <c r="W39" s="416"/>
      <c r="X39" s="416"/>
      <c r="Y39" s="416"/>
      <c r="Z39" s="416"/>
      <c r="AA39" s="417"/>
      <c r="AB39" s="399"/>
      <c r="AC39" s="395"/>
      <c r="AD39" s="395"/>
      <c r="AE39" s="395"/>
      <c r="AF39" s="395"/>
      <c r="AG39" s="396"/>
      <c r="AH39" s="406"/>
      <c r="AI39" s="407"/>
      <c r="AJ39" s="407"/>
      <c r="AK39" s="407"/>
      <c r="AL39" s="407"/>
      <c r="AM39" s="408"/>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48"/>
      <c r="C40" s="348"/>
      <c r="D40" s="349"/>
      <c r="E40" s="389"/>
      <c r="F40" s="390"/>
      <c r="G40" s="390"/>
      <c r="H40" s="390"/>
      <c r="I40" s="391"/>
      <c r="J40" s="426" t="e">
        <f>IF(AND('Mapa final'!#REF!="Muy Baja",'Mapa final'!#REF!="Leve"),CONCATENATE("R",'Mapa final'!#REF!),"")</f>
        <v>#REF!</v>
      </c>
      <c r="K40" s="424"/>
      <c r="L40" s="424" t="e">
        <f>IF(AND('Mapa final'!#REF!="Muy Baja",'Mapa final'!#REF!="Leve"),CONCATENATE("R",'Mapa final'!#REF!),"")</f>
        <v>#REF!</v>
      </c>
      <c r="M40" s="424"/>
      <c r="N40" s="424" t="str">
        <f>IF(AND('Mapa final'!$K$18="Muy Baja",'Mapa final'!$O$18="Leve"),CONCATENATE("R",'Mapa final'!$A$18),"")</f>
        <v/>
      </c>
      <c r="O40" s="425"/>
      <c r="P40" s="426" t="e">
        <f>IF(AND('Mapa final'!#REF!="Muy Baja",'Mapa final'!#REF!="Menor"),CONCATENATE("R",'Mapa final'!#REF!),"")</f>
        <v>#REF!</v>
      </c>
      <c r="Q40" s="424"/>
      <c r="R40" s="424" t="e">
        <f>IF(AND('Mapa final'!#REF!="Muy Baja",'Mapa final'!#REF!="Menor"),CONCATENATE("R",'Mapa final'!#REF!),"")</f>
        <v>#REF!</v>
      </c>
      <c r="S40" s="424"/>
      <c r="T40" s="424" t="str">
        <f>IF(AND('Mapa final'!$K$18="Muy Baja",'Mapa final'!$O$18="Menor"),CONCATENATE("R",'Mapa final'!$A$18),"")</f>
        <v/>
      </c>
      <c r="U40" s="425"/>
      <c r="V40" s="415" t="e">
        <f>IF(AND('Mapa final'!#REF!="Muy Baja",'Mapa final'!#REF!="Moderado"),CONCATENATE("R",'Mapa final'!#REF!),"")</f>
        <v>#REF!</v>
      </c>
      <c r="W40" s="416"/>
      <c r="X40" s="416" t="e">
        <f>IF(AND('Mapa final'!#REF!="Muy Baja",'Mapa final'!#REF!="Moderado"),CONCATENATE("R",'Mapa final'!#REF!),"")</f>
        <v>#REF!</v>
      </c>
      <c r="Y40" s="416"/>
      <c r="Z40" s="416" t="str">
        <f>IF(AND('Mapa final'!$K$18="Muy Baja",'Mapa final'!$O$18="Moderado"),CONCATENATE("R",'Mapa final'!$A$18),"")</f>
        <v/>
      </c>
      <c r="AA40" s="417"/>
      <c r="AB40" s="399" t="e">
        <f>IF(AND('Mapa final'!#REF!="Muy Baja",'Mapa final'!#REF!="Mayor"),CONCATENATE("R",'Mapa final'!#REF!),"")</f>
        <v>#REF!</v>
      </c>
      <c r="AC40" s="395"/>
      <c r="AD40" s="395" t="e">
        <f>IF(AND('Mapa final'!#REF!="Muy Baja",'Mapa final'!#REF!="Mayor"),CONCATENATE("R",'Mapa final'!#REF!),"")</f>
        <v>#REF!</v>
      </c>
      <c r="AE40" s="395"/>
      <c r="AF40" s="395" t="str">
        <f>IF(AND('Mapa final'!$K$18="Muy Baja",'Mapa final'!$O$18="Mayor"),CONCATENATE("R",'Mapa final'!$A$18),"")</f>
        <v/>
      </c>
      <c r="AG40" s="396"/>
      <c r="AH40" s="406" t="e">
        <f>IF(AND('Mapa final'!#REF!="Muy Baja",'Mapa final'!#REF!="Catastrófico"),CONCATENATE("R",'Mapa final'!#REF!),"")</f>
        <v>#REF!</v>
      </c>
      <c r="AI40" s="407"/>
      <c r="AJ40" s="407" t="e">
        <f>IF(AND('Mapa final'!#REF!="Muy Baja",'Mapa final'!#REF!="Catastrófico"),CONCATENATE("R",'Mapa final'!#REF!),"")</f>
        <v>#REF!</v>
      </c>
      <c r="AK40" s="407"/>
      <c r="AL40" s="407" t="str">
        <f>IF(AND('Mapa final'!$K$18="Muy Baja",'Mapa final'!$O$18="Catastrófico"),CONCATENATE("R",'Mapa final'!$A$18),"")</f>
        <v/>
      </c>
      <c r="AM40" s="408"/>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48"/>
      <c r="C41" s="348"/>
      <c r="D41" s="349"/>
      <c r="E41" s="389"/>
      <c r="F41" s="390"/>
      <c r="G41" s="390"/>
      <c r="H41" s="390"/>
      <c r="I41" s="391"/>
      <c r="J41" s="426"/>
      <c r="K41" s="424"/>
      <c r="L41" s="424"/>
      <c r="M41" s="424"/>
      <c r="N41" s="424"/>
      <c r="O41" s="425"/>
      <c r="P41" s="426"/>
      <c r="Q41" s="424"/>
      <c r="R41" s="424"/>
      <c r="S41" s="424"/>
      <c r="T41" s="424"/>
      <c r="U41" s="425"/>
      <c r="V41" s="415"/>
      <c r="W41" s="416"/>
      <c r="X41" s="416"/>
      <c r="Y41" s="416"/>
      <c r="Z41" s="416"/>
      <c r="AA41" s="417"/>
      <c r="AB41" s="399"/>
      <c r="AC41" s="395"/>
      <c r="AD41" s="395"/>
      <c r="AE41" s="395"/>
      <c r="AF41" s="395"/>
      <c r="AG41" s="396"/>
      <c r="AH41" s="406"/>
      <c r="AI41" s="407"/>
      <c r="AJ41" s="407"/>
      <c r="AK41" s="407"/>
      <c r="AL41" s="407"/>
      <c r="AM41" s="408"/>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48"/>
      <c r="C42" s="348"/>
      <c r="D42" s="349"/>
      <c r="E42" s="389"/>
      <c r="F42" s="390"/>
      <c r="G42" s="390"/>
      <c r="H42" s="390"/>
      <c r="I42" s="391"/>
      <c r="J42" s="426" t="str">
        <f>IF(AND('Mapa final'!$K$24="Muy Baja",'Mapa final'!$O$24="Leve"),CONCATENATE("R",'Mapa final'!$A$24),"")</f>
        <v/>
      </c>
      <c r="K42" s="424"/>
      <c r="L42" s="424" t="str">
        <f>IF(AND('Mapa final'!$K$30="Muy Baja",'Mapa final'!$O$30="Leve"),CONCATENATE("R",'Mapa final'!$A$30),"")</f>
        <v/>
      </c>
      <c r="M42" s="424"/>
      <c r="N42" s="424" t="str">
        <f>IF(AND('Mapa final'!$K$36="Muy Baja",'Mapa final'!$O$36="Leve"),CONCATENATE("R",'Mapa final'!$A$36),"")</f>
        <v/>
      </c>
      <c r="O42" s="425"/>
      <c r="P42" s="426" t="str">
        <f>IF(AND('Mapa final'!$K$24="Muy Baja",'Mapa final'!$O$24="Menor"),CONCATENATE("R",'Mapa final'!$A$24),"")</f>
        <v/>
      </c>
      <c r="Q42" s="424"/>
      <c r="R42" s="424" t="str">
        <f>IF(AND('Mapa final'!$K$30="Muy Baja",'Mapa final'!$O$30="Menor"),CONCATENATE("R",'Mapa final'!$A$30),"")</f>
        <v/>
      </c>
      <c r="S42" s="424"/>
      <c r="T42" s="424" t="str">
        <f>IF(AND('Mapa final'!$K$36="Muy Baja",'Mapa final'!$O$36="Menor"),CONCATENATE("R",'Mapa final'!$A$36),"")</f>
        <v/>
      </c>
      <c r="U42" s="425"/>
      <c r="V42" s="415" t="str">
        <f>IF(AND('Mapa final'!$K$24="Muy Baja",'Mapa final'!$O$24="Moderado"),CONCATENATE("R",'Mapa final'!$A$24),"")</f>
        <v/>
      </c>
      <c r="W42" s="416"/>
      <c r="X42" s="416" t="str">
        <f>IF(AND('Mapa final'!$K$30="Muy Baja",'Mapa final'!$O$30="Moderado"),CONCATENATE("R",'Mapa final'!$A$30),"")</f>
        <v/>
      </c>
      <c r="Y42" s="416"/>
      <c r="Z42" s="416" t="str">
        <f>IF(AND('Mapa final'!$K$36="Muy Baja",'Mapa final'!$O$36="Moderado"),CONCATENATE("R",'Mapa final'!$A$36),"")</f>
        <v/>
      </c>
      <c r="AA42" s="417"/>
      <c r="AB42" s="399" t="str">
        <f>IF(AND('Mapa final'!$K$24="Muy Baja",'Mapa final'!$O$24="Mayor"),CONCATENATE("R",'Mapa final'!$A$24),"")</f>
        <v/>
      </c>
      <c r="AC42" s="395"/>
      <c r="AD42" s="395" t="str">
        <f>IF(AND('Mapa final'!$K$30="Muy Baja",'Mapa final'!$O$30="Mayor"),CONCATENATE("R",'Mapa final'!$A$30),"")</f>
        <v/>
      </c>
      <c r="AE42" s="395"/>
      <c r="AF42" s="395" t="str">
        <f>IF(AND('Mapa final'!$K$36="Muy Baja",'Mapa final'!$O$36="Mayor"),CONCATENATE("R",'Mapa final'!$A$36),"")</f>
        <v/>
      </c>
      <c r="AG42" s="396"/>
      <c r="AH42" s="406" t="str">
        <f>IF(AND('Mapa final'!$K$24="Muy Baja",'Mapa final'!$O$24="Catastrófico"),CONCATENATE("R",'Mapa final'!$A$24),"")</f>
        <v/>
      </c>
      <c r="AI42" s="407"/>
      <c r="AJ42" s="407" t="str">
        <f>IF(AND('Mapa final'!$K$30="Muy Baja",'Mapa final'!$O$30="Catastrófico"),CONCATENATE("R",'Mapa final'!$A$30),"")</f>
        <v/>
      </c>
      <c r="AK42" s="407"/>
      <c r="AL42" s="407" t="str">
        <f>IF(AND('Mapa final'!$K$36="Muy Baja",'Mapa final'!$O$36="Catastrófico"),CONCATENATE("R",'Mapa final'!$A$36),"")</f>
        <v/>
      </c>
      <c r="AM42" s="408"/>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48"/>
      <c r="C43" s="348"/>
      <c r="D43" s="349"/>
      <c r="E43" s="389"/>
      <c r="F43" s="390"/>
      <c r="G43" s="390"/>
      <c r="H43" s="390"/>
      <c r="I43" s="391"/>
      <c r="J43" s="426"/>
      <c r="K43" s="424"/>
      <c r="L43" s="424"/>
      <c r="M43" s="424"/>
      <c r="N43" s="424"/>
      <c r="O43" s="425"/>
      <c r="P43" s="426"/>
      <c r="Q43" s="424"/>
      <c r="R43" s="424"/>
      <c r="S43" s="424"/>
      <c r="T43" s="424"/>
      <c r="U43" s="425"/>
      <c r="V43" s="415"/>
      <c r="W43" s="416"/>
      <c r="X43" s="416"/>
      <c r="Y43" s="416"/>
      <c r="Z43" s="416"/>
      <c r="AA43" s="417"/>
      <c r="AB43" s="399"/>
      <c r="AC43" s="395"/>
      <c r="AD43" s="395"/>
      <c r="AE43" s="395"/>
      <c r="AF43" s="395"/>
      <c r="AG43" s="396"/>
      <c r="AH43" s="406"/>
      <c r="AI43" s="407"/>
      <c r="AJ43" s="407"/>
      <c r="AK43" s="407"/>
      <c r="AL43" s="407"/>
      <c r="AM43" s="408"/>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48"/>
      <c r="C44" s="348"/>
      <c r="D44" s="349"/>
      <c r="E44" s="389"/>
      <c r="F44" s="390"/>
      <c r="G44" s="390"/>
      <c r="H44" s="390"/>
      <c r="I44" s="391"/>
      <c r="J44" s="426" t="str">
        <f>IF(AND('Mapa final'!$K$42="Muy Baja",'Mapa final'!$O$42="Leve"),CONCATENATE("R",'Mapa final'!$A$42),"")</f>
        <v/>
      </c>
      <c r="K44" s="424"/>
      <c r="L44" s="424" t="str">
        <f>IF(AND('Mapa final'!$K$48="Muy Baja",'Mapa final'!$O$48="Leve"),CONCATENATE("R",'Mapa final'!$A$48),"")</f>
        <v/>
      </c>
      <c r="M44" s="424"/>
      <c r="N44" s="424" t="str">
        <f>IF(AND('Mapa final'!$K$54="Muy Baja",'Mapa final'!$O$54="Leve"),CONCATENATE("R",'Mapa final'!$A$54),"")</f>
        <v/>
      </c>
      <c r="O44" s="425"/>
      <c r="P44" s="426" t="str">
        <f>IF(AND('Mapa final'!$K$42="Muy Baja",'Mapa final'!$O$42="Menor"),CONCATENATE("R",'Mapa final'!$A$42),"")</f>
        <v/>
      </c>
      <c r="Q44" s="424"/>
      <c r="R44" s="424" t="str">
        <f>IF(AND('Mapa final'!$K$48="Muy Baja",'Mapa final'!$O$48="Menor"),CONCATENATE("R",'Mapa final'!$A$48),"")</f>
        <v/>
      </c>
      <c r="S44" s="424"/>
      <c r="T44" s="424" t="str">
        <f>IF(AND('Mapa final'!$K$54="Muy Baja",'Mapa final'!$O$54="Menor"),CONCATENATE("R",'Mapa final'!$A$54),"")</f>
        <v/>
      </c>
      <c r="U44" s="425"/>
      <c r="V44" s="415" t="str">
        <f>IF(AND('Mapa final'!$K$42="Muy Baja",'Mapa final'!$O$42="Moderado"),CONCATENATE("R",'Mapa final'!$A$42),"")</f>
        <v/>
      </c>
      <c r="W44" s="416"/>
      <c r="X44" s="416" t="str">
        <f>IF(AND('Mapa final'!$K$48="Muy Baja",'Mapa final'!$O$48="Moderado"),CONCATENATE("R",'Mapa final'!$A$48),"")</f>
        <v/>
      </c>
      <c r="Y44" s="416"/>
      <c r="Z44" s="416" t="str">
        <f>IF(AND('Mapa final'!$K$54="Muy Baja",'Mapa final'!$O$54="Moderado"),CONCATENATE("R",'Mapa final'!$A$54),"")</f>
        <v/>
      </c>
      <c r="AA44" s="417"/>
      <c r="AB44" s="399" t="str">
        <f>IF(AND('Mapa final'!$K$42="Muy Baja",'Mapa final'!$O$42="Mayor"),CONCATENATE("R",'Mapa final'!$A$42),"")</f>
        <v/>
      </c>
      <c r="AC44" s="395"/>
      <c r="AD44" s="395" t="str">
        <f>IF(AND('Mapa final'!$K$48="Muy Baja",'Mapa final'!$O$48="Mayor"),CONCATENATE("R",'Mapa final'!$A$48),"")</f>
        <v/>
      </c>
      <c r="AE44" s="395"/>
      <c r="AF44" s="395" t="str">
        <f>IF(AND('Mapa final'!$K$54="Muy Baja",'Mapa final'!$O$54="Mayor"),CONCATENATE("R",'Mapa final'!$A$54),"")</f>
        <v/>
      </c>
      <c r="AG44" s="396"/>
      <c r="AH44" s="406" t="str">
        <f>IF(AND('Mapa final'!$K$42="Muy Baja",'Mapa final'!$O$42="Catastrófico"),CONCATENATE("R",'Mapa final'!$A$42),"")</f>
        <v/>
      </c>
      <c r="AI44" s="407"/>
      <c r="AJ44" s="407" t="str">
        <f>IF(AND('Mapa final'!$K$48="Muy Baja",'Mapa final'!$O$48="Catastrófico"),CONCATENATE("R",'Mapa final'!$A$48),"")</f>
        <v/>
      </c>
      <c r="AK44" s="407"/>
      <c r="AL44" s="407" t="str">
        <f>IF(AND('Mapa final'!$K$54="Muy Baja",'Mapa final'!$O$54="Catastrófico"),CONCATENATE("R",'Mapa final'!$A$54),"")</f>
        <v/>
      </c>
      <c r="AM44" s="408"/>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48"/>
      <c r="C45" s="348"/>
      <c r="D45" s="349"/>
      <c r="E45" s="392"/>
      <c r="F45" s="393"/>
      <c r="G45" s="393"/>
      <c r="H45" s="393"/>
      <c r="I45" s="394"/>
      <c r="J45" s="427"/>
      <c r="K45" s="428"/>
      <c r="L45" s="428"/>
      <c r="M45" s="428"/>
      <c r="N45" s="428"/>
      <c r="O45" s="429"/>
      <c r="P45" s="427"/>
      <c r="Q45" s="428"/>
      <c r="R45" s="428"/>
      <c r="S45" s="428"/>
      <c r="T45" s="428"/>
      <c r="U45" s="429"/>
      <c r="V45" s="418"/>
      <c r="W45" s="419"/>
      <c r="X45" s="419"/>
      <c r="Y45" s="419"/>
      <c r="Z45" s="419"/>
      <c r="AA45" s="420"/>
      <c r="AB45" s="403"/>
      <c r="AC45" s="404"/>
      <c r="AD45" s="404"/>
      <c r="AE45" s="404"/>
      <c r="AF45" s="404"/>
      <c r="AG45" s="405"/>
      <c r="AH45" s="409"/>
      <c r="AI45" s="410"/>
      <c r="AJ45" s="410"/>
      <c r="AK45" s="410"/>
      <c r="AL45" s="410"/>
      <c r="AM45" s="411"/>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86" t="s">
        <v>112</v>
      </c>
      <c r="K46" s="387"/>
      <c r="L46" s="387"/>
      <c r="M46" s="387"/>
      <c r="N46" s="387"/>
      <c r="O46" s="388"/>
      <c r="P46" s="386" t="s">
        <v>111</v>
      </c>
      <c r="Q46" s="387"/>
      <c r="R46" s="387"/>
      <c r="S46" s="387"/>
      <c r="T46" s="387"/>
      <c r="U46" s="388"/>
      <c r="V46" s="386" t="s">
        <v>110</v>
      </c>
      <c r="W46" s="387"/>
      <c r="X46" s="387"/>
      <c r="Y46" s="387"/>
      <c r="Z46" s="387"/>
      <c r="AA46" s="388"/>
      <c r="AB46" s="386" t="s">
        <v>109</v>
      </c>
      <c r="AC46" s="402"/>
      <c r="AD46" s="387"/>
      <c r="AE46" s="387"/>
      <c r="AF46" s="387"/>
      <c r="AG46" s="388"/>
      <c r="AH46" s="386" t="s">
        <v>108</v>
      </c>
      <c r="AI46" s="387"/>
      <c r="AJ46" s="387"/>
      <c r="AK46" s="387"/>
      <c r="AL46" s="387"/>
      <c r="AM46" s="388"/>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89"/>
      <c r="K47" s="390"/>
      <c r="L47" s="390"/>
      <c r="M47" s="390"/>
      <c r="N47" s="390"/>
      <c r="O47" s="391"/>
      <c r="P47" s="389"/>
      <c r="Q47" s="390"/>
      <c r="R47" s="390"/>
      <c r="S47" s="390"/>
      <c r="T47" s="390"/>
      <c r="U47" s="391"/>
      <c r="V47" s="389"/>
      <c r="W47" s="390"/>
      <c r="X47" s="390"/>
      <c r="Y47" s="390"/>
      <c r="Z47" s="390"/>
      <c r="AA47" s="391"/>
      <c r="AB47" s="389"/>
      <c r="AC47" s="390"/>
      <c r="AD47" s="390"/>
      <c r="AE47" s="390"/>
      <c r="AF47" s="390"/>
      <c r="AG47" s="391"/>
      <c r="AH47" s="389"/>
      <c r="AI47" s="390"/>
      <c r="AJ47" s="390"/>
      <c r="AK47" s="390"/>
      <c r="AL47" s="390"/>
      <c r="AM47" s="391"/>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89"/>
      <c r="K48" s="390"/>
      <c r="L48" s="390"/>
      <c r="M48" s="390"/>
      <c r="N48" s="390"/>
      <c r="O48" s="391"/>
      <c r="P48" s="389"/>
      <c r="Q48" s="390"/>
      <c r="R48" s="390"/>
      <c r="S48" s="390"/>
      <c r="T48" s="390"/>
      <c r="U48" s="391"/>
      <c r="V48" s="389"/>
      <c r="W48" s="390"/>
      <c r="X48" s="390"/>
      <c r="Y48" s="390"/>
      <c r="Z48" s="390"/>
      <c r="AA48" s="391"/>
      <c r="AB48" s="389"/>
      <c r="AC48" s="390"/>
      <c r="AD48" s="390"/>
      <c r="AE48" s="390"/>
      <c r="AF48" s="390"/>
      <c r="AG48" s="391"/>
      <c r="AH48" s="389"/>
      <c r="AI48" s="390"/>
      <c r="AJ48" s="390"/>
      <c r="AK48" s="390"/>
      <c r="AL48" s="390"/>
      <c r="AM48" s="391"/>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89"/>
      <c r="K49" s="390"/>
      <c r="L49" s="390"/>
      <c r="M49" s="390"/>
      <c r="N49" s="390"/>
      <c r="O49" s="391"/>
      <c r="P49" s="389"/>
      <c r="Q49" s="390"/>
      <c r="R49" s="390"/>
      <c r="S49" s="390"/>
      <c r="T49" s="390"/>
      <c r="U49" s="391"/>
      <c r="V49" s="389"/>
      <c r="W49" s="390"/>
      <c r="X49" s="390"/>
      <c r="Y49" s="390"/>
      <c r="Z49" s="390"/>
      <c r="AA49" s="391"/>
      <c r="AB49" s="389"/>
      <c r="AC49" s="390"/>
      <c r="AD49" s="390"/>
      <c r="AE49" s="390"/>
      <c r="AF49" s="390"/>
      <c r="AG49" s="391"/>
      <c r="AH49" s="389"/>
      <c r="AI49" s="390"/>
      <c r="AJ49" s="390"/>
      <c r="AK49" s="390"/>
      <c r="AL49" s="390"/>
      <c r="AM49" s="391"/>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89"/>
      <c r="K50" s="390"/>
      <c r="L50" s="390"/>
      <c r="M50" s="390"/>
      <c r="N50" s="390"/>
      <c r="O50" s="391"/>
      <c r="P50" s="389"/>
      <c r="Q50" s="390"/>
      <c r="R50" s="390"/>
      <c r="S50" s="390"/>
      <c r="T50" s="390"/>
      <c r="U50" s="391"/>
      <c r="V50" s="389"/>
      <c r="W50" s="390"/>
      <c r="X50" s="390"/>
      <c r="Y50" s="390"/>
      <c r="Z50" s="390"/>
      <c r="AA50" s="391"/>
      <c r="AB50" s="389"/>
      <c r="AC50" s="390"/>
      <c r="AD50" s="390"/>
      <c r="AE50" s="390"/>
      <c r="AF50" s="390"/>
      <c r="AG50" s="391"/>
      <c r="AH50" s="389"/>
      <c r="AI50" s="390"/>
      <c r="AJ50" s="390"/>
      <c r="AK50" s="390"/>
      <c r="AL50" s="390"/>
      <c r="AM50" s="391"/>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92"/>
      <c r="K51" s="393"/>
      <c r="L51" s="393"/>
      <c r="M51" s="393"/>
      <c r="N51" s="393"/>
      <c r="O51" s="394"/>
      <c r="P51" s="392"/>
      <c r="Q51" s="393"/>
      <c r="R51" s="393"/>
      <c r="S51" s="393"/>
      <c r="T51" s="393"/>
      <c r="U51" s="394"/>
      <c r="V51" s="392"/>
      <c r="W51" s="393"/>
      <c r="X51" s="393"/>
      <c r="Y51" s="393"/>
      <c r="Z51" s="393"/>
      <c r="AA51" s="394"/>
      <c r="AB51" s="392"/>
      <c r="AC51" s="393"/>
      <c r="AD51" s="393"/>
      <c r="AE51" s="393"/>
      <c r="AF51" s="393"/>
      <c r="AG51" s="394"/>
      <c r="AH51" s="392"/>
      <c r="AI51" s="393"/>
      <c r="AJ51" s="393"/>
      <c r="AK51" s="393"/>
      <c r="AL51" s="393"/>
      <c r="AM51" s="394"/>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59" t="s">
        <v>158</v>
      </c>
      <c r="C2" s="460"/>
      <c r="D2" s="460"/>
      <c r="E2" s="460"/>
      <c r="F2" s="460"/>
      <c r="G2" s="460"/>
      <c r="H2" s="460"/>
      <c r="I2" s="460"/>
      <c r="J2" s="401" t="s">
        <v>2</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c r="AL2" s="401"/>
      <c r="AM2" s="401"/>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60"/>
      <c r="C3" s="460"/>
      <c r="D3" s="460"/>
      <c r="E3" s="460"/>
      <c r="F3" s="460"/>
      <c r="G3" s="460"/>
      <c r="H3" s="460"/>
      <c r="I3" s="460"/>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c r="AL3" s="401"/>
      <c r="AM3" s="401"/>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60"/>
      <c r="C4" s="460"/>
      <c r="D4" s="460"/>
      <c r="E4" s="460"/>
      <c r="F4" s="460"/>
      <c r="G4" s="460"/>
      <c r="H4" s="460"/>
      <c r="I4" s="460"/>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48" t="s">
        <v>4</v>
      </c>
      <c r="C6" s="348"/>
      <c r="D6" s="349"/>
      <c r="E6" s="443" t="s">
        <v>116</v>
      </c>
      <c r="F6" s="444"/>
      <c r="G6" s="444"/>
      <c r="H6" s="444"/>
      <c r="I6" s="461"/>
      <c r="J6" s="43" t="str">
        <f>IF(AND('Mapa final'!$AC$11="Muy Alta",'Mapa final'!$AE$11="Leve"),CONCATENATE("R1C",'Mapa final'!$S$11),"")</f>
        <v/>
      </c>
      <c r="K6" s="44" t="str">
        <f>IF(AND('Mapa final'!$AC$12="Muy Alta",'Mapa final'!$AE$12="Leve"),CONCATENATE("R1C",'Mapa final'!$S$12),"")</f>
        <v/>
      </c>
      <c r="L6" s="44" t="e">
        <f>IF(AND('Mapa final'!#REF!="Muy Alta",'Mapa final'!#REF!="Leve"),CONCATENATE("R1C",'Mapa final'!#REF!),"")</f>
        <v>#REF!</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final'!$AC$11="Muy Alta",'Mapa final'!$AE$11="Menor"),CONCATENATE("R1C",'Mapa final'!$S$11),"")</f>
        <v/>
      </c>
      <c r="Q6" s="44" t="str">
        <f>IF(AND('Mapa final'!$AC$12="Muy Alta",'Mapa final'!$AE$12="Menor"),CONCATENATE("R1C",'Mapa final'!$S$12),"")</f>
        <v/>
      </c>
      <c r="R6" s="44" t="e">
        <f>IF(AND('Mapa final'!#REF!="Muy Alta",'Mapa final'!#REF!="Menor"),CONCATENATE("R1C",'Mapa final'!#REF!),"")</f>
        <v>#REF!</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final'!$AC$11="Muy Alta",'Mapa final'!$AE$11="Moderado"),CONCATENATE("R1C",'Mapa final'!$S$11),"")</f>
        <v/>
      </c>
      <c r="W6" s="44" t="str">
        <f>IF(AND('Mapa final'!$AC$12="Muy Alta",'Mapa final'!$AE$12="Moderado"),CONCATENATE("R1C",'Mapa final'!$S$12),"")</f>
        <v/>
      </c>
      <c r="X6" s="44" t="e">
        <f>IF(AND('Mapa final'!#REF!="Muy Alta",'Mapa final'!#REF!="Moderado"),CONCATENATE("R1C",'Mapa final'!#REF!),"")</f>
        <v>#REF!</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final'!$AC$11="Muy Alta",'Mapa final'!$AE$11="Mayor"),CONCATENATE("R1C",'Mapa final'!$S$11),"")</f>
        <v/>
      </c>
      <c r="AC6" s="44" t="str">
        <f>IF(AND('Mapa final'!$AC$12="Muy Alta",'Mapa final'!$AE$12="Mayor"),CONCATENATE("R1C",'Mapa final'!$S$12),"")</f>
        <v/>
      </c>
      <c r="AD6" s="44" t="e">
        <f>IF(AND('Mapa final'!#REF!="Muy Alta",'Mapa final'!#REF!="Mayor"),CONCATENATE("R1C",'Mapa final'!#REF!),"")</f>
        <v>#REF!</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final'!$AC$11="Muy Alta",'Mapa final'!$AE$11="Catastrófico"),CONCATENATE("R1C",'Mapa final'!$S$11),"")</f>
        <v/>
      </c>
      <c r="AI6" s="47" t="str">
        <f>IF(AND('Mapa final'!$AC$12="Muy Alta",'Mapa final'!$AE$12="Catastrófico"),CONCATENATE("R1C",'Mapa final'!$S$12),"")</f>
        <v/>
      </c>
      <c r="AJ6" s="47" t="e">
        <f>IF(AND('Mapa final'!#REF!="Muy Alta",'Mapa final'!#REF!="Catastrófico"),CONCATENATE("R1C",'Mapa final'!#REF!),"")</f>
        <v>#REF!</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50" t="s">
        <v>79</v>
      </c>
      <c r="AP6" s="451"/>
      <c r="AQ6" s="451"/>
      <c r="AR6" s="451"/>
      <c r="AS6" s="451"/>
      <c r="AT6" s="452"/>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48"/>
      <c r="C7" s="348"/>
      <c r="D7" s="349"/>
      <c r="E7" s="447"/>
      <c r="F7" s="446"/>
      <c r="G7" s="446"/>
      <c r="H7" s="446"/>
      <c r="I7" s="462"/>
      <c r="J7" s="49" t="str">
        <f>IF(AND('Mapa final'!$AC$13="Muy Alta",'Mapa final'!$AE$13="Leve"),CONCATENATE("R2C",'Mapa final'!$S$13),"")</f>
        <v/>
      </c>
      <c r="K7" s="50" t="str">
        <f>IF(AND('Mapa final'!$AC$14="Muy Alta",'Mapa final'!$AE$14="Leve"),CONCATENATE("R2C",'Mapa final'!$S$14),"")</f>
        <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final'!$AC$13="Muy Alta",'Mapa final'!$AE$13="Menor"),CONCATENATE("R2C",'Mapa final'!$S$13),"")</f>
        <v/>
      </c>
      <c r="Q7" s="50" t="str">
        <f>IF(AND('Mapa final'!$AC$14="Muy Alta",'Mapa final'!$AE$14="Menor"),CONCATENATE("R2C",'Mapa final'!$S$14),"")</f>
        <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final'!$AC$13="Muy Alta",'Mapa final'!$AE$13="Moderado"),CONCATENATE("R2C",'Mapa final'!$S$13),"")</f>
        <v/>
      </c>
      <c r="W7" s="50" t="str">
        <f>IF(AND('Mapa final'!$AC$14="Muy Alta",'Mapa final'!$AE$14="Moderado"),CONCATENATE("R2C",'Mapa final'!$S$14),"")</f>
        <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final'!$AC$13="Muy Alta",'Mapa final'!$AE$13="Mayor"),CONCATENATE("R2C",'Mapa final'!$S$13),"")</f>
        <v/>
      </c>
      <c r="AC7" s="50" t="str">
        <f>IF(AND('Mapa final'!$AC$14="Muy Alta",'Mapa final'!$AE$14="Mayor"),CONCATENATE("R2C",'Mapa final'!$S$14),"")</f>
        <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final'!$AC$13="Muy Alta",'Mapa final'!$AE$13="Catastrófico"),CONCATENATE("R2C",'Mapa final'!$S$13),"")</f>
        <v/>
      </c>
      <c r="AI7" s="53" t="str">
        <f>IF(AND('Mapa final'!$AC$14="Muy Alta",'Mapa final'!$AE$14="Catastrófico"),CONCATENATE("R2C",'Mapa final'!$S$14),"")</f>
        <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53"/>
      <c r="AP7" s="454"/>
      <c r="AQ7" s="454"/>
      <c r="AR7" s="454"/>
      <c r="AS7" s="454"/>
      <c r="AT7" s="455"/>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48"/>
      <c r="C8" s="348"/>
      <c r="D8" s="349"/>
      <c r="E8" s="447"/>
      <c r="F8" s="446"/>
      <c r="G8" s="446"/>
      <c r="H8" s="446"/>
      <c r="I8" s="462"/>
      <c r="J8" s="49" t="str">
        <f>IF(AND('Mapa final'!$AC$15="Muy Alta",'Mapa final'!$AE$15="Leve"),CONCATENATE("R3C",'Mapa final'!$S$15),"")</f>
        <v/>
      </c>
      <c r="K8" s="50" t="str">
        <f>IF(AND('Mapa final'!$AC$16="Muy Alta",'Mapa final'!$AE$16="Leve"),CONCATENATE("R3C",'Mapa final'!$S$16),"")</f>
        <v/>
      </c>
      <c r="L8" s="50" t="e">
        <f>IF(AND('Mapa final'!#REF!="Muy Alta",'Mapa final'!#REF!="Leve"),CONCATENATE("R3C",'Mapa final'!#REF!),"")</f>
        <v>#REF!</v>
      </c>
      <c r="M8" s="50" t="e">
        <f>IF(AND('Mapa final'!#REF!="Muy Alta",'Mapa final'!#REF!="Leve"),CONCATENATE("R3C",'Mapa final'!#REF!),"")</f>
        <v>#REF!</v>
      </c>
      <c r="N8" s="50" t="e">
        <f>IF(AND('Mapa final'!#REF!="Muy Alta",'Mapa final'!#REF!="Leve"),CONCATENATE("R3C",'Mapa final'!#REF!),"")</f>
        <v>#REF!</v>
      </c>
      <c r="O8" s="51" t="e">
        <f>IF(AND('Mapa final'!#REF!="Muy Alta",'Mapa final'!#REF!="Leve"),CONCATENATE("R3C",'Mapa final'!#REF!),"")</f>
        <v>#REF!</v>
      </c>
      <c r="P8" s="49" t="str">
        <f>IF(AND('Mapa final'!$AC$15="Muy Alta",'Mapa final'!$AE$15="Menor"),CONCATENATE("R3C",'Mapa final'!$S$15),"")</f>
        <v/>
      </c>
      <c r="Q8" s="50" t="str">
        <f>IF(AND('Mapa final'!$AC$16="Muy Alta",'Mapa final'!$AE$16="Menor"),CONCATENATE("R3C",'Mapa final'!$S$16),"")</f>
        <v/>
      </c>
      <c r="R8" s="50" t="e">
        <f>IF(AND('Mapa final'!#REF!="Muy Alta",'Mapa final'!#REF!="Menor"),CONCATENATE("R3C",'Mapa final'!#REF!),"")</f>
        <v>#REF!</v>
      </c>
      <c r="S8" s="50" t="e">
        <f>IF(AND('Mapa final'!#REF!="Muy Alta",'Mapa final'!#REF!="Menor"),CONCATENATE("R3C",'Mapa final'!#REF!),"")</f>
        <v>#REF!</v>
      </c>
      <c r="T8" s="50" t="e">
        <f>IF(AND('Mapa final'!#REF!="Muy Alta",'Mapa final'!#REF!="Menor"),CONCATENATE("R3C",'Mapa final'!#REF!),"")</f>
        <v>#REF!</v>
      </c>
      <c r="U8" s="51" t="e">
        <f>IF(AND('Mapa final'!#REF!="Muy Alta",'Mapa final'!#REF!="Menor"),CONCATENATE("R3C",'Mapa final'!#REF!),"")</f>
        <v>#REF!</v>
      </c>
      <c r="V8" s="49" t="str">
        <f>IF(AND('Mapa final'!$AC$15="Muy Alta",'Mapa final'!$AE$15="Moderado"),CONCATENATE("R3C",'Mapa final'!$S$15),"")</f>
        <v/>
      </c>
      <c r="W8" s="50" t="str">
        <f>IF(AND('Mapa final'!$AC$16="Muy Alta",'Mapa final'!$AE$16="Moderado"),CONCATENATE("R3C",'Mapa final'!$S$16),"")</f>
        <v/>
      </c>
      <c r="X8" s="50" t="e">
        <f>IF(AND('Mapa final'!#REF!="Muy Alta",'Mapa final'!#REF!="Moderado"),CONCATENATE("R3C",'Mapa final'!#REF!),"")</f>
        <v>#REF!</v>
      </c>
      <c r="Y8" s="50" t="e">
        <f>IF(AND('Mapa final'!#REF!="Muy Alta",'Mapa final'!#REF!="Moderado"),CONCATENATE("R3C",'Mapa final'!#REF!),"")</f>
        <v>#REF!</v>
      </c>
      <c r="Z8" s="50" t="e">
        <f>IF(AND('Mapa final'!#REF!="Muy Alta",'Mapa final'!#REF!="Moderado"),CONCATENATE("R3C",'Mapa final'!#REF!),"")</f>
        <v>#REF!</v>
      </c>
      <c r="AA8" s="51" t="e">
        <f>IF(AND('Mapa final'!#REF!="Muy Alta",'Mapa final'!#REF!="Moderado"),CONCATENATE("R3C",'Mapa final'!#REF!),"")</f>
        <v>#REF!</v>
      </c>
      <c r="AB8" s="49" t="str">
        <f>IF(AND('Mapa final'!$AC$15="Muy Alta",'Mapa final'!$AE$15="Mayor"),CONCATENATE("R3C",'Mapa final'!$S$15),"")</f>
        <v/>
      </c>
      <c r="AC8" s="50" t="str">
        <f>IF(AND('Mapa final'!$AC$16="Muy Alta",'Mapa final'!$AE$16="Mayor"),CONCATENATE("R3C",'Mapa final'!$S$16),"")</f>
        <v/>
      </c>
      <c r="AD8" s="50" t="e">
        <f>IF(AND('Mapa final'!#REF!="Muy Alta",'Mapa final'!#REF!="Mayor"),CONCATENATE("R3C",'Mapa final'!#REF!),"")</f>
        <v>#REF!</v>
      </c>
      <c r="AE8" s="50" t="e">
        <f>IF(AND('Mapa final'!#REF!="Muy Alta",'Mapa final'!#REF!="Mayor"),CONCATENATE("R3C",'Mapa final'!#REF!),"")</f>
        <v>#REF!</v>
      </c>
      <c r="AF8" s="50" t="e">
        <f>IF(AND('Mapa final'!#REF!="Muy Alta",'Mapa final'!#REF!="Mayor"),CONCATENATE("R3C",'Mapa final'!#REF!),"")</f>
        <v>#REF!</v>
      </c>
      <c r="AG8" s="51" t="e">
        <f>IF(AND('Mapa final'!#REF!="Muy Alta",'Mapa final'!#REF!="Mayor"),CONCATENATE("R3C",'Mapa final'!#REF!),"")</f>
        <v>#REF!</v>
      </c>
      <c r="AH8" s="52" t="str">
        <f>IF(AND('Mapa final'!$AC$15="Muy Alta",'Mapa final'!$AE$15="Catastrófico"),CONCATENATE("R3C",'Mapa final'!$S$15),"")</f>
        <v/>
      </c>
      <c r="AI8" s="53" t="str">
        <f>IF(AND('Mapa final'!$AC$16="Muy Alta",'Mapa final'!$AE$16="Catastrófico"),CONCATENATE("R3C",'Mapa final'!$S$16),"")</f>
        <v/>
      </c>
      <c r="AJ8" s="53" t="e">
        <f>IF(AND('Mapa final'!#REF!="Muy Alta",'Mapa final'!#REF!="Catastrófico"),CONCATENATE("R3C",'Mapa final'!#REF!),"")</f>
        <v>#REF!</v>
      </c>
      <c r="AK8" s="53" t="e">
        <f>IF(AND('Mapa final'!#REF!="Muy Alta",'Mapa final'!#REF!="Catastrófico"),CONCATENATE("R3C",'Mapa final'!#REF!),"")</f>
        <v>#REF!</v>
      </c>
      <c r="AL8" s="53" t="e">
        <f>IF(AND('Mapa final'!#REF!="Muy Alta",'Mapa final'!#REF!="Catastrófico"),CONCATENATE("R3C",'Mapa final'!#REF!),"")</f>
        <v>#REF!</v>
      </c>
      <c r="AM8" s="54" t="e">
        <f>IF(AND('Mapa final'!#REF!="Muy Alta",'Mapa final'!#REF!="Catastrófico"),CONCATENATE("R3C",'Mapa final'!#REF!),"")</f>
        <v>#REF!</v>
      </c>
      <c r="AN8" s="80"/>
      <c r="AO8" s="453"/>
      <c r="AP8" s="454"/>
      <c r="AQ8" s="454"/>
      <c r="AR8" s="454"/>
      <c r="AS8" s="454"/>
      <c r="AT8" s="455"/>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48"/>
      <c r="C9" s="348"/>
      <c r="D9" s="349"/>
      <c r="E9" s="447"/>
      <c r="F9" s="446"/>
      <c r="G9" s="446"/>
      <c r="H9" s="446"/>
      <c r="I9" s="462"/>
      <c r="J9" s="49" t="e">
        <f>IF(AND('Mapa final'!#REF!="Muy Alta",'Mapa final'!#REF!="Leve"),CONCATENATE("R4C",'Mapa final'!#REF!),"")</f>
        <v>#REF!</v>
      </c>
      <c r="K9" s="50" t="e">
        <f>IF(AND('Mapa final'!#REF!="Muy Alta",'Mapa final'!#REF!="Leve"),CONCATENATE("R4C",'Mapa final'!#REF!),"")</f>
        <v>#REF!</v>
      </c>
      <c r="L9" s="50" t="e">
        <f>IF(AND('Mapa final'!#REF!="Muy Alta",'Mapa final'!#REF!="Leve"),CONCATENATE("R4C",'Mapa final'!#REF!),"")</f>
        <v>#REF!</v>
      </c>
      <c r="M9" s="50" t="e">
        <f>IF(AND('Mapa final'!#REF!="Muy Alta",'Mapa final'!#REF!="Leve"),CONCATENATE("R4C",'Mapa final'!#REF!),"")</f>
        <v>#REF!</v>
      </c>
      <c r="N9" s="50" t="e">
        <f>IF(AND('Mapa final'!#REF!="Muy Alta",'Mapa final'!#REF!="Leve"),CONCATENATE("R4C",'Mapa final'!#REF!),"")</f>
        <v>#REF!</v>
      </c>
      <c r="O9" s="51" t="e">
        <f>IF(AND('Mapa final'!#REF!="Muy Alta",'Mapa final'!#REF!="Leve"),CONCATENATE("R4C",'Mapa final'!#REF!),"")</f>
        <v>#REF!</v>
      </c>
      <c r="P9" s="49" t="e">
        <f>IF(AND('Mapa final'!#REF!="Muy Alta",'Mapa final'!#REF!="Menor"),CONCATENATE("R4C",'Mapa final'!#REF!),"")</f>
        <v>#REF!</v>
      </c>
      <c r="Q9" s="50" t="e">
        <f>IF(AND('Mapa final'!#REF!="Muy Alta",'Mapa final'!#REF!="Menor"),CONCATENATE("R4C",'Mapa final'!#REF!),"")</f>
        <v>#REF!</v>
      </c>
      <c r="R9" s="50" t="e">
        <f>IF(AND('Mapa final'!#REF!="Muy Alta",'Mapa final'!#REF!="Menor"),CONCATENATE("R4C",'Mapa final'!#REF!),"")</f>
        <v>#REF!</v>
      </c>
      <c r="S9" s="50" t="e">
        <f>IF(AND('Mapa final'!#REF!="Muy Alta",'Mapa final'!#REF!="Menor"),CONCATENATE("R4C",'Mapa final'!#REF!),"")</f>
        <v>#REF!</v>
      </c>
      <c r="T9" s="50" t="e">
        <f>IF(AND('Mapa final'!#REF!="Muy Alta",'Mapa final'!#REF!="Menor"),CONCATENATE("R4C",'Mapa final'!#REF!),"")</f>
        <v>#REF!</v>
      </c>
      <c r="U9" s="51" t="e">
        <f>IF(AND('Mapa final'!#REF!="Muy Alta",'Mapa final'!#REF!="Menor"),CONCATENATE("R4C",'Mapa final'!#REF!),"")</f>
        <v>#REF!</v>
      </c>
      <c r="V9" s="49" t="e">
        <f>IF(AND('Mapa final'!#REF!="Muy Alta",'Mapa final'!#REF!="Moderado"),CONCATENATE("R4C",'Mapa final'!#REF!),"")</f>
        <v>#REF!</v>
      </c>
      <c r="W9" s="50" t="e">
        <f>IF(AND('Mapa final'!#REF!="Muy Alta",'Mapa final'!#REF!="Moderado"),CONCATENATE("R4C",'Mapa final'!#REF!),"")</f>
        <v>#REF!</v>
      </c>
      <c r="X9" s="50" t="e">
        <f>IF(AND('Mapa final'!#REF!="Muy Alta",'Mapa final'!#REF!="Moderado"),CONCATENATE("R4C",'Mapa final'!#REF!),"")</f>
        <v>#REF!</v>
      </c>
      <c r="Y9" s="50" t="e">
        <f>IF(AND('Mapa final'!#REF!="Muy Alta",'Mapa final'!#REF!="Moderado"),CONCATENATE("R4C",'Mapa final'!#REF!),"")</f>
        <v>#REF!</v>
      </c>
      <c r="Z9" s="50" t="e">
        <f>IF(AND('Mapa final'!#REF!="Muy Alta",'Mapa final'!#REF!="Moderado"),CONCATENATE("R4C",'Mapa final'!#REF!),"")</f>
        <v>#REF!</v>
      </c>
      <c r="AA9" s="51" t="e">
        <f>IF(AND('Mapa final'!#REF!="Muy Alta",'Mapa final'!#REF!="Moderado"),CONCATENATE("R4C",'Mapa final'!#REF!),"")</f>
        <v>#REF!</v>
      </c>
      <c r="AB9" s="49" t="e">
        <f>IF(AND('Mapa final'!#REF!="Muy Alta",'Mapa final'!#REF!="Mayor"),CONCATENATE("R4C",'Mapa final'!#REF!),"")</f>
        <v>#REF!</v>
      </c>
      <c r="AC9" s="50" t="e">
        <f>IF(AND('Mapa final'!#REF!="Muy Alta",'Mapa final'!#REF!="Mayor"),CONCATENATE("R4C",'Mapa final'!#REF!),"")</f>
        <v>#REF!</v>
      </c>
      <c r="AD9" s="50" t="e">
        <f>IF(AND('Mapa final'!#REF!="Muy Alta",'Mapa final'!#REF!="Mayor"),CONCATENATE("R4C",'Mapa final'!#REF!),"")</f>
        <v>#REF!</v>
      </c>
      <c r="AE9" s="50" t="e">
        <f>IF(AND('Mapa final'!#REF!="Muy Alta",'Mapa final'!#REF!="Mayor"),CONCATENATE("R4C",'Mapa final'!#REF!),"")</f>
        <v>#REF!</v>
      </c>
      <c r="AF9" s="50" t="e">
        <f>IF(AND('Mapa final'!#REF!="Muy Alta",'Mapa final'!#REF!="Mayor"),CONCATENATE("R4C",'Mapa final'!#REF!),"")</f>
        <v>#REF!</v>
      </c>
      <c r="AG9" s="51" t="e">
        <f>IF(AND('Mapa final'!#REF!="Muy Alta",'Mapa final'!#REF!="Mayor"),CONCATENATE("R4C",'Mapa final'!#REF!),"")</f>
        <v>#REF!</v>
      </c>
      <c r="AH9" s="52" t="e">
        <f>IF(AND('Mapa final'!#REF!="Muy Alta",'Mapa final'!#REF!="Catastrófico"),CONCATENATE("R4C",'Mapa final'!#REF!),"")</f>
        <v>#REF!</v>
      </c>
      <c r="AI9" s="53" t="e">
        <f>IF(AND('Mapa final'!#REF!="Muy Alta",'Mapa final'!#REF!="Catastrófico"),CONCATENATE("R4C",'Mapa final'!#REF!),"")</f>
        <v>#REF!</v>
      </c>
      <c r="AJ9" s="53" t="e">
        <f>IF(AND('Mapa final'!#REF!="Muy Alta",'Mapa final'!#REF!="Catastrófico"),CONCATENATE("R4C",'Mapa final'!#REF!),"")</f>
        <v>#REF!</v>
      </c>
      <c r="AK9" s="53" t="e">
        <f>IF(AND('Mapa final'!#REF!="Muy Alta",'Mapa final'!#REF!="Catastrófico"),CONCATENATE("R4C",'Mapa final'!#REF!),"")</f>
        <v>#REF!</v>
      </c>
      <c r="AL9" s="53" t="e">
        <f>IF(AND('Mapa final'!#REF!="Muy Alta",'Mapa final'!#REF!="Catastrófico"),CONCATENATE("R4C",'Mapa final'!#REF!),"")</f>
        <v>#REF!</v>
      </c>
      <c r="AM9" s="54" t="e">
        <f>IF(AND('Mapa final'!#REF!="Muy Alta",'Mapa final'!#REF!="Catastrófico"),CONCATENATE("R4C",'Mapa final'!#REF!),"")</f>
        <v>#REF!</v>
      </c>
      <c r="AN9" s="80"/>
      <c r="AO9" s="453"/>
      <c r="AP9" s="454"/>
      <c r="AQ9" s="454"/>
      <c r="AR9" s="454"/>
      <c r="AS9" s="454"/>
      <c r="AT9" s="455"/>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48"/>
      <c r="C10" s="348"/>
      <c r="D10" s="349"/>
      <c r="E10" s="447"/>
      <c r="F10" s="446"/>
      <c r="G10" s="446"/>
      <c r="H10" s="446"/>
      <c r="I10" s="462"/>
      <c r="J10" s="49" t="e">
        <f>IF(AND('Mapa final'!#REF!="Muy Alta",'Mapa final'!#REF!="Leve"),CONCATENATE("R5C",'Mapa final'!#REF!),"")</f>
        <v>#REF!</v>
      </c>
      <c r="K10" s="50" t="e">
        <f>IF(AND('Mapa final'!#REF!="Muy Alta",'Mapa final'!#REF!="Leve"),CONCATENATE("R5C",'Mapa final'!#REF!),"")</f>
        <v>#REF!</v>
      </c>
      <c r="L10" s="50" t="e">
        <f>IF(AND('Mapa final'!#REF!="Muy Alta",'Mapa final'!#REF!="Leve"),CONCATENATE("R5C",'Mapa final'!#REF!),"")</f>
        <v>#REF!</v>
      </c>
      <c r="M10" s="50" t="e">
        <f>IF(AND('Mapa final'!#REF!="Muy Alta",'Mapa final'!#REF!="Leve"),CONCATENATE("R5C",'Mapa final'!#REF!),"")</f>
        <v>#REF!</v>
      </c>
      <c r="N10" s="50" t="e">
        <f>IF(AND('Mapa final'!#REF!="Muy Alta",'Mapa final'!#REF!="Leve"),CONCATENATE("R5C",'Mapa final'!#REF!),"")</f>
        <v>#REF!</v>
      </c>
      <c r="O10" s="51" t="str">
        <f>IF(AND('Mapa final'!$AC$17="Muy Alta",'Mapa final'!$AE$17="Leve"),CONCATENATE("R5C",'Mapa final'!$S$17),"")</f>
        <v/>
      </c>
      <c r="P10" s="49" t="e">
        <f>IF(AND('Mapa final'!#REF!="Muy Alta",'Mapa final'!#REF!="Menor"),CONCATENATE("R5C",'Mapa final'!#REF!),"")</f>
        <v>#REF!</v>
      </c>
      <c r="Q10" s="50" t="e">
        <f>IF(AND('Mapa final'!#REF!="Muy Alta",'Mapa final'!#REF!="Menor"),CONCATENATE("R5C",'Mapa final'!#REF!),"")</f>
        <v>#REF!</v>
      </c>
      <c r="R10" s="50" t="e">
        <f>IF(AND('Mapa final'!#REF!="Muy Alta",'Mapa final'!#REF!="Menor"),CONCATENATE("R5C",'Mapa final'!#REF!),"")</f>
        <v>#REF!</v>
      </c>
      <c r="S10" s="50" t="e">
        <f>IF(AND('Mapa final'!#REF!="Muy Alta",'Mapa final'!#REF!="Menor"),CONCATENATE("R5C",'Mapa final'!#REF!),"")</f>
        <v>#REF!</v>
      </c>
      <c r="T10" s="50" t="e">
        <f>IF(AND('Mapa final'!#REF!="Muy Alta",'Mapa final'!#REF!="Menor"),CONCATENATE("R5C",'Mapa final'!#REF!),"")</f>
        <v>#REF!</v>
      </c>
      <c r="U10" s="51" t="str">
        <f>IF(AND('Mapa final'!$AC$17="Muy Alta",'Mapa final'!$AE$17="Menor"),CONCATENATE("R5C",'Mapa final'!$S$17),"")</f>
        <v/>
      </c>
      <c r="V10" s="49" t="e">
        <f>IF(AND('Mapa final'!#REF!="Muy Alta",'Mapa final'!#REF!="Moderado"),CONCATENATE("R5C",'Mapa final'!#REF!),"")</f>
        <v>#REF!</v>
      </c>
      <c r="W10" s="50" t="e">
        <f>IF(AND('Mapa final'!#REF!="Muy Alta",'Mapa final'!#REF!="Moderado"),CONCATENATE("R5C",'Mapa final'!#REF!),"")</f>
        <v>#REF!</v>
      </c>
      <c r="X10" s="50" t="e">
        <f>IF(AND('Mapa final'!#REF!="Muy Alta",'Mapa final'!#REF!="Moderado"),CONCATENATE("R5C",'Mapa final'!#REF!),"")</f>
        <v>#REF!</v>
      </c>
      <c r="Y10" s="50" t="e">
        <f>IF(AND('Mapa final'!#REF!="Muy Alta",'Mapa final'!#REF!="Moderado"),CONCATENATE("R5C",'Mapa final'!#REF!),"")</f>
        <v>#REF!</v>
      </c>
      <c r="Z10" s="50" t="e">
        <f>IF(AND('Mapa final'!#REF!="Muy Alta",'Mapa final'!#REF!="Moderado"),CONCATENATE("R5C",'Mapa final'!#REF!),"")</f>
        <v>#REF!</v>
      </c>
      <c r="AA10" s="51" t="str">
        <f>IF(AND('Mapa final'!$AC$17="Muy Alta",'Mapa final'!$AE$17="Moderado"),CONCATENATE("R5C",'Mapa final'!$S$17),"")</f>
        <v/>
      </c>
      <c r="AB10" s="49" t="e">
        <f>IF(AND('Mapa final'!#REF!="Muy Alta",'Mapa final'!#REF!="Mayor"),CONCATENATE("R5C",'Mapa final'!#REF!),"")</f>
        <v>#REF!</v>
      </c>
      <c r="AC10" s="50" t="e">
        <f>IF(AND('Mapa final'!#REF!="Muy Alta",'Mapa final'!#REF!="Mayor"),CONCATENATE("R5C",'Mapa final'!#REF!),"")</f>
        <v>#REF!</v>
      </c>
      <c r="AD10" s="50" t="e">
        <f>IF(AND('Mapa final'!#REF!="Muy Alta",'Mapa final'!#REF!="Mayor"),CONCATENATE("R5C",'Mapa final'!#REF!),"")</f>
        <v>#REF!</v>
      </c>
      <c r="AE10" s="50" t="e">
        <f>IF(AND('Mapa final'!#REF!="Muy Alta",'Mapa final'!#REF!="Mayor"),CONCATENATE("R5C",'Mapa final'!#REF!),"")</f>
        <v>#REF!</v>
      </c>
      <c r="AF10" s="50" t="e">
        <f>IF(AND('Mapa final'!#REF!="Muy Alta",'Mapa final'!#REF!="Mayor"),CONCATENATE("R5C",'Mapa final'!#REF!),"")</f>
        <v>#REF!</v>
      </c>
      <c r="AG10" s="51" t="str">
        <f>IF(AND('Mapa final'!$AC$17="Muy Alta",'Mapa final'!$AE$17="Mayor"),CONCATENATE("R5C",'Mapa final'!$S$17),"")</f>
        <v/>
      </c>
      <c r="AH10" s="52" t="e">
        <f>IF(AND('Mapa final'!#REF!="Muy Alta",'Mapa final'!#REF!="Catastrófico"),CONCATENATE("R5C",'Mapa final'!#REF!),"")</f>
        <v>#REF!</v>
      </c>
      <c r="AI10" s="53" t="e">
        <f>IF(AND('Mapa final'!#REF!="Muy Alta",'Mapa final'!#REF!="Catastrófico"),CONCATENATE("R5C",'Mapa final'!#REF!),"")</f>
        <v>#REF!</v>
      </c>
      <c r="AJ10" s="53" t="e">
        <f>IF(AND('Mapa final'!#REF!="Muy Alta",'Mapa final'!#REF!="Catastrófico"),CONCATENATE("R5C",'Mapa final'!#REF!),"")</f>
        <v>#REF!</v>
      </c>
      <c r="AK10" s="53" t="e">
        <f>IF(AND('Mapa final'!#REF!="Muy Alta",'Mapa final'!#REF!="Catastrófico"),CONCATENATE("R5C",'Mapa final'!#REF!),"")</f>
        <v>#REF!</v>
      </c>
      <c r="AL10" s="53" t="e">
        <f>IF(AND('Mapa final'!#REF!="Muy Alta",'Mapa final'!#REF!="Catastrófico"),CONCATENATE("R5C",'Mapa final'!#REF!),"")</f>
        <v>#REF!</v>
      </c>
      <c r="AM10" s="54" t="str">
        <f>IF(AND('Mapa final'!$AC$17="Muy Alta",'Mapa final'!$AE$17="Catastrófico"),CONCATENATE("R5C",'Mapa final'!$S$17),"")</f>
        <v/>
      </c>
      <c r="AN10" s="80"/>
      <c r="AO10" s="453"/>
      <c r="AP10" s="454"/>
      <c r="AQ10" s="454"/>
      <c r="AR10" s="454"/>
      <c r="AS10" s="454"/>
      <c r="AT10" s="455"/>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48"/>
      <c r="C11" s="348"/>
      <c r="D11" s="349"/>
      <c r="E11" s="447"/>
      <c r="F11" s="446"/>
      <c r="G11" s="446"/>
      <c r="H11" s="446"/>
      <c r="I11" s="462"/>
      <c r="J11" s="49" t="str">
        <f>IF(AND('Mapa final'!$AC$18="Muy Alta",'Mapa final'!$AE$18="Leve"),CONCATENATE("R6C",'Mapa final'!$S$18),"")</f>
        <v/>
      </c>
      <c r="K11" s="50" t="str">
        <f>IF(AND('Mapa final'!$AC$19="Muy Alta",'Mapa final'!$AE$19="Leve"),CONCATENATE("R6C",'Mapa final'!$S$19),"")</f>
        <v/>
      </c>
      <c r="L11" s="50" t="str">
        <f>IF(AND('Mapa final'!$AC$20="Muy Alta",'Mapa final'!$AE$20="Leve"),CONCATENATE("R6C",'Mapa final'!$S$20),"")</f>
        <v/>
      </c>
      <c r="M11" s="50" t="str">
        <f>IF(AND('Mapa final'!$AC$21="Muy Alta",'Mapa final'!$AE$21="Leve"),CONCATENATE("R6C",'Mapa final'!$S$21),"")</f>
        <v/>
      </c>
      <c r="N11" s="50" t="str">
        <f>IF(AND('Mapa final'!$AC$22="Muy Alta",'Mapa final'!$AE$22="Leve"),CONCATENATE("R6C",'Mapa final'!$S$22),"")</f>
        <v/>
      </c>
      <c r="O11" s="51" t="str">
        <f>IF(AND('Mapa final'!$AC$23="Muy Alta",'Mapa final'!$AE$23="Leve"),CONCATENATE("R6C",'Mapa final'!$S$23),"")</f>
        <v/>
      </c>
      <c r="P11" s="49" t="str">
        <f>IF(AND('Mapa final'!$AC$18="Muy Alta",'Mapa final'!$AE$18="Menor"),CONCATENATE("R6C",'Mapa final'!$S$18),"")</f>
        <v/>
      </c>
      <c r="Q11" s="50" t="str">
        <f>IF(AND('Mapa final'!$AC$19="Muy Alta",'Mapa final'!$AE$19="Menor"),CONCATENATE("R6C",'Mapa final'!$S$19),"")</f>
        <v/>
      </c>
      <c r="R11" s="50" t="str">
        <f>IF(AND('Mapa final'!$AC$20="Muy Alta",'Mapa final'!$AE$20="Menor"),CONCATENATE("R6C",'Mapa final'!$S$20),"")</f>
        <v/>
      </c>
      <c r="S11" s="50" t="str">
        <f>IF(AND('Mapa final'!$AC$21="Muy Alta",'Mapa final'!$AE$21="Menor"),CONCATENATE("R6C",'Mapa final'!$S$21),"")</f>
        <v/>
      </c>
      <c r="T11" s="50" t="str">
        <f>IF(AND('Mapa final'!$AC$22="Muy Alta",'Mapa final'!$AE$22="Menor"),CONCATENATE("R6C",'Mapa final'!$S$22),"")</f>
        <v/>
      </c>
      <c r="U11" s="51" t="str">
        <f>IF(AND('Mapa final'!$AC$23="Muy Alta",'Mapa final'!$AE$23="Menor"),CONCATENATE("R6C",'Mapa final'!$S$23),"")</f>
        <v/>
      </c>
      <c r="V11" s="49" t="str">
        <f>IF(AND('Mapa final'!$AC$18="Muy Alta",'Mapa final'!$AE$18="Moderado"),CONCATENATE("R6C",'Mapa final'!$S$18),"")</f>
        <v/>
      </c>
      <c r="W11" s="50" t="str">
        <f>IF(AND('Mapa final'!$AC$19="Muy Alta",'Mapa final'!$AE$19="Moderado"),CONCATENATE("R6C",'Mapa final'!$S$19),"")</f>
        <v/>
      </c>
      <c r="X11" s="50" t="str">
        <f>IF(AND('Mapa final'!$AC$20="Muy Alta",'Mapa final'!$AE$20="Moderado"),CONCATENATE("R6C",'Mapa final'!$S$20),"")</f>
        <v/>
      </c>
      <c r="Y11" s="50" t="str">
        <f>IF(AND('Mapa final'!$AC$21="Muy Alta",'Mapa final'!$AE$21="Moderado"),CONCATENATE("R6C",'Mapa final'!$S$21),"")</f>
        <v/>
      </c>
      <c r="Z11" s="50" t="str">
        <f>IF(AND('Mapa final'!$AC$22="Muy Alta",'Mapa final'!$AE$22="Moderado"),CONCATENATE("R6C",'Mapa final'!$S$22),"")</f>
        <v/>
      </c>
      <c r="AA11" s="51" t="str">
        <f>IF(AND('Mapa final'!$AC$23="Muy Alta",'Mapa final'!$AE$23="Moderado"),CONCATENATE("R6C",'Mapa final'!$S$23),"")</f>
        <v/>
      </c>
      <c r="AB11" s="49" t="str">
        <f>IF(AND('Mapa final'!$AC$18="Muy Alta",'Mapa final'!$AE$18="Mayor"),CONCATENATE("R6C",'Mapa final'!$S$18),"")</f>
        <v/>
      </c>
      <c r="AC11" s="50" t="str">
        <f>IF(AND('Mapa final'!$AC$19="Muy Alta",'Mapa final'!$AE$19="Mayor"),CONCATENATE("R6C",'Mapa final'!$S$19),"")</f>
        <v/>
      </c>
      <c r="AD11" s="50" t="str">
        <f>IF(AND('Mapa final'!$AC$20="Muy Alta",'Mapa final'!$AE$20="Mayor"),CONCATENATE("R6C",'Mapa final'!$S$20),"")</f>
        <v/>
      </c>
      <c r="AE11" s="50" t="str">
        <f>IF(AND('Mapa final'!$AC$21="Muy Alta",'Mapa final'!$AE$21="Mayor"),CONCATENATE("R6C",'Mapa final'!$S$21),"")</f>
        <v/>
      </c>
      <c r="AF11" s="50" t="str">
        <f>IF(AND('Mapa final'!$AC$22="Muy Alta",'Mapa final'!$AE$22="Mayor"),CONCATENATE("R6C",'Mapa final'!$S$22),"")</f>
        <v/>
      </c>
      <c r="AG11" s="51" t="str">
        <f>IF(AND('Mapa final'!$AC$23="Muy Alta",'Mapa final'!$AE$23="Mayor"),CONCATENATE("R6C",'Mapa final'!$S$23),"")</f>
        <v/>
      </c>
      <c r="AH11" s="52" t="str">
        <f>IF(AND('Mapa final'!$AC$18="Muy Alta",'Mapa final'!$AE$18="Catastrófico"),CONCATENATE("R6C",'Mapa final'!$S$18),"")</f>
        <v/>
      </c>
      <c r="AI11" s="53" t="str">
        <f>IF(AND('Mapa final'!$AC$19="Muy Alta",'Mapa final'!$AE$19="Catastrófico"),CONCATENATE("R6C",'Mapa final'!$S$19),"")</f>
        <v/>
      </c>
      <c r="AJ11" s="53" t="str">
        <f>IF(AND('Mapa final'!$AC$20="Muy Alta",'Mapa final'!$AE$20="Catastrófico"),CONCATENATE("R6C",'Mapa final'!$S$20),"")</f>
        <v/>
      </c>
      <c r="AK11" s="53" t="str">
        <f>IF(AND('Mapa final'!$AC$21="Muy Alta",'Mapa final'!$AE$21="Catastrófico"),CONCATENATE("R6C",'Mapa final'!$S$21),"")</f>
        <v/>
      </c>
      <c r="AL11" s="53" t="str">
        <f>IF(AND('Mapa final'!$AC$22="Muy Alta",'Mapa final'!$AE$22="Catastrófico"),CONCATENATE("R6C",'Mapa final'!$S$22),"")</f>
        <v/>
      </c>
      <c r="AM11" s="54" t="str">
        <f>IF(AND('Mapa final'!$AC$23="Muy Alta",'Mapa final'!$AE$23="Catastrófico"),CONCATENATE("R6C",'Mapa final'!$S$23),"")</f>
        <v/>
      </c>
      <c r="AN11" s="80"/>
      <c r="AO11" s="453"/>
      <c r="AP11" s="454"/>
      <c r="AQ11" s="454"/>
      <c r="AR11" s="454"/>
      <c r="AS11" s="454"/>
      <c r="AT11" s="455"/>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48"/>
      <c r="C12" s="348"/>
      <c r="D12" s="349"/>
      <c r="E12" s="447"/>
      <c r="F12" s="446"/>
      <c r="G12" s="446"/>
      <c r="H12" s="446"/>
      <c r="I12" s="462"/>
      <c r="J12" s="49" t="str">
        <f>IF(AND('Mapa final'!$AC$24="Muy Alta",'Mapa final'!$AE$24="Leve"),CONCATENATE("R7C",'Mapa final'!$S$24),"")</f>
        <v/>
      </c>
      <c r="K12" s="50" t="str">
        <f>IF(AND('Mapa final'!$AC$25="Muy Alta",'Mapa final'!$AE$25="Leve"),CONCATENATE("R7C",'Mapa final'!$S$25),"")</f>
        <v/>
      </c>
      <c r="L12" s="50" t="str">
        <f>IF(AND('Mapa final'!$AC$26="Muy Alta",'Mapa final'!$AE$26="Leve"),CONCATENATE("R7C",'Mapa final'!$S$26),"")</f>
        <v/>
      </c>
      <c r="M12" s="50" t="str">
        <f>IF(AND('Mapa final'!$AC$27="Muy Alta",'Mapa final'!$AE$27="Leve"),CONCATENATE("R7C",'Mapa final'!$S$27),"")</f>
        <v/>
      </c>
      <c r="N12" s="50" t="str">
        <f>IF(AND('Mapa final'!$AC$28="Muy Alta",'Mapa final'!$AE$28="Leve"),CONCATENATE("R7C",'Mapa final'!$S$28),"")</f>
        <v/>
      </c>
      <c r="O12" s="51" t="str">
        <f>IF(AND('Mapa final'!$AC$29="Muy Alta",'Mapa final'!$AE$29="Leve"),CONCATENATE("R7C",'Mapa final'!$S$29),"")</f>
        <v/>
      </c>
      <c r="P12" s="49" t="str">
        <f>IF(AND('Mapa final'!$AC$24="Muy Alta",'Mapa final'!$AE$24="Menor"),CONCATENATE("R7C",'Mapa final'!$S$24),"")</f>
        <v/>
      </c>
      <c r="Q12" s="50" t="str">
        <f>IF(AND('Mapa final'!$AC$25="Muy Alta",'Mapa final'!$AE$25="Menor"),CONCATENATE("R7C",'Mapa final'!$S$25),"")</f>
        <v/>
      </c>
      <c r="R12" s="50" t="str">
        <f>IF(AND('Mapa final'!$AC$26="Muy Alta",'Mapa final'!$AE$26="Menor"),CONCATENATE("R7C",'Mapa final'!$S$26),"")</f>
        <v/>
      </c>
      <c r="S12" s="50" t="str">
        <f>IF(AND('Mapa final'!$AC$27="Muy Alta",'Mapa final'!$AE$27="Menor"),CONCATENATE("R7C",'Mapa final'!$S$27),"")</f>
        <v/>
      </c>
      <c r="T12" s="50" t="str">
        <f>IF(AND('Mapa final'!$AC$28="Muy Alta",'Mapa final'!$AE$28="Menor"),CONCATENATE("R7C",'Mapa final'!$S$28),"")</f>
        <v/>
      </c>
      <c r="U12" s="51" t="str">
        <f>IF(AND('Mapa final'!$AC$29="Muy Alta",'Mapa final'!$AE$29="Menor"),CONCATENATE("R7C",'Mapa final'!$S$29),"")</f>
        <v/>
      </c>
      <c r="V12" s="49" t="str">
        <f>IF(AND('Mapa final'!$AC$24="Muy Alta",'Mapa final'!$AE$24="Moderado"),CONCATENATE("R7C",'Mapa final'!$S$24),"")</f>
        <v/>
      </c>
      <c r="W12" s="50" t="str">
        <f>IF(AND('Mapa final'!$AC$25="Muy Alta",'Mapa final'!$AE$25="Moderado"),CONCATENATE("R7C",'Mapa final'!$S$25),"")</f>
        <v/>
      </c>
      <c r="X12" s="50" t="str">
        <f>IF(AND('Mapa final'!$AC$26="Muy Alta",'Mapa final'!$AE$26="Moderado"),CONCATENATE("R7C",'Mapa final'!$S$26),"")</f>
        <v/>
      </c>
      <c r="Y12" s="50" t="str">
        <f>IF(AND('Mapa final'!$AC$27="Muy Alta",'Mapa final'!$AE$27="Moderado"),CONCATENATE("R7C",'Mapa final'!$S$27),"")</f>
        <v/>
      </c>
      <c r="Z12" s="50" t="str">
        <f>IF(AND('Mapa final'!$AC$28="Muy Alta",'Mapa final'!$AE$28="Moderado"),CONCATENATE("R7C",'Mapa final'!$S$28),"")</f>
        <v/>
      </c>
      <c r="AA12" s="51" t="str">
        <f>IF(AND('Mapa final'!$AC$29="Muy Alta",'Mapa final'!$AE$29="Moderado"),CONCATENATE("R7C",'Mapa final'!$S$29),"")</f>
        <v/>
      </c>
      <c r="AB12" s="49" t="str">
        <f>IF(AND('Mapa final'!$AC$24="Muy Alta",'Mapa final'!$AE$24="Mayor"),CONCATENATE("R7C",'Mapa final'!$S$24),"")</f>
        <v/>
      </c>
      <c r="AC12" s="50" t="str">
        <f>IF(AND('Mapa final'!$AC$25="Muy Alta",'Mapa final'!$AE$25="Mayor"),CONCATENATE("R7C",'Mapa final'!$S$25),"")</f>
        <v/>
      </c>
      <c r="AD12" s="50" t="str">
        <f>IF(AND('Mapa final'!$AC$26="Muy Alta",'Mapa final'!$AE$26="Mayor"),CONCATENATE("R7C",'Mapa final'!$S$26),"")</f>
        <v/>
      </c>
      <c r="AE12" s="50" t="str">
        <f>IF(AND('Mapa final'!$AC$27="Muy Alta",'Mapa final'!$AE$27="Mayor"),CONCATENATE("R7C",'Mapa final'!$S$27),"")</f>
        <v/>
      </c>
      <c r="AF12" s="50" t="str">
        <f>IF(AND('Mapa final'!$AC$28="Muy Alta",'Mapa final'!$AE$28="Mayor"),CONCATENATE("R7C",'Mapa final'!$S$28),"")</f>
        <v/>
      </c>
      <c r="AG12" s="51" t="str">
        <f>IF(AND('Mapa final'!$AC$29="Muy Alta",'Mapa final'!$AE$29="Mayor"),CONCATENATE("R7C",'Mapa final'!$S$29),"")</f>
        <v/>
      </c>
      <c r="AH12" s="52" t="str">
        <f>IF(AND('Mapa final'!$AC$24="Muy Alta",'Mapa final'!$AE$24="Catastrófico"),CONCATENATE("R7C",'Mapa final'!$S$24),"")</f>
        <v/>
      </c>
      <c r="AI12" s="53" t="str">
        <f>IF(AND('Mapa final'!$AC$25="Muy Alta",'Mapa final'!$AE$25="Catastrófico"),CONCATENATE("R7C",'Mapa final'!$S$25),"")</f>
        <v/>
      </c>
      <c r="AJ12" s="53" t="str">
        <f>IF(AND('Mapa final'!$AC$26="Muy Alta",'Mapa final'!$AE$26="Catastrófico"),CONCATENATE("R7C",'Mapa final'!$S$26),"")</f>
        <v/>
      </c>
      <c r="AK12" s="53" t="str">
        <f>IF(AND('Mapa final'!$AC$27="Muy Alta",'Mapa final'!$AE$27="Catastrófico"),CONCATENATE("R7C",'Mapa final'!$S$27),"")</f>
        <v/>
      </c>
      <c r="AL12" s="53" t="str">
        <f>IF(AND('Mapa final'!$AC$28="Muy Alta",'Mapa final'!$AE$28="Catastrófico"),CONCATENATE("R7C",'Mapa final'!$S$28),"")</f>
        <v/>
      </c>
      <c r="AM12" s="54" t="str">
        <f>IF(AND('Mapa final'!$AC$29="Muy Alta",'Mapa final'!$AE$29="Catastrófico"),CONCATENATE("R7C",'Mapa final'!$S$29),"")</f>
        <v/>
      </c>
      <c r="AN12" s="80"/>
      <c r="AO12" s="453"/>
      <c r="AP12" s="454"/>
      <c r="AQ12" s="454"/>
      <c r="AR12" s="454"/>
      <c r="AS12" s="454"/>
      <c r="AT12" s="455"/>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48"/>
      <c r="C13" s="348"/>
      <c r="D13" s="349"/>
      <c r="E13" s="447"/>
      <c r="F13" s="446"/>
      <c r="G13" s="446"/>
      <c r="H13" s="446"/>
      <c r="I13" s="462"/>
      <c r="J13" s="49" t="str">
        <f>IF(AND('Mapa final'!$AC$30="Muy Alta",'Mapa final'!$AE$30="Leve"),CONCATENATE("R8C",'Mapa final'!$S$30),"")</f>
        <v/>
      </c>
      <c r="K13" s="50" t="str">
        <f>IF(AND('Mapa final'!$AC$31="Muy Alta",'Mapa final'!$AE$31="Leve"),CONCATENATE("R8C",'Mapa final'!$S$31),"")</f>
        <v/>
      </c>
      <c r="L13" s="50" t="str">
        <f>IF(AND('Mapa final'!$AC$32="Muy Alta",'Mapa final'!$AE$32="Leve"),CONCATENATE("R8C",'Mapa final'!$S$32),"")</f>
        <v/>
      </c>
      <c r="M13" s="50" t="str">
        <f>IF(AND('Mapa final'!$AC$33="Muy Alta",'Mapa final'!$AE$33="Leve"),CONCATENATE("R8C",'Mapa final'!$S$33),"")</f>
        <v/>
      </c>
      <c r="N13" s="50" t="str">
        <f>IF(AND('Mapa final'!$AC$34="Muy Alta",'Mapa final'!$AE$34="Leve"),CONCATENATE("R8C",'Mapa final'!$S$34),"")</f>
        <v/>
      </c>
      <c r="O13" s="51" t="str">
        <f>IF(AND('Mapa final'!$AC$35="Muy Alta",'Mapa final'!$AE$35="Leve"),CONCATENATE("R8C",'Mapa final'!$S$35),"")</f>
        <v/>
      </c>
      <c r="P13" s="49" t="str">
        <f>IF(AND('Mapa final'!$AC$30="Muy Alta",'Mapa final'!$AE$30="Menor"),CONCATENATE("R8C",'Mapa final'!$S$30),"")</f>
        <v/>
      </c>
      <c r="Q13" s="50" t="str">
        <f>IF(AND('Mapa final'!$AC$31="Muy Alta",'Mapa final'!$AE$31="Menor"),CONCATENATE("R8C",'Mapa final'!$S$31),"")</f>
        <v/>
      </c>
      <c r="R13" s="50" t="str">
        <f>IF(AND('Mapa final'!$AC$32="Muy Alta",'Mapa final'!$AE$32="Menor"),CONCATENATE("R8C",'Mapa final'!$S$32),"")</f>
        <v/>
      </c>
      <c r="S13" s="50" t="str">
        <f>IF(AND('Mapa final'!$AC$33="Muy Alta",'Mapa final'!$AE$33="Menor"),CONCATENATE("R8C",'Mapa final'!$S$33),"")</f>
        <v/>
      </c>
      <c r="T13" s="50" t="str">
        <f>IF(AND('Mapa final'!$AC$34="Muy Alta",'Mapa final'!$AE$34="Menor"),CONCATENATE("R8C",'Mapa final'!$S$34),"")</f>
        <v/>
      </c>
      <c r="U13" s="51" t="str">
        <f>IF(AND('Mapa final'!$AC$35="Muy Alta",'Mapa final'!$AE$35="Menor"),CONCATENATE("R8C",'Mapa final'!$S$35),"")</f>
        <v/>
      </c>
      <c r="V13" s="49" t="str">
        <f>IF(AND('Mapa final'!$AC$30="Muy Alta",'Mapa final'!$AE$30="Moderado"),CONCATENATE("R8C",'Mapa final'!$S$30),"")</f>
        <v/>
      </c>
      <c r="W13" s="50" t="str">
        <f>IF(AND('Mapa final'!$AC$31="Muy Alta",'Mapa final'!$AE$31="Moderado"),CONCATENATE("R8C",'Mapa final'!$S$31),"")</f>
        <v/>
      </c>
      <c r="X13" s="50" t="str">
        <f>IF(AND('Mapa final'!$AC$32="Muy Alta",'Mapa final'!$AE$32="Moderado"),CONCATENATE("R8C",'Mapa final'!$S$32),"")</f>
        <v/>
      </c>
      <c r="Y13" s="50" t="str">
        <f>IF(AND('Mapa final'!$AC$33="Muy Alta",'Mapa final'!$AE$33="Moderado"),CONCATENATE("R8C",'Mapa final'!$S$33),"")</f>
        <v/>
      </c>
      <c r="Z13" s="50" t="str">
        <f>IF(AND('Mapa final'!$AC$34="Muy Alta",'Mapa final'!$AE$34="Moderado"),CONCATENATE("R8C",'Mapa final'!$S$34),"")</f>
        <v/>
      </c>
      <c r="AA13" s="51" t="str">
        <f>IF(AND('Mapa final'!$AC$35="Muy Alta",'Mapa final'!$AE$35="Moderado"),CONCATENATE("R8C",'Mapa final'!$S$35),"")</f>
        <v/>
      </c>
      <c r="AB13" s="49" t="str">
        <f>IF(AND('Mapa final'!$AC$30="Muy Alta",'Mapa final'!$AE$30="Mayor"),CONCATENATE("R8C",'Mapa final'!$S$30),"")</f>
        <v/>
      </c>
      <c r="AC13" s="50" t="str">
        <f>IF(AND('Mapa final'!$AC$31="Muy Alta",'Mapa final'!$AE$31="Mayor"),CONCATENATE("R8C",'Mapa final'!$S$31),"")</f>
        <v/>
      </c>
      <c r="AD13" s="50" t="str">
        <f>IF(AND('Mapa final'!$AC$32="Muy Alta",'Mapa final'!$AE$32="Mayor"),CONCATENATE("R8C",'Mapa final'!$S$32),"")</f>
        <v/>
      </c>
      <c r="AE13" s="50" t="str">
        <f>IF(AND('Mapa final'!$AC$33="Muy Alta",'Mapa final'!$AE$33="Mayor"),CONCATENATE("R8C",'Mapa final'!$S$33),"")</f>
        <v/>
      </c>
      <c r="AF13" s="50" t="str">
        <f>IF(AND('Mapa final'!$AC$34="Muy Alta",'Mapa final'!$AE$34="Mayor"),CONCATENATE("R8C",'Mapa final'!$S$34),"")</f>
        <v/>
      </c>
      <c r="AG13" s="51" t="str">
        <f>IF(AND('Mapa final'!$AC$35="Muy Alta",'Mapa final'!$AE$35="Mayor"),CONCATENATE("R8C",'Mapa final'!$S$35),"")</f>
        <v/>
      </c>
      <c r="AH13" s="52" t="str">
        <f>IF(AND('Mapa final'!$AC$30="Muy Alta",'Mapa final'!$AE$30="Catastrófico"),CONCATENATE("R8C",'Mapa final'!$S$30),"")</f>
        <v/>
      </c>
      <c r="AI13" s="53" t="str">
        <f>IF(AND('Mapa final'!$AC$31="Muy Alta",'Mapa final'!$AE$31="Catastrófico"),CONCATENATE("R8C",'Mapa final'!$S$31),"")</f>
        <v/>
      </c>
      <c r="AJ13" s="53" t="str">
        <f>IF(AND('Mapa final'!$AC$32="Muy Alta",'Mapa final'!$AE$32="Catastrófico"),CONCATENATE("R8C",'Mapa final'!$S$32),"")</f>
        <v/>
      </c>
      <c r="AK13" s="53" t="str">
        <f>IF(AND('Mapa final'!$AC$33="Muy Alta",'Mapa final'!$AE$33="Catastrófico"),CONCATENATE("R8C",'Mapa final'!$S$33),"")</f>
        <v/>
      </c>
      <c r="AL13" s="53" t="str">
        <f>IF(AND('Mapa final'!$AC$34="Muy Alta",'Mapa final'!$AE$34="Catastrófico"),CONCATENATE("R8C",'Mapa final'!$S$34),"")</f>
        <v/>
      </c>
      <c r="AM13" s="54" t="str">
        <f>IF(AND('Mapa final'!$AC$35="Muy Alta",'Mapa final'!$AE$35="Catastrófico"),CONCATENATE("R8C",'Mapa final'!$S$35),"")</f>
        <v/>
      </c>
      <c r="AN13" s="80"/>
      <c r="AO13" s="453"/>
      <c r="AP13" s="454"/>
      <c r="AQ13" s="454"/>
      <c r="AR13" s="454"/>
      <c r="AS13" s="454"/>
      <c r="AT13" s="455"/>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48"/>
      <c r="C14" s="348"/>
      <c r="D14" s="349"/>
      <c r="E14" s="447"/>
      <c r="F14" s="446"/>
      <c r="G14" s="446"/>
      <c r="H14" s="446"/>
      <c r="I14" s="462"/>
      <c r="J14" s="49" t="str">
        <f>IF(AND('Mapa final'!$AC$36="Muy Alta",'Mapa final'!$AE$36="Leve"),CONCATENATE("R9C",'Mapa final'!$S$36),"")</f>
        <v/>
      </c>
      <c r="K14" s="50" t="str">
        <f>IF(AND('Mapa final'!$AC$37="Muy Alta",'Mapa final'!$AE$37="Leve"),CONCATENATE("R9C",'Mapa final'!$S$37),"")</f>
        <v/>
      </c>
      <c r="L14" s="50" t="str">
        <f>IF(AND('Mapa final'!$AC$38="Muy Alta",'Mapa final'!$AE$38="Leve"),CONCATENATE("R9C",'Mapa final'!$S$38),"")</f>
        <v/>
      </c>
      <c r="M14" s="50" t="str">
        <f>IF(AND('Mapa final'!$AC$39="Muy Alta",'Mapa final'!$AE$39="Leve"),CONCATENATE("R9C",'Mapa final'!$S$39),"")</f>
        <v/>
      </c>
      <c r="N14" s="50" t="str">
        <f>IF(AND('Mapa final'!$AC$40="Muy Alta",'Mapa final'!$AE$40="Leve"),CONCATENATE("R9C",'Mapa final'!$S$40),"")</f>
        <v/>
      </c>
      <c r="O14" s="51" t="str">
        <f>IF(AND('Mapa final'!$AC$41="Muy Alta",'Mapa final'!$AE$41="Leve"),CONCATENATE("R9C",'Mapa final'!$S$41),"")</f>
        <v/>
      </c>
      <c r="P14" s="49" t="str">
        <f>IF(AND('Mapa final'!$AC$36="Muy Alta",'Mapa final'!$AE$36="Menor"),CONCATENATE("R9C",'Mapa final'!$S$36),"")</f>
        <v/>
      </c>
      <c r="Q14" s="50" t="str">
        <f>IF(AND('Mapa final'!$AC$37="Muy Alta",'Mapa final'!$AE$37="Menor"),CONCATENATE("R9C",'Mapa final'!$S$37),"")</f>
        <v/>
      </c>
      <c r="R14" s="50" t="str">
        <f>IF(AND('Mapa final'!$AC$38="Muy Alta",'Mapa final'!$AE$38="Menor"),CONCATENATE("R9C",'Mapa final'!$S$38),"")</f>
        <v/>
      </c>
      <c r="S14" s="50" t="str">
        <f>IF(AND('Mapa final'!$AC$39="Muy Alta",'Mapa final'!$AE$39="Menor"),CONCATENATE("R9C",'Mapa final'!$S$39),"")</f>
        <v/>
      </c>
      <c r="T14" s="50" t="str">
        <f>IF(AND('Mapa final'!$AC$40="Muy Alta",'Mapa final'!$AE$40="Menor"),CONCATENATE("R9C",'Mapa final'!$S$40),"")</f>
        <v/>
      </c>
      <c r="U14" s="51" t="str">
        <f>IF(AND('Mapa final'!$AC$41="Muy Alta",'Mapa final'!$AE$41="Menor"),CONCATENATE("R9C",'Mapa final'!$S$41),"")</f>
        <v/>
      </c>
      <c r="V14" s="49" t="str">
        <f>IF(AND('Mapa final'!$AC$36="Muy Alta",'Mapa final'!$AE$36="Moderado"),CONCATENATE("R9C",'Mapa final'!$S$36),"")</f>
        <v/>
      </c>
      <c r="W14" s="50" t="str">
        <f>IF(AND('Mapa final'!$AC$37="Muy Alta",'Mapa final'!$AE$37="Moderado"),CONCATENATE("R9C",'Mapa final'!$S$37),"")</f>
        <v/>
      </c>
      <c r="X14" s="50" t="str">
        <f>IF(AND('Mapa final'!$AC$38="Muy Alta",'Mapa final'!$AE$38="Moderado"),CONCATENATE("R9C",'Mapa final'!$S$38),"")</f>
        <v/>
      </c>
      <c r="Y14" s="50" t="str">
        <f>IF(AND('Mapa final'!$AC$39="Muy Alta",'Mapa final'!$AE$39="Moderado"),CONCATENATE("R9C",'Mapa final'!$S$39),"")</f>
        <v/>
      </c>
      <c r="Z14" s="50" t="str">
        <f>IF(AND('Mapa final'!$AC$40="Muy Alta",'Mapa final'!$AE$40="Moderado"),CONCATENATE("R9C",'Mapa final'!$S$40),"")</f>
        <v/>
      </c>
      <c r="AA14" s="51" t="str">
        <f>IF(AND('Mapa final'!$AC$41="Muy Alta",'Mapa final'!$AE$41="Moderado"),CONCATENATE("R9C",'Mapa final'!$S$41),"")</f>
        <v/>
      </c>
      <c r="AB14" s="49" t="str">
        <f>IF(AND('Mapa final'!$AC$36="Muy Alta",'Mapa final'!$AE$36="Mayor"),CONCATENATE("R9C",'Mapa final'!$S$36),"")</f>
        <v/>
      </c>
      <c r="AC14" s="50" t="str">
        <f>IF(AND('Mapa final'!$AC$37="Muy Alta",'Mapa final'!$AE$37="Mayor"),CONCATENATE("R9C",'Mapa final'!$S$37),"")</f>
        <v/>
      </c>
      <c r="AD14" s="50" t="str">
        <f>IF(AND('Mapa final'!$AC$38="Muy Alta",'Mapa final'!$AE$38="Mayor"),CONCATENATE("R9C",'Mapa final'!$S$38),"")</f>
        <v/>
      </c>
      <c r="AE14" s="50" t="str">
        <f>IF(AND('Mapa final'!$AC$39="Muy Alta",'Mapa final'!$AE$39="Mayor"),CONCATENATE("R9C",'Mapa final'!$S$39),"")</f>
        <v/>
      </c>
      <c r="AF14" s="50" t="str">
        <f>IF(AND('Mapa final'!$AC$40="Muy Alta",'Mapa final'!$AE$40="Mayor"),CONCATENATE("R9C",'Mapa final'!$S$40),"")</f>
        <v/>
      </c>
      <c r="AG14" s="51" t="str">
        <f>IF(AND('Mapa final'!$AC$41="Muy Alta",'Mapa final'!$AE$41="Mayor"),CONCATENATE("R9C",'Mapa final'!$S$41),"")</f>
        <v/>
      </c>
      <c r="AH14" s="52" t="str">
        <f>IF(AND('Mapa final'!$AC$36="Muy Alta",'Mapa final'!$AE$36="Catastrófico"),CONCATENATE("R9C",'Mapa final'!$S$36),"")</f>
        <v/>
      </c>
      <c r="AI14" s="53" t="str">
        <f>IF(AND('Mapa final'!$AC$37="Muy Alta",'Mapa final'!$AE$37="Catastrófico"),CONCATENATE("R9C",'Mapa final'!$S$37),"")</f>
        <v/>
      </c>
      <c r="AJ14" s="53" t="str">
        <f>IF(AND('Mapa final'!$AC$38="Muy Alta",'Mapa final'!$AE$38="Catastrófico"),CONCATENATE("R9C",'Mapa final'!$S$38),"")</f>
        <v/>
      </c>
      <c r="AK14" s="53" t="str">
        <f>IF(AND('Mapa final'!$AC$39="Muy Alta",'Mapa final'!$AE$39="Catastrófico"),CONCATENATE("R9C",'Mapa final'!$S$39),"")</f>
        <v/>
      </c>
      <c r="AL14" s="53" t="str">
        <f>IF(AND('Mapa final'!$AC$40="Muy Alta",'Mapa final'!$AE$40="Catastrófico"),CONCATENATE("R9C",'Mapa final'!$S$40),"")</f>
        <v/>
      </c>
      <c r="AM14" s="54" t="str">
        <f>IF(AND('Mapa final'!$AC$41="Muy Alta",'Mapa final'!$AE$41="Catastrófico"),CONCATENATE("R9C",'Mapa final'!$S$41),"")</f>
        <v/>
      </c>
      <c r="AN14" s="80"/>
      <c r="AO14" s="453"/>
      <c r="AP14" s="454"/>
      <c r="AQ14" s="454"/>
      <c r="AR14" s="454"/>
      <c r="AS14" s="454"/>
      <c r="AT14" s="455"/>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48"/>
      <c r="C15" s="348"/>
      <c r="D15" s="349"/>
      <c r="E15" s="448"/>
      <c r="F15" s="449"/>
      <c r="G15" s="449"/>
      <c r="H15" s="449"/>
      <c r="I15" s="463"/>
      <c r="J15" s="55" t="str">
        <f>IF(AND('Mapa final'!$AC$42="Muy Alta",'Mapa final'!$AE$42="Leve"),CONCATENATE("R10C",'Mapa final'!$S$42),"")</f>
        <v/>
      </c>
      <c r="K15" s="56" t="str">
        <f>IF(AND('Mapa final'!$AC$43="Muy Alta",'Mapa final'!$AE$43="Leve"),CONCATENATE("R10C",'Mapa final'!$S$43),"")</f>
        <v/>
      </c>
      <c r="L15" s="56" t="str">
        <f>IF(AND('Mapa final'!$AC$44="Muy Alta",'Mapa final'!$AE$44="Leve"),CONCATENATE("R10C",'Mapa final'!$S$44),"")</f>
        <v/>
      </c>
      <c r="M15" s="56" t="str">
        <f>IF(AND('Mapa final'!$AC$45="Muy Alta",'Mapa final'!$AE$45="Leve"),CONCATENATE("R10C",'Mapa final'!$S$45),"")</f>
        <v/>
      </c>
      <c r="N15" s="56" t="str">
        <f>IF(AND('Mapa final'!$AC$46="Muy Alta",'Mapa final'!$AE$46="Leve"),CONCATENATE("R10C",'Mapa final'!$S$46),"")</f>
        <v/>
      </c>
      <c r="O15" s="57" t="str">
        <f>IF(AND('Mapa final'!$AC$47="Muy Alta",'Mapa final'!$AE$47="Leve"),CONCATENATE("R10C",'Mapa final'!$S$47),"")</f>
        <v/>
      </c>
      <c r="P15" s="49" t="str">
        <f>IF(AND('Mapa final'!$AC$42="Muy Alta",'Mapa final'!$AE$42="Menor"),CONCATENATE("R10C",'Mapa final'!$S$42),"")</f>
        <v/>
      </c>
      <c r="Q15" s="50" t="str">
        <f>IF(AND('Mapa final'!$AC$43="Muy Alta",'Mapa final'!$AE$43="Menor"),CONCATENATE("R10C",'Mapa final'!$S$43),"")</f>
        <v/>
      </c>
      <c r="R15" s="50" t="str">
        <f>IF(AND('Mapa final'!$AC$44="Muy Alta",'Mapa final'!$AE$44="Menor"),CONCATENATE("R10C",'Mapa final'!$S$44),"")</f>
        <v/>
      </c>
      <c r="S15" s="50" t="str">
        <f>IF(AND('Mapa final'!$AC$45="Muy Alta",'Mapa final'!$AE$45="Menor"),CONCATENATE("R10C",'Mapa final'!$S$45),"")</f>
        <v/>
      </c>
      <c r="T15" s="50" t="str">
        <f>IF(AND('Mapa final'!$AC$46="Muy Alta",'Mapa final'!$AE$46="Menor"),CONCATENATE("R10C",'Mapa final'!$S$46),"")</f>
        <v/>
      </c>
      <c r="U15" s="51" t="str">
        <f>IF(AND('Mapa final'!$AC$47="Muy Alta",'Mapa final'!$AE$47="Menor"),CONCATENATE("R10C",'Mapa final'!$S$47),"")</f>
        <v/>
      </c>
      <c r="V15" s="55" t="str">
        <f>IF(AND('Mapa final'!$AC$42="Muy Alta",'Mapa final'!$AE$42="Moderado"),CONCATENATE("R10C",'Mapa final'!$S$42),"")</f>
        <v/>
      </c>
      <c r="W15" s="56" t="str">
        <f>IF(AND('Mapa final'!$AC$43="Muy Alta",'Mapa final'!$AE$43="Moderado"),CONCATENATE("R10C",'Mapa final'!$S$43),"")</f>
        <v/>
      </c>
      <c r="X15" s="56" t="str">
        <f>IF(AND('Mapa final'!$AC$44="Muy Alta",'Mapa final'!$AE$44="Moderado"),CONCATENATE("R10C",'Mapa final'!$S$44),"")</f>
        <v/>
      </c>
      <c r="Y15" s="56" t="str">
        <f>IF(AND('Mapa final'!$AC$45="Muy Alta",'Mapa final'!$AE$45="Moderado"),CONCATENATE("R10C",'Mapa final'!$S$45),"")</f>
        <v/>
      </c>
      <c r="Z15" s="56" t="str">
        <f>IF(AND('Mapa final'!$AC$46="Muy Alta",'Mapa final'!$AE$46="Moderado"),CONCATENATE("R10C",'Mapa final'!$S$46),"")</f>
        <v/>
      </c>
      <c r="AA15" s="57" t="str">
        <f>IF(AND('Mapa final'!$AC$47="Muy Alta",'Mapa final'!$AE$47="Moderado"),CONCATENATE("R10C",'Mapa final'!$S$47),"")</f>
        <v/>
      </c>
      <c r="AB15" s="49" t="str">
        <f>IF(AND('Mapa final'!$AC$42="Muy Alta",'Mapa final'!$AE$42="Mayor"),CONCATENATE("R10C",'Mapa final'!$S$42),"")</f>
        <v/>
      </c>
      <c r="AC15" s="50" t="str">
        <f>IF(AND('Mapa final'!$AC$43="Muy Alta",'Mapa final'!$AE$43="Mayor"),CONCATENATE("R10C",'Mapa final'!$S$43),"")</f>
        <v/>
      </c>
      <c r="AD15" s="50" t="str">
        <f>IF(AND('Mapa final'!$AC$44="Muy Alta",'Mapa final'!$AE$44="Mayor"),CONCATENATE("R10C",'Mapa final'!$S$44),"")</f>
        <v/>
      </c>
      <c r="AE15" s="50" t="str">
        <f>IF(AND('Mapa final'!$AC$45="Muy Alta",'Mapa final'!$AE$45="Mayor"),CONCATENATE("R10C",'Mapa final'!$S$45),"")</f>
        <v/>
      </c>
      <c r="AF15" s="50" t="str">
        <f>IF(AND('Mapa final'!$AC$46="Muy Alta",'Mapa final'!$AE$46="Mayor"),CONCATENATE("R10C",'Mapa final'!$S$46),"")</f>
        <v/>
      </c>
      <c r="AG15" s="51" t="str">
        <f>IF(AND('Mapa final'!$AC$47="Muy Alta",'Mapa final'!$AE$47="Mayor"),CONCATENATE("R10C",'Mapa final'!$S$47),"")</f>
        <v/>
      </c>
      <c r="AH15" s="58" t="str">
        <f>IF(AND('Mapa final'!$AC$42="Muy Alta",'Mapa final'!$AE$42="Catastrófico"),CONCATENATE("R10C",'Mapa final'!$S$42),"")</f>
        <v/>
      </c>
      <c r="AI15" s="59" t="str">
        <f>IF(AND('Mapa final'!$AC$43="Muy Alta",'Mapa final'!$AE$43="Catastrófico"),CONCATENATE("R10C",'Mapa final'!$S$43),"")</f>
        <v/>
      </c>
      <c r="AJ15" s="59" t="str">
        <f>IF(AND('Mapa final'!$AC$44="Muy Alta",'Mapa final'!$AE$44="Catastrófico"),CONCATENATE("R10C",'Mapa final'!$S$44),"")</f>
        <v/>
      </c>
      <c r="AK15" s="59" t="str">
        <f>IF(AND('Mapa final'!$AC$45="Muy Alta",'Mapa final'!$AE$45="Catastrófico"),CONCATENATE("R10C",'Mapa final'!$S$45),"")</f>
        <v/>
      </c>
      <c r="AL15" s="59" t="str">
        <f>IF(AND('Mapa final'!$AC$46="Muy Alta",'Mapa final'!$AE$46="Catastrófico"),CONCATENATE("R10C",'Mapa final'!$S$46),"")</f>
        <v/>
      </c>
      <c r="AM15" s="60" t="str">
        <f>IF(AND('Mapa final'!$AC$47="Muy Alta",'Mapa final'!$AE$47="Catastrófico"),CONCATENATE("R10C",'Mapa final'!$S$47),"")</f>
        <v/>
      </c>
      <c r="AN15" s="80"/>
      <c r="AO15" s="456"/>
      <c r="AP15" s="457"/>
      <c r="AQ15" s="457"/>
      <c r="AR15" s="457"/>
      <c r="AS15" s="457"/>
      <c r="AT15" s="458"/>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48"/>
      <c r="C16" s="348"/>
      <c r="D16" s="349"/>
      <c r="E16" s="443" t="s">
        <v>115</v>
      </c>
      <c r="F16" s="444"/>
      <c r="G16" s="444"/>
      <c r="H16" s="444"/>
      <c r="I16" s="444"/>
      <c r="J16" s="61" t="str">
        <f>IF(AND('Mapa final'!$AC$11="Alta",'Mapa final'!$AE$11="Leve"),CONCATENATE("R1C",'Mapa final'!$S$11),"")</f>
        <v/>
      </c>
      <c r="K16" s="62" t="str">
        <f>IF(AND('Mapa final'!$AC$12="Alta",'Mapa final'!$AE$12="Leve"),CONCATENATE("R1C",'Mapa final'!$S$12),"")</f>
        <v/>
      </c>
      <c r="L16" s="62" t="e">
        <f>IF(AND('Mapa final'!#REF!="Alta",'Mapa final'!#REF!="Leve"),CONCATENATE("R1C",'Mapa final'!#REF!),"")</f>
        <v>#REF!</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final'!$AC$11="Alta",'Mapa final'!$AE$11="Menor"),CONCATENATE("R1C",'Mapa final'!$S$11),"")</f>
        <v/>
      </c>
      <c r="Q16" s="62" t="str">
        <f>IF(AND('Mapa final'!$AC$12="Alta",'Mapa final'!$AE$12="Menor"),CONCATENATE("R1C",'Mapa final'!$S$12),"")</f>
        <v/>
      </c>
      <c r="R16" s="62" t="e">
        <f>IF(AND('Mapa final'!#REF!="Alta",'Mapa final'!#REF!="Menor"),CONCATENATE("R1C",'Mapa final'!#REF!),"")</f>
        <v>#REF!</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final'!$AC$11="Alta",'Mapa final'!$AE$11="Moderado"),CONCATENATE("R1C",'Mapa final'!$S$11),"")</f>
        <v/>
      </c>
      <c r="W16" s="44" t="str">
        <f>IF(AND('Mapa final'!$AC$12="Alta",'Mapa final'!$AE$12="Moderado"),CONCATENATE("R1C",'Mapa final'!$S$12),"")</f>
        <v/>
      </c>
      <c r="X16" s="44" t="e">
        <f>IF(AND('Mapa final'!#REF!="Alta",'Mapa final'!#REF!="Moderado"),CONCATENATE("R1C",'Mapa final'!#REF!),"")</f>
        <v>#REF!</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final'!$AC$11="Alta",'Mapa final'!$AE$11="Mayor"),CONCATENATE("R1C",'Mapa final'!$S$11),"")</f>
        <v/>
      </c>
      <c r="AC16" s="44" t="str">
        <f>IF(AND('Mapa final'!$AC$12="Alta",'Mapa final'!$AE$12="Mayor"),CONCATENATE("R1C",'Mapa final'!$S$12),"")</f>
        <v/>
      </c>
      <c r="AD16" s="44" t="e">
        <f>IF(AND('Mapa final'!#REF!="Alta",'Mapa final'!#REF!="Mayor"),CONCATENATE("R1C",'Mapa final'!#REF!),"")</f>
        <v>#REF!</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final'!$AC$11="Alta",'Mapa final'!$AE$11="Catastrófico"),CONCATENATE("R1C",'Mapa final'!$S$11),"")</f>
        <v/>
      </c>
      <c r="AI16" s="47" t="str">
        <f>IF(AND('Mapa final'!$AC$12="Alta",'Mapa final'!$AE$12="Catastrófico"),CONCATENATE("R1C",'Mapa final'!$S$12),"")</f>
        <v/>
      </c>
      <c r="AJ16" s="47" t="e">
        <f>IF(AND('Mapa final'!#REF!="Alta",'Mapa final'!#REF!="Catastrófico"),CONCATENATE("R1C",'Mapa final'!#REF!),"")</f>
        <v>#REF!</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34" t="s">
        <v>80</v>
      </c>
      <c r="AP16" s="435"/>
      <c r="AQ16" s="435"/>
      <c r="AR16" s="435"/>
      <c r="AS16" s="435"/>
      <c r="AT16" s="436"/>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48"/>
      <c r="C17" s="348"/>
      <c r="D17" s="349"/>
      <c r="E17" s="445"/>
      <c r="F17" s="446"/>
      <c r="G17" s="446"/>
      <c r="H17" s="446"/>
      <c r="I17" s="446"/>
      <c r="J17" s="64" t="str">
        <f>IF(AND('Mapa final'!$AC$13="Alta",'Mapa final'!$AE$13="Leve"),CONCATENATE("R2C",'Mapa final'!$S$13),"")</f>
        <v/>
      </c>
      <c r="K17" s="65" t="str">
        <f>IF(AND('Mapa final'!$AC$14="Alta",'Mapa final'!$AE$14="Leve"),CONCATENATE("R2C",'Mapa final'!$S$14),"")</f>
        <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final'!$AC$13="Alta",'Mapa final'!$AE$13="Menor"),CONCATENATE("R2C",'Mapa final'!$S$13),"")</f>
        <v/>
      </c>
      <c r="Q17" s="65" t="str">
        <f>IF(AND('Mapa final'!$AC$14="Alta",'Mapa final'!$AE$14="Menor"),CONCATENATE("R2C",'Mapa final'!$S$14),"")</f>
        <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final'!$AC$13="Alta",'Mapa final'!$AE$13="Moderado"),CONCATENATE("R2C",'Mapa final'!$S$13),"")</f>
        <v/>
      </c>
      <c r="W17" s="50" t="str">
        <f>IF(AND('Mapa final'!$AC$14="Alta",'Mapa final'!$AE$14="Moderado"),CONCATENATE("R2C",'Mapa final'!$S$14),"")</f>
        <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final'!$AC$13="Alta",'Mapa final'!$AE$13="Mayor"),CONCATENATE("R2C",'Mapa final'!$S$13),"")</f>
        <v/>
      </c>
      <c r="AC17" s="50" t="str">
        <f>IF(AND('Mapa final'!$AC$14="Alta",'Mapa final'!$AE$14="Mayor"),CONCATENATE("R2C",'Mapa final'!$S$14),"")</f>
        <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final'!$AC$13="Alta",'Mapa final'!$AE$13="Catastrófico"),CONCATENATE("R2C",'Mapa final'!$S$13),"")</f>
        <v/>
      </c>
      <c r="AI17" s="53" t="str">
        <f>IF(AND('Mapa final'!$AC$14="Alta",'Mapa final'!$AE$14="Catastrófico"),CONCATENATE("R2C",'Mapa final'!$S$14),"")</f>
        <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37"/>
      <c r="AP17" s="438"/>
      <c r="AQ17" s="438"/>
      <c r="AR17" s="438"/>
      <c r="AS17" s="438"/>
      <c r="AT17" s="439"/>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48"/>
      <c r="C18" s="348"/>
      <c r="D18" s="349"/>
      <c r="E18" s="447"/>
      <c r="F18" s="446"/>
      <c r="G18" s="446"/>
      <c r="H18" s="446"/>
      <c r="I18" s="446"/>
      <c r="J18" s="64" t="str">
        <f>IF(AND('Mapa final'!$AC$15="Alta",'Mapa final'!$AE$15="Leve"),CONCATENATE("R3C",'Mapa final'!$S$15),"")</f>
        <v/>
      </c>
      <c r="K18" s="65" t="str">
        <f>IF(AND('Mapa final'!$AC$16="Alta",'Mapa final'!$AE$16="Leve"),CONCATENATE("R3C",'Mapa final'!$S$16),"")</f>
        <v/>
      </c>
      <c r="L18" s="65" t="e">
        <f>IF(AND('Mapa final'!#REF!="Alta",'Mapa final'!#REF!="Leve"),CONCATENATE("R3C",'Mapa final'!#REF!),"")</f>
        <v>#REF!</v>
      </c>
      <c r="M18" s="65" t="e">
        <f>IF(AND('Mapa final'!#REF!="Alta",'Mapa final'!#REF!="Leve"),CONCATENATE("R3C",'Mapa final'!#REF!),"")</f>
        <v>#REF!</v>
      </c>
      <c r="N18" s="65" t="e">
        <f>IF(AND('Mapa final'!#REF!="Alta",'Mapa final'!#REF!="Leve"),CONCATENATE("R3C",'Mapa final'!#REF!),"")</f>
        <v>#REF!</v>
      </c>
      <c r="O18" s="66" t="e">
        <f>IF(AND('Mapa final'!#REF!="Alta",'Mapa final'!#REF!="Leve"),CONCATENATE("R3C",'Mapa final'!#REF!),"")</f>
        <v>#REF!</v>
      </c>
      <c r="P18" s="64" t="str">
        <f>IF(AND('Mapa final'!$AC$15="Alta",'Mapa final'!$AE$15="Menor"),CONCATENATE("R3C",'Mapa final'!$S$15),"")</f>
        <v/>
      </c>
      <c r="Q18" s="65" t="str">
        <f>IF(AND('Mapa final'!$AC$16="Alta",'Mapa final'!$AE$16="Menor"),CONCATENATE("R3C",'Mapa final'!$S$16),"")</f>
        <v/>
      </c>
      <c r="R18" s="65" t="e">
        <f>IF(AND('Mapa final'!#REF!="Alta",'Mapa final'!#REF!="Menor"),CONCATENATE("R3C",'Mapa final'!#REF!),"")</f>
        <v>#REF!</v>
      </c>
      <c r="S18" s="65" t="e">
        <f>IF(AND('Mapa final'!#REF!="Alta",'Mapa final'!#REF!="Menor"),CONCATENATE("R3C",'Mapa final'!#REF!),"")</f>
        <v>#REF!</v>
      </c>
      <c r="T18" s="65" t="e">
        <f>IF(AND('Mapa final'!#REF!="Alta",'Mapa final'!#REF!="Menor"),CONCATENATE("R3C",'Mapa final'!#REF!),"")</f>
        <v>#REF!</v>
      </c>
      <c r="U18" s="66" t="e">
        <f>IF(AND('Mapa final'!#REF!="Alta",'Mapa final'!#REF!="Menor"),CONCATENATE("R3C",'Mapa final'!#REF!),"")</f>
        <v>#REF!</v>
      </c>
      <c r="V18" s="49" t="str">
        <f>IF(AND('Mapa final'!$AC$15="Alta",'Mapa final'!$AE$15="Moderado"),CONCATENATE("R3C",'Mapa final'!$S$15),"")</f>
        <v/>
      </c>
      <c r="W18" s="50" t="str">
        <f>IF(AND('Mapa final'!$AC$16="Alta",'Mapa final'!$AE$16="Moderado"),CONCATENATE("R3C",'Mapa final'!$S$16),"")</f>
        <v/>
      </c>
      <c r="X18" s="50" t="e">
        <f>IF(AND('Mapa final'!#REF!="Alta",'Mapa final'!#REF!="Moderado"),CONCATENATE("R3C",'Mapa final'!#REF!),"")</f>
        <v>#REF!</v>
      </c>
      <c r="Y18" s="50" t="e">
        <f>IF(AND('Mapa final'!#REF!="Alta",'Mapa final'!#REF!="Moderado"),CONCATENATE("R3C",'Mapa final'!#REF!),"")</f>
        <v>#REF!</v>
      </c>
      <c r="Z18" s="50" t="e">
        <f>IF(AND('Mapa final'!#REF!="Alta",'Mapa final'!#REF!="Moderado"),CONCATENATE("R3C",'Mapa final'!#REF!),"")</f>
        <v>#REF!</v>
      </c>
      <c r="AA18" s="51" t="e">
        <f>IF(AND('Mapa final'!#REF!="Alta",'Mapa final'!#REF!="Moderado"),CONCATENATE("R3C",'Mapa final'!#REF!),"")</f>
        <v>#REF!</v>
      </c>
      <c r="AB18" s="49" t="str">
        <f>IF(AND('Mapa final'!$AC$15="Alta",'Mapa final'!$AE$15="Mayor"),CONCATENATE("R3C",'Mapa final'!$S$15),"")</f>
        <v/>
      </c>
      <c r="AC18" s="50" t="str">
        <f>IF(AND('Mapa final'!$AC$16="Alta",'Mapa final'!$AE$16="Mayor"),CONCATENATE("R3C",'Mapa final'!$S$16),"")</f>
        <v/>
      </c>
      <c r="AD18" s="50" t="e">
        <f>IF(AND('Mapa final'!#REF!="Alta",'Mapa final'!#REF!="Mayor"),CONCATENATE("R3C",'Mapa final'!#REF!),"")</f>
        <v>#REF!</v>
      </c>
      <c r="AE18" s="50" t="e">
        <f>IF(AND('Mapa final'!#REF!="Alta",'Mapa final'!#REF!="Mayor"),CONCATENATE("R3C",'Mapa final'!#REF!),"")</f>
        <v>#REF!</v>
      </c>
      <c r="AF18" s="50" t="e">
        <f>IF(AND('Mapa final'!#REF!="Alta",'Mapa final'!#REF!="Mayor"),CONCATENATE("R3C",'Mapa final'!#REF!),"")</f>
        <v>#REF!</v>
      </c>
      <c r="AG18" s="51" t="e">
        <f>IF(AND('Mapa final'!#REF!="Alta",'Mapa final'!#REF!="Mayor"),CONCATENATE("R3C",'Mapa final'!#REF!),"")</f>
        <v>#REF!</v>
      </c>
      <c r="AH18" s="52" t="str">
        <f>IF(AND('Mapa final'!$AC$15="Alta",'Mapa final'!$AE$15="Catastrófico"),CONCATENATE("R3C",'Mapa final'!$S$15),"")</f>
        <v/>
      </c>
      <c r="AI18" s="53" t="str">
        <f>IF(AND('Mapa final'!$AC$16="Alta",'Mapa final'!$AE$16="Catastrófico"),CONCATENATE("R3C",'Mapa final'!$S$16),"")</f>
        <v/>
      </c>
      <c r="AJ18" s="53" t="e">
        <f>IF(AND('Mapa final'!#REF!="Alta",'Mapa final'!#REF!="Catastrófico"),CONCATENATE("R3C",'Mapa final'!#REF!),"")</f>
        <v>#REF!</v>
      </c>
      <c r="AK18" s="53" t="e">
        <f>IF(AND('Mapa final'!#REF!="Alta",'Mapa final'!#REF!="Catastrófico"),CONCATENATE("R3C",'Mapa final'!#REF!),"")</f>
        <v>#REF!</v>
      </c>
      <c r="AL18" s="53" t="e">
        <f>IF(AND('Mapa final'!#REF!="Alta",'Mapa final'!#REF!="Catastrófico"),CONCATENATE("R3C",'Mapa final'!#REF!),"")</f>
        <v>#REF!</v>
      </c>
      <c r="AM18" s="54" t="e">
        <f>IF(AND('Mapa final'!#REF!="Alta",'Mapa final'!#REF!="Catastrófico"),CONCATENATE("R3C",'Mapa final'!#REF!),"")</f>
        <v>#REF!</v>
      </c>
      <c r="AN18" s="80"/>
      <c r="AO18" s="437"/>
      <c r="AP18" s="438"/>
      <c r="AQ18" s="438"/>
      <c r="AR18" s="438"/>
      <c r="AS18" s="438"/>
      <c r="AT18" s="439"/>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48"/>
      <c r="C19" s="348"/>
      <c r="D19" s="349"/>
      <c r="E19" s="447"/>
      <c r="F19" s="446"/>
      <c r="G19" s="446"/>
      <c r="H19" s="446"/>
      <c r="I19" s="446"/>
      <c r="J19" s="64" t="e">
        <f>IF(AND('Mapa final'!#REF!="Alta",'Mapa final'!#REF!="Leve"),CONCATENATE("R4C",'Mapa final'!#REF!),"")</f>
        <v>#REF!</v>
      </c>
      <c r="K19" s="65" t="e">
        <f>IF(AND('Mapa final'!#REF!="Alta",'Mapa final'!#REF!="Leve"),CONCATENATE("R4C",'Mapa final'!#REF!),"")</f>
        <v>#REF!</v>
      </c>
      <c r="L19" s="65" t="e">
        <f>IF(AND('Mapa final'!#REF!="Alta",'Mapa final'!#REF!="Leve"),CONCATENATE("R4C",'Mapa final'!#REF!),"")</f>
        <v>#REF!</v>
      </c>
      <c r="M19" s="65" t="e">
        <f>IF(AND('Mapa final'!#REF!="Alta",'Mapa final'!#REF!="Leve"),CONCATENATE("R4C",'Mapa final'!#REF!),"")</f>
        <v>#REF!</v>
      </c>
      <c r="N19" s="65" t="e">
        <f>IF(AND('Mapa final'!#REF!="Alta",'Mapa final'!#REF!="Leve"),CONCATENATE("R4C",'Mapa final'!#REF!),"")</f>
        <v>#REF!</v>
      </c>
      <c r="O19" s="66" t="e">
        <f>IF(AND('Mapa final'!#REF!="Alta",'Mapa final'!#REF!="Leve"),CONCATENATE("R4C",'Mapa final'!#REF!),"")</f>
        <v>#REF!</v>
      </c>
      <c r="P19" s="64" t="e">
        <f>IF(AND('Mapa final'!#REF!="Alta",'Mapa final'!#REF!="Menor"),CONCATENATE("R4C",'Mapa final'!#REF!),"")</f>
        <v>#REF!</v>
      </c>
      <c r="Q19" s="65" t="e">
        <f>IF(AND('Mapa final'!#REF!="Alta",'Mapa final'!#REF!="Menor"),CONCATENATE("R4C",'Mapa final'!#REF!),"")</f>
        <v>#REF!</v>
      </c>
      <c r="R19" s="65" t="e">
        <f>IF(AND('Mapa final'!#REF!="Alta",'Mapa final'!#REF!="Menor"),CONCATENATE("R4C",'Mapa final'!#REF!),"")</f>
        <v>#REF!</v>
      </c>
      <c r="S19" s="65" t="e">
        <f>IF(AND('Mapa final'!#REF!="Alta",'Mapa final'!#REF!="Menor"),CONCATENATE("R4C",'Mapa final'!#REF!),"")</f>
        <v>#REF!</v>
      </c>
      <c r="T19" s="65" t="e">
        <f>IF(AND('Mapa final'!#REF!="Alta",'Mapa final'!#REF!="Menor"),CONCATENATE("R4C",'Mapa final'!#REF!),"")</f>
        <v>#REF!</v>
      </c>
      <c r="U19" s="66" t="e">
        <f>IF(AND('Mapa final'!#REF!="Alta",'Mapa final'!#REF!="Menor"),CONCATENATE("R4C",'Mapa final'!#REF!),"")</f>
        <v>#REF!</v>
      </c>
      <c r="V19" s="49" t="e">
        <f>IF(AND('Mapa final'!#REF!="Alta",'Mapa final'!#REF!="Moderado"),CONCATENATE("R4C",'Mapa final'!#REF!),"")</f>
        <v>#REF!</v>
      </c>
      <c r="W19" s="50" t="e">
        <f>IF(AND('Mapa final'!#REF!="Alta",'Mapa final'!#REF!="Moderado"),CONCATENATE("R4C",'Mapa final'!#REF!),"")</f>
        <v>#REF!</v>
      </c>
      <c r="X19" s="50" t="e">
        <f>IF(AND('Mapa final'!#REF!="Alta",'Mapa final'!#REF!="Moderado"),CONCATENATE("R4C",'Mapa final'!#REF!),"")</f>
        <v>#REF!</v>
      </c>
      <c r="Y19" s="50" t="e">
        <f>IF(AND('Mapa final'!#REF!="Alta",'Mapa final'!#REF!="Moderado"),CONCATENATE("R4C",'Mapa final'!#REF!),"")</f>
        <v>#REF!</v>
      </c>
      <c r="Z19" s="50" t="e">
        <f>IF(AND('Mapa final'!#REF!="Alta",'Mapa final'!#REF!="Moderado"),CONCATENATE("R4C",'Mapa final'!#REF!),"")</f>
        <v>#REF!</v>
      </c>
      <c r="AA19" s="51" t="e">
        <f>IF(AND('Mapa final'!#REF!="Alta",'Mapa final'!#REF!="Moderado"),CONCATENATE("R4C",'Mapa final'!#REF!),"")</f>
        <v>#REF!</v>
      </c>
      <c r="AB19" s="49" t="e">
        <f>IF(AND('Mapa final'!#REF!="Alta",'Mapa final'!#REF!="Mayor"),CONCATENATE("R4C",'Mapa final'!#REF!),"")</f>
        <v>#REF!</v>
      </c>
      <c r="AC19" s="50" t="e">
        <f>IF(AND('Mapa final'!#REF!="Alta",'Mapa final'!#REF!="Mayor"),CONCATENATE("R4C",'Mapa final'!#REF!),"")</f>
        <v>#REF!</v>
      </c>
      <c r="AD19" s="50" t="e">
        <f>IF(AND('Mapa final'!#REF!="Alta",'Mapa final'!#REF!="Mayor"),CONCATENATE("R4C",'Mapa final'!#REF!),"")</f>
        <v>#REF!</v>
      </c>
      <c r="AE19" s="50" t="e">
        <f>IF(AND('Mapa final'!#REF!="Alta",'Mapa final'!#REF!="Mayor"),CONCATENATE("R4C",'Mapa final'!#REF!),"")</f>
        <v>#REF!</v>
      </c>
      <c r="AF19" s="50" t="e">
        <f>IF(AND('Mapa final'!#REF!="Alta",'Mapa final'!#REF!="Mayor"),CONCATENATE("R4C",'Mapa final'!#REF!),"")</f>
        <v>#REF!</v>
      </c>
      <c r="AG19" s="51" t="e">
        <f>IF(AND('Mapa final'!#REF!="Alta",'Mapa final'!#REF!="Mayor"),CONCATENATE("R4C",'Mapa final'!#REF!),"")</f>
        <v>#REF!</v>
      </c>
      <c r="AH19" s="52" t="e">
        <f>IF(AND('Mapa final'!#REF!="Alta",'Mapa final'!#REF!="Catastrófico"),CONCATENATE("R4C",'Mapa final'!#REF!),"")</f>
        <v>#REF!</v>
      </c>
      <c r="AI19" s="53" t="e">
        <f>IF(AND('Mapa final'!#REF!="Alta",'Mapa final'!#REF!="Catastrófico"),CONCATENATE("R4C",'Mapa final'!#REF!),"")</f>
        <v>#REF!</v>
      </c>
      <c r="AJ19" s="53" t="e">
        <f>IF(AND('Mapa final'!#REF!="Alta",'Mapa final'!#REF!="Catastrófico"),CONCATENATE("R4C",'Mapa final'!#REF!),"")</f>
        <v>#REF!</v>
      </c>
      <c r="AK19" s="53" t="e">
        <f>IF(AND('Mapa final'!#REF!="Alta",'Mapa final'!#REF!="Catastrófico"),CONCATENATE("R4C",'Mapa final'!#REF!),"")</f>
        <v>#REF!</v>
      </c>
      <c r="AL19" s="53" t="e">
        <f>IF(AND('Mapa final'!#REF!="Alta",'Mapa final'!#REF!="Catastrófico"),CONCATENATE("R4C",'Mapa final'!#REF!),"")</f>
        <v>#REF!</v>
      </c>
      <c r="AM19" s="54" t="e">
        <f>IF(AND('Mapa final'!#REF!="Alta",'Mapa final'!#REF!="Catastrófico"),CONCATENATE("R4C",'Mapa final'!#REF!),"")</f>
        <v>#REF!</v>
      </c>
      <c r="AN19" s="80"/>
      <c r="AO19" s="437"/>
      <c r="AP19" s="438"/>
      <c r="AQ19" s="438"/>
      <c r="AR19" s="438"/>
      <c r="AS19" s="438"/>
      <c r="AT19" s="439"/>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48"/>
      <c r="C20" s="348"/>
      <c r="D20" s="349"/>
      <c r="E20" s="447"/>
      <c r="F20" s="446"/>
      <c r="G20" s="446"/>
      <c r="H20" s="446"/>
      <c r="I20" s="446"/>
      <c r="J20" s="64" t="e">
        <f>IF(AND('Mapa final'!#REF!="Alta",'Mapa final'!#REF!="Leve"),CONCATENATE("R5C",'Mapa final'!#REF!),"")</f>
        <v>#REF!</v>
      </c>
      <c r="K20" s="65" t="e">
        <f>IF(AND('Mapa final'!#REF!="Alta",'Mapa final'!#REF!="Leve"),CONCATENATE("R5C",'Mapa final'!#REF!),"")</f>
        <v>#REF!</v>
      </c>
      <c r="L20" s="65" t="e">
        <f>IF(AND('Mapa final'!#REF!="Alta",'Mapa final'!#REF!="Leve"),CONCATENATE("R5C",'Mapa final'!#REF!),"")</f>
        <v>#REF!</v>
      </c>
      <c r="M20" s="65" t="e">
        <f>IF(AND('Mapa final'!#REF!="Alta",'Mapa final'!#REF!="Leve"),CONCATENATE("R5C",'Mapa final'!#REF!),"")</f>
        <v>#REF!</v>
      </c>
      <c r="N20" s="65" t="e">
        <f>IF(AND('Mapa final'!#REF!="Alta",'Mapa final'!#REF!="Leve"),CONCATENATE("R5C",'Mapa final'!#REF!),"")</f>
        <v>#REF!</v>
      </c>
      <c r="O20" s="66" t="str">
        <f>IF(AND('Mapa final'!$AC$17="Alta",'Mapa final'!$AE$17="Leve"),CONCATENATE("R5C",'Mapa final'!$S$17),"")</f>
        <v/>
      </c>
      <c r="P20" s="64" t="e">
        <f>IF(AND('Mapa final'!#REF!="Alta",'Mapa final'!#REF!="Menor"),CONCATENATE("R5C",'Mapa final'!#REF!),"")</f>
        <v>#REF!</v>
      </c>
      <c r="Q20" s="65" t="e">
        <f>IF(AND('Mapa final'!#REF!="Alta",'Mapa final'!#REF!="Menor"),CONCATENATE("R5C",'Mapa final'!#REF!),"")</f>
        <v>#REF!</v>
      </c>
      <c r="R20" s="65" t="e">
        <f>IF(AND('Mapa final'!#REF!="Alta",'Mapa final'!#REF!="Menor"),CONCATENATE("R5C",'Mapa final'!#REF!),"")</f>
        <v>#REF!</v>
      </c>
      <c r="S20" s="65" t="e">
        <f>IF(AND('Mapa final'!#REF!="Alta",'Mapa final'!#REF!="Menor"),CONCATENATE("R5C",'Mapa final'!#REF!),"")</f>
        <v>#REF!</v>
      </c>
      <c r="T20" s="65" t="e">
        <f>IF(AND('Mapa final'!#REF!="Alta",'Mapa final'!#REF!="Menor"),CONCATENATE("R5C",'Mapa final'!#REF!),"")</f>
        <v>#REF!</v>
      </c>
      <c r="U20" s="66" t="str">
        <f>IF(AND('Mapa final'!$AC$17="Alta",'Mapa final'!$AE$17="Menor"),CONCATENATE("R5C",'Mapa final'!$S$17),"")</f>
        <v/>
      </c>
      <c r="V20" s="49" t="e">
        <f>IF(AND('Mapa final'!#REF!="Alta",'Mapa final'!#REF!="Moderado"),CONCATENATE("R5C",'Mapa final'!#REF!),"")</f>
        <v>#REF!</v>
      </c>
      <c r="W20" s="50" t="e">
        <f>IF(AND('Mapa final'!#REF!="Alta",'Mapa final'!#REF!="Moderado"),CONCATENATE("R5C",'Mapa final'!#REF!),"")</f>
        <v>#REF!</v>
      </c>
      <c r="X20" s="50" t="e">
        <f>IF(AND('Mapa final'!#REF!="Alta",'Mapa final'!#REF!="Moderado"),CONCATENATE("R5C",'Mapa final'!#REF!),"")</f>
        <v>#REF!</v>
      </c>
      <c r="Y20" s="50" t="e">
        <f>IF(AND('Mapa final'!#REF!="Alta",'Mapa final'!#REF!="Moderado"),CONCATENATE("R5C",'Mapa final'!#REF!),"")</f>
        <v>#REF!</v>
      </c>
      <c r="Z20" s="50" t="e">
        <f>IF(AND('Mapa final'!#REF!="Alta",'Mapa final'!#REF!="Moderado"),CONCATENATE("R5C",'Mapa final'!#REF!),"")</f>
        <v>#REF!</v>
      </c>
      <c r="AA20" s="51" t="str">
        <f>IF(AND('Mapa final'!$AC$17="Alta",'Mapa final'!$AE$17="Moderado"),CONCATENATE("R5C",'Mapa final'!$S$17),"")</f>
        <v/>
      </c>
      <c r="AB20" s="49" t="e">
        <f>IF(AND('Mapa final'!#REF!="Alta",'Mapa final'!#REF!="Mayor"),CONCATENATE("R5C",'Mapa final'!#REF!),"")</f>
        <v>#REF!</v>
      </c>
      <c r="AC20" s="50" t="e">
        <f>IF(AND('Mapa final'!#REF!="Alta",'Mapa final'!#REF!="Mayor"),CONCATENATE("R5C",'Mapa final'!#REF!),"")</f>
        <v>#REF!</v>
      </c>
      <c r="AD20" s="50" t="e">
        <f>IF(AND('Mapa final'!#REF!="Alta",'Mapa final'!#REF!="Mayor"),CONCATENATE("R5C",'Mapa final'!#REF!),"")</f>
        <v>#REF!</v>
      </c>
      <c r="AE20" s="50" t="e">
        <f>IF(AND('Mapa final'!#REF!="Alta",'Mapa final'!#REF!="Mayor"),CONCATENATE("R5C",'Mapa final'!#REF!),"")</f>
        <v>#REF!</v>
      </c>
      <c r="AF20" s="50" t="e">
        <f>IF(AND('Mapa final'!#REF!="Alta",'Mapa final'!#REF!="Mayor"),CONCATENATE("R5C",'Mapa final'!#REF!),"")</f>
        <v>#REF!</v>
      </c>
      <c r="AG20" s="51" t="str">
        <f>IF(AND('Mapa final'!$AC$17="Alta",'Mapa final'!$AE$17="Mayor"),CONCATENATE("R5C",'Mapa final'!$S$17),"")</f>
        <v/>
      </c>
      <c r="AH20" s="52" t="e">
        <f>IF(AND('Mapa final'!#REF!="Alta",'Mapa final'!#REF!="Catastrófico"),CONCATENATE("R5C",'Mapa final'!#REF!),"")</f>
        <v>#REF!</v>
      </c>
      <c r="AI20" s="53" t="e">
        <f>IF(AND('Mapa final'!#REF!="Alta",'Mapa final'!#REF!="Catastrófico"),CONCATENATE("R5C",'Mapa final'!#REF!),"")</f>
        <v>#REF!</v>
      </c>
      <c r="AJ20" s="53" t="e">
        <f>IF(AND('Mapa final'!#REF!="Alta",'Mapa final'!#REF!="Catastrófico"),CONCATENATE("R5C",'Mapa final'!#REF!),"")</f>
        <v>#REF!</v>
      </c>
      <c r="AK20" s="53" t="e">
        <f>IF(AND('Mapa final'!#REF!="Alta",'Mapa final'!#REF!="Catastrófico"),CONCATENATE("R5C",'Mapa final'!#REF!),"")</f>
        <v>#REF!</v>
      </c>
      <c r="AL20" s="53" t="e">
        <f>IF(AND('Mapa final'!#REF!="Alta",'Mapa final'!#REF!="Catastrófico"),CONCATENATE("R5C",'Mapa final'!#REF!),"")</f>
        <v>#REF!</v>
      </c>
      <c r="AM20" s="54" t="str">
        <f>IF(AND('Mapa final'!$AC$17="Alta",'Mapa final'!$AE$17="Catastrófico"),CONCATENATE("R5C",'Mapa final'!$S$17),"")</f>
        <v/>
      </c>
      <c r="AN20" s="80"/>
      <c r="AO20" s="437"/>
      <c r="AP20" s="438"/>
      <c r="AQ20" s="438"/>
      <c r="AR20" s="438"/>
      <c r="AS20" s="438"/>
      <c r="AT20" s="439"/>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48"/>
      <c r="C21" s="348"/>
      <c r="D21" s="349"/>
      <c r="E21" s="447"/>
      <c r="F21" s="446"/>
      <c r="G21" s="446"/>
      <c r="H21" s="446"/>
      <c r="I21" s="446"/>
      <c r="J21" s="64" t="str">
        <f>IF(AND('Mapa final'!$AC$18="Alta",'Mapa final'!$AE$18="Leve"),CONCATENATE("R6C",'Mapa final'!$S$18),"")</f>
        <v/>
      </c>
      <c r="K21" s="65" t="str">
        <f>IF(AND('Mapa final'!$AC$19="Alta",'Mapa final'!$AE$19="Leve"),CONCATENATE("R6C",'Mapa final'!$S$19),"")</f>
        <v/>
      </c>
      <c r="L21" s="65" t="str">
        <f>IF(AND('Mapa final'!$AC$20="Alta",'Mapa final'!$AE$20="Leve"),CONCATENATE("R6C",'Mapa final'!$S$20),"")</f>
        <v/>
      </c>
      <c r="M21" s="65" t="str">
        <f>IF(AND('Mapa final'!$AC$21="Alta",'Mapa final'!$AE$21="Leve"),CONCATENATE("R6C",'Mapa final'!$S$21),"")</f>
        <v/>
      </c>
      <c r="N21" s="65" t="str">
        <f>IF(AND('Mapa final'!$AC$22="Alta",'Mapa final'!$AE$22="Leve"),CONCATENATE("R6C",'Mapa final'!$S$22),"")</f>
        <v/>
      </c>
      <c r="O21" s="66" t="str">
        <f>IF(AND('Mapa final'!$AC$23="Alta",'Mapa final'!$AE$23="Leve"),CONCATENATE("R6C",'Mapa final'!$S$23),"")</f>
        <v/>
      </c>
      <c r="P21" s="64" t="str">
        <f>IF(AND('Mapa final'!$AC$18="Alta",'Mapa final'!$AE$18="Menor"),CONCATENATE("R6C",'Mapa final'!$S$18),"")</f>
        <v/>
      </c>
      <c r="Q21" s="65" t="str">
        <f>IF(AND('Mapa final'!$AC$19="Alta",'Mapa final'!$AE$19="Menor"),CONCATENATE("R6C",'Mapa final'!$S$19),"")</f>
        <v/>
      </c>
      <c r="R21" s="65" t="str">
        <f>IF(AND('Mapa final'!$AC$20="Alta",'Mapa final'!$AE$20="Menor"),CONCATENATE("R6C",'Mapa final'!$S$20),"")</f>
        <v/>
      </c>
      <c r="S21" s="65" t="str">
        <f>IF(AND('Mapa final'!$AC$21="Alta",'Mapa final'!$AE$21="Menor"),CONCATENATE("R6C",'Mapa final'!$S$21),"")</f>
        <v/>
      </c>
      <c r="T21" s="65" t="str">
        <f>IF(AND('Mapa final'!$AC$22="Alta",'Mapa final'!$AE$22="Menor"),CONCATENATE("R6C",'Mapa final'!$S$22),"")</f>
        <v/>
      </c>
      <c r="U21" s="66" t="str">
        <f>IF(AND('Mapa final'!$AC$23="Alta",'Mapa final'!$AE$23="Menor"),CONCATENATE("R6C",'Mapa final'!$S$23),"")</f>
        <v/>
      </c>
      <c r="V21" s="49" t="str">
        <f>IF(AND('Mapa final'!$AC$18="Alta",'Mapa final'!$AE$18="Moderado"),CONCATENATE("R6C",'Mapa final'!$S$18),"")</f>
        <v/>
      </c>
      <c r="W21" s="50" t="str">
        <f>IF(AND('Mapa final'!$AC$19="Alta",'Mapa final'!$AE$19="Moderado"),CONCATENATE("R6C",'Mapa final'!$S$19),"")</f>
        <v/>
      </c>
      <c r="X21" s="50" t="str">
        <f>IF(AND('Mapa final'!$AC$20="Alta",'Mapa final'!$AE$20="Moderado"),CONCATENATE("R6C",'Mapa final'!$S$20),"")</f>
        <v/>
      </c>
      <c r="Y21" s="50" t="str">
        <f>IF(AND('Mapa final'!$AC$21="Alta",'Mapa final'!$AE$21="Moderado"),CONCATENATE("R6C",'Mapa final'!$S$21),"")</f>
        <v/>
      </c>
      <c r="Z21" s="50" t="str">
        <f>IF(AND('Mapa final'!$AC$22="Alta",'Mapa final'!$AE$22="Moderado"),CONCATENATE("R6C",'Mapa final'!$S$22),"")</f>
        <v/>
      </c>
      <c r="AA21" s="51" t="str">
        <f>IF(AND('Mapa final'!$AC$23="Alta",'Mapa final'!$AE$23="Moderado"),CONCATENATE("R6C",'Mapa final'!$S$23),"")</f>
        <v/>
      </c>
      <c r="AB21" s="49" t="str">
        <f>IF(AND('Mapa final'!$AC$18="Alta",'Mapa final'!$AE$18="Mayor"),CONCATENATE("R6C",'Mapa final'!$S$18),"")</f>
        <v/>
      </c>
      <c r="AC21" s="50" t="str">
        <f>IF(AND('Mapa final'!$AC$19="Alta",'Mapa final'!$AE$19="Mayor"),CONCATENATE("R6C",'Mapa final'!$S$19),"")</f>
        <v/>
      </c>
      <c r="AD21" s="50" t="str">
        <f>IF(AND('Mapa final'!$AC$20="Alta",'Mapa final'!$AE$20="Mayor"),CONCATENATE("R6C",'Mapa final'!$S$20),"")</f>
        <v/>
      </c>
      <c r="AE21" s="50" t="str">
        <f>IF(AND('Mapa final'!$AC$21="Alta",'Mapa final'!$AE$21="Mayor"),CONCATENATE("R6C",'Mapa final'!$S$21),"")</f>
        <v/>
      </c>
      <c r="AF21" s="50" t="str">
        <f>IF(AND('Mapa final'!$AC$22="Alta",'Mapa final'!$AE$22="Mayor"),CONCATENATE("R6C",'Mapa final'!$S$22),"")</f>
        <v/>
      </c>
      <c r="AG21" s="51" t="str">
        <f>IF(AND('Mapa final'!$AC$23="Alta",'Mapa final'!$AE$23="Mayor"),CONCATENATE("R6C",'Mapa final'!$S$23),"")</f>
        <v/>
      </c>
      <c r="AH21" s="52" t="str">
        <f>IF(AND('Mapa final'!$AC$18="Alta",'Mapa final'!$AE$18="Catastrófico"),CONCATENATE("R6C",'Mapa final'!$S$18),"")</f>
        <v/>
      </c>
      <c r="AI21" s="53" t="str">
        <f>IF(AND('Mapa final'!$AC$19="Alta",'Mapa final'!$AE$19="Catastrófico"),CONCATENATE("R6C",'Mapa final'!$S$19),"")</f>
        <v/>
      </c>
      <c r="AJ21" s="53" t="str">
        <f>IF(AND('Mapa final'!$AC$20="Alta",'Mapa final'!$AE$20="Catastrófico"),CONCATENATE("R6C",'Mapa final'!$S$20),"")</f>
        <v/>
      </c>
      <c r="AK21" s="53" t="str">
        <f>IF(AND('Mapa final'!$AC$21="Alta",'Mapa final'!$AE$21="Catastrófico"),CONCATENATE("R6C",'Mapa final'!$S$21),"")</f>
        <v/>
      </c>
      <c r="AL21" s="53" t="str">
        <f>IF(AND('Mapa final'!$AC$22="Alta",'Mapa final'!$AE$22="Catastrófico"),CONCATENATE("R6C",'Mapa final'!$S$22),"")</f>
        <v/>
      </c>
      <c r="AM21" s="54" t="str">
        <f>IF(AND('Mapa final'!$AC$23="Alta",'Mapa final'!$AE$23="Catastrófico"),CONCATENATE("R6C",'Mapa final'!$S$23),"")</f>
        <v/>
      </c>
      <c r="AN21" s="80"/>
      <c r="AO21" s="437"/>
      <c r="AP21" s="438"/>
      <c r="AQ21" s="438"/>
      <c r="AR21" s="438"/>
      <c r="AS21" s="438"/>
      <c r="AT21" s="439"/>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48"/>
      <c r="C22" s="348"/>
      <c r="D22" s="349"/>
      <c r="E22" s="447"/>
      <c r="F22" s="446"/>
      <c r="G22" s="446"/>
      <c r="H22" s="446"/>
      <c r="I22" s="446"/>
      <c r="J22" s="64" t="str">
        <f>IF(AND('Mapa final'!$AC$24="Alta",'Mapa final'!$AE$24="Leve"),CONCATENATE("R7C",'Mapa final'!$S$24),"")</f>
        <v/>
      </c>
      <c r="K22" s="65" t="str">
        <f>IF(AND('Mapa final'!$AC$25="Alta",'Mapa final'!$AE$25="Leve"),CONCATENATE("R7C",'Mapa final'!$S$25),"")</f>
        <v/>
      </c>
      <c r="L22" s="65" t="str">
        <f>IF(AND('Mapa final'!$AC$26="Alta",'Mapa final'!$AE$26="Leve"),CONCATENATE("R7C",'Mapa final'!$S$26),"")</f>
        <v/>
      </c>
      <c r="M22" s="65" t="str">
        <f>IF(AND('Mapa final'!$AC$27="Alta",'Mapa final'!$AE$27="Leve"),CONCATENATE("R7C",'Mapa final'!$S$27),"")</f>
        <v/>
      </c>
      <c r="N22" s="65" t="str">
        <f>IF(AND('Mapa final'!$AC$28="Alta",'Mapa final'!$AE$28="Leve"),CONCATENATE("R7C",'Mapa final'!$S$28),"")</f>
        <v/>
      </c>
      <c r="O22" s="66" t="str">
        <f>IF(AND('Mapa final'!$AC$29="Alta",'Mapa final'!$AE$29="Leve"),CONCATENATE("R7C",'Mapa final'!$S$29),"")</f>
        <v/>
      </c>
      <c r="P22" s="64" t="str">
        <f>IF(AND('Mapa final'!$AC$24="Alta",'Mapa final'!$AE$24="Menor"),CONCATENATE("R7C",'Mapa final'!$S$24),"")</f>
        <v/>
      </c>
      <c r="Q22" s="65" t="str">
        <f>IF(AND('Mapa final'!$AC$25="Alta",'Mapa final'!$AE$25="Menor"),CONCATENATE("R7C",'Mapa final'!$S$25),"")</f>
        <v/>
      </c>
      <c r="R22" s="65" t="str">
        <f>IF(AND('Mapa final'!$AC$26="Alta",'Mapa final'!$AE$26="Menor"),CONCATENATE("R7C",'Mapa final'!$S$26),"")</f>
        <v/>
      </c>
      <c r="S22" s="65" t="str">
        <f>IF(AND('Mapa final'!$AC$27="Alta",'Mapa final'!$AE$27="Menor"),CONCATENATE("R7C",'Mapa final'!$S$27),"")</f>
        <v/>
      </c>
      <c r="T22" s="65" t="str">
        <f>IF(AND('Mapa final'!$AC$28="Alta",'Mapa final'!$AE$28="Menor"),CONCATENATE("R7C",'Mapa final'!$S$28),"")</f>
        <v/>
      </c>
      <c r="U22" s="66" t="str">
        <f>IF(AND('Mapa final'!$AC$29="Alta",'Mapa final'!$AE$29="Menor"),CONCATENATE("R7C",'Mapa final'!$S$29),"")</f>
        <v/>
      </c>
      <c r="V22" s="49" t="str">
        <f>IF(AND('Mapa final'!$AC$24="Alta",'Mapa final'!$AE$24="Moderado"),CONCATENATE("R7C",'Mapa final'!$S$24),"")</f>
        <v/>
      </c>
      <c r="W22" s="50" t="str">
        <f>IF(AND('Mapa final'!$AC$25="Alta",'Mapa final'!$AE$25="Moderado"),CONCATENATE("R7C",'Mapa final'!$S$25),"")</f>
        <v/>
      </c>
      <c r="X22" s="50" t="str">
        <f>IF(AND('Mapa final'!$AC$26="Alta",'Mapa final'!$AE$26="Moderado"),CONCATENATE("R7C",'Mapa final'!$S$26),"")</f>
        <v/>
      </c>
      <c r="Y22" s="50" t="str">
        <f>IF(AND('Mapa final'!$AC$27="Alta",'Mapa final'!$AE$27="Moderado"),CONCATENATE("R7C",'Mapa final'!$S$27),"")</f>
        <v/>
      </c>
      <c r="Z22" s="50" t="str">
        <f>IF(AND('Mapa final'!$AC$28="Alta",'Mapa final'!$AE$28="Moderado"),CONCATENATE("R7C",'Mapa final'!$S$28),"")</f>
        <v/>
      </c>
      <c r="AA22" s="51" t="str">
        <f>IF(AND('Mapa final'!$AC$29="Alta",'Mapa final'!$AE$29="Moderado"),CONCATENATE("R7C",'Mapa final'!$S$29),"")</f>
        <v/>
      </c>
      <c r="AB22" s="49" t="str">
        <f>IF(AND('Mapa final'!$AC$24="Alta",'Mapa final'!$AE$24="Mayor"),CONCATENATE("R7C",'Mapa final'!$S$24),"")</f>
        <v/>
      </c>
      <c r="AC22" s="50" t="str">
        <f>IF(AND('Mapa final'!$AC$25="Alta",'Mapa final'!$AE$25="Mayor"),CONCATENATE("R7C",'Mapa final'!$S$25),"")</f>
        <v/>
      </c>
      <c r="AD22" s="50" t="str">
        <f>IF(AND('Mapa final'!$AC$26="Alta",'Mapa final'!$AE$26="Mayor"),CONCATENATE("R7C",'Mapa final'!$S$26),"")</f>
        <v/>
      </c>
      <c r="AE22" s="50" t="str">
        <f>IF(AND('Mapa final'!$AC$27="Alta",'Mapa final'!$AE$27="Mayor"),CONCATENATE("R7C",'Mapa final'!$S$27),"")</f>
        <v/>
      </c>
      <c r="AF22" s="50" t="str">
        <f>IF(AND('Mapa final'!$AC$28="Alta",'Mapa final'!$AE$28="Mayor"),CONCATENATE("R7C",'Mapa final'!$S$28),"")</f>
        <v/>
      </c>
      <c r="AG22" s="51" t="str">
        <f>IF(AND('Mapa final'!$AC$29="Alta",'Mapa final'!$AE$29="Mayor"),CONCATENATE("R7C",'Mapa final'!$S$29),"")</f>
        <v/>
      </c>
      <c r="AH22" s="52" t="str">
        <f>IF(AND('Mapa final'!$AC$24="Alta",'Mapa final'!$AE$24="Catastrófico"),CONCATENATE("R7C",'Mapa final'!$S$24),"")</f>
        <v/>
      </c>
      <c r="AI22" s="53" t="str">
        <f>IF(AND('Mapa final'!$AC$25="Alta",'Mapa final'!$AE$25="Catastrófico"),CONCATENATE("R7C",'Mapa final'!$S$25),"")</f>
        <v/>
      </c>
      <c r="AJ22" s="53" t="str">
        <f>IF(AND('Mapa final'!$AC$26="Alta",'Mapa final'!$AE$26="Catastrófico"),CONCATENATE("R7C",'Mapa final'!$S$26),"")</f>
        <v/>
      </c>
      <c r="AK22" s="53" t="str">
        <f>IF(AND('Mapa final'!$AC$27="Alta",'Mapa final'!$AE$27="Catastrófico"),CONCATENATE("R7C",'Mapa final'!$S$27),"")</f>
        <v/>
      </c>
      <c r="AL22" s="53" t="str">
        <f>IF(AND('Mapa final'!$AC$28="Alta",'Mapa final'!$AE$28="Catastrófico"),CONCATENATE("R7C",'Mapa final'!$S$28),"")</f>
        <v/>
      </c>
      <c r="AM22" s="54" t="str">
        <f>IF(AND('Mapa final'!$AC$29="Alta",'Mapa final'!$AE$29="Catastrófico"),CONCATENATE("R7C",'Mapa final'!$S$29),"")</f>
        <v/>
      </c>
      <c r="AN22" s="80"/>
      <c r="AO22" s="437"/>
      <c r="AP22" s="438"/>
      <c r="AQ22" s="438"/>
      <c r="AR22" s="438"/>
      <c r="AS22" s="438"/>
      <c r="AT22" s="439"/>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48"/>
      <c r="C23" s="348"/>
      <c r="D23" s="349"/>
      <c r="E23" s="447"/>
      <c r="F23" s="446"/>
      <c r="G23" s="446"/>
      <c r="H23" s="446"/>
      <c r="I23" s="446"/>
      <c r="J23" s="64" t="str">
        <f>IF(AND('Mapa final'!$AC$30="Alta",'Mapa final'!$AE$30="Leve"),CONCATENATE("R8C",'Mapa final'!$S$30),"")</f>
        <v/>
      </c>
      <c r="K23" s="65" t="str">
        <f>IF(AND('Mapa final'!$AC$31="Alta",'Mapa final'!$AE$31="Leve"),CONCATENATE("R8C",'Mapa final'!$S$31),"")</f>
        <v/>
      </c>
      <c r="L23" s="65" t="str">
        <f>IF(AND('Mapa final'!$AC$32="Alta",'Mapa final'!$AE$32="Leve"),CONCATENATE("R8C",'Mapa final'!$S$32),"")</f>
        <v/>
      </c>
      <c r="M23" s="65" t="str">
        <f>IF(AND('Mapa final'!$AC$33="Alta",'Mapa final'!$AE$33="Leve"),CONCATENATE("R8C",'Mapa final'!$S$33),"")</f>
        <v/>
      </c>
      <c r="N23" s="65" t="str">
        <f>IF(AND('Mapa final'!$AC$34="Alta",'Mapa final'!$AE$34="Leve"),CONCATENATE("R8C",'Mapa final'!$S$34),"")</f>
        <v/>
      </c>
      <c r="O23" s="66" t="str">
        <f>IF(AND('Mapa final'!$AC$35="Alta",'Mapa final'!$AE$35="Leve"),CONCATENATE("R8C",'Mapa final'!$S$35),"")</f>
        <v/>
      </c>
      <c r="P23" s="64" t="str">
        <f>IF(AND('Mapa final'!$AC$30="Alta",'Mapa final'!$AE$30="Menor"),CONCATENATE("R8C",'Mapa final'!$S$30),"")</f>
        <v/>
      </c>
      <c r="Q23" s="65" t="str">
        <f>IF(AND('Mapa final'!$AC$31="Alta",'Mapa final'!$AE$31="Menor"),CONCATENATE("R8C",'Mapa final'!$S$31),"")</f>
        <v/>
      </c>
      <c r="R23" s="65" t="str">
        <f>IF(AND('Mapa final'!$AC$32="Alta",'Mapa final'!$AE$32="Menor"),CONCATENATE("R8C",'Mapa final'!$S$32),"")</f>
        <v/>
      </c>
      <c r="S23" s="65" t="str">
        <f>IF(AND('Mapa final'!$AC$33="Alta",'Mapa final'!$AE$33="Menor"),CONCATENATE("R8C",'Mapa final'!$S$33),"")</f>
        <v/>
      </c>
      <c r="T23" s="65" t="str">
        <f>IF(AND('Mapa final'!$AC$34="Alta",'Mapa final'!$AE$34="Menor"),CONCATENATE("R8C",'Mapa final'!$S$34),"")</f>
        <v/>
      </c>
      <c r="U23" s="66" t="str">
        <f>IF(AND('Mapa final'!$AC$35="Alta",'Mapa final'!$AE$35="Menor"),CONCATENATE("R8C",'Mapa final'!$S$35),"")</f>
        <v/>
      </c>
      <c r="V23" s="49" t="str">
        <f>IF(AND('Mapa final'!$AC$30="Alta",'Mapa final'!$AE$30="Moderado"),CONCATENATE("R8C",'Mapa final'!$S$30),"")</f>
        <v/>
      </c>
      <c r="W23" s="50" t="str">
        <f>IF(AND('Mapa final'!$AC$31="Alta",'Mapa final'!$AE$31="Moderado"),CONCATENATE("R8C",'Mapa final'!$S$31),"")</f>
        <v/>
      </c>
      <c r="X23" s="50" t="str">
        <f>IF(AND('Mapa final'!$AC$32="Alta",'Mapa final'!$AE$32="Moderado"),CONCATENATE("R8C",'Mapa final'!$S$32),"")</f>
        <v/>
      </c>
      <c r="Y23" s="50" t="str">
        <f>IF(AND('Mapa final'!$AC$33="Alta",'Mapa final'!$AE$33="Moderado"),CONCATENATE("R8C",'Mapa final'!$S$33),"")</f>
        <v/>
      </c>
      <c r="Z23" s="50" t="str">
        <f>IF(AND('Mapa final'!$AC$34="Alta",'Mapa final'!$AE$34="Moderado"),CONCATENATE("R8C",'Mapa final'!$S$34),"")</f>
        <v/>
      </c>
      <c r="AA23" s="51" t="str">
        <f>IF(AND('Mapa final'!$AC$35="Alta",'Mapa final'!$AE$35="Moderado"),CONCATENATE("R8C",'Mapa final'!$S$35),"")</f>
        <v/>
      </c>
      <c r="AB23" s="49" t="str">
        <f>IF(AND('Mapa final'!$AC$30="Alta",'Mapa final'!$AE$30="Mayor"),CONCATENATE("R8C",'Mapa final'!$S$30),"")</f>
        <v/>
      </c>
      <c r="AC23" s="50" t="str">
        <f>IF(AND('Mapa final'!$AC$31="Alta",'Mapa final'!$AE$31="Mayor"),CONCATENATE("R8C",'Mapa final'!$S$31),"")</f>
        <v/>
      </c>
      <c r="AD23" s="50" t="str">
        <f>IF(AND('Mapa final'!$AC$32="Alta",'Mapa final'!$AE$32="Mayor"),CONCATENATE("R8C",'Mapa final'!$S$32),"")</f>
        <v/>
      </c>
      <c r="AE23" s="50" t="str">
        <f>IF(AND('Mapa final'!$AC$33="Alta",'Mapa final'!$AE$33="Mayor"),CONCATENATE("R8C",'Mapa final'!$S$33),"")</f>
        <v/>
      </c>
      <c r="AF23" s="50" t="str">
        <f>IF(AND('Mapa final'!$AC$34="Alta",'Mapa final'!$AE$34="Mayor"),CONCATENATE("R8C",'Mapa final'!$S$34),"")</f>
        <v/>
      </c>
      <c r="AG23" s="51" t="str">
        <f>IF(AND('Mapa final'!$AC$35="Alta",'Mapa final'!$AE$35="Mayor"),CONCATENATE("R8C",'Mapa final'!$S$35),"")</f>
        <v/>
      </c>
      <c r="AH23" s="52" t="str">
        <f>IF(AND('Mapa final'!$AC$30="Alta",'Mapa final'!$AE$30="Catastrófico"),CONCATENATE("R8C",'Mapa final'!$S$30),"")</f>
        <v/>
      </c>
      <c r="AI23" s="53" t="str">
        <f>IF(AND('Mapa final'!$AC$31="Alta",'Mapa final'!$AE$31="Catastrófico"),CONCATENATE("R8C",'Mapa final'!$S$31),"")</f>
        <v/>
      </c>
      <c r="AJ23" s="53" t="str">
        <f>IF(AND('Mapa final'!$AC$32="Alta",'Mapa final'!$AE$32="Catastrófico"),CONCATENATE("R8C",'Mapa final'!$S$32),"")</f>
        <v/>
      </c>
      <c r="AK23" s="53" t="str">
        <f>IF(AND('Mapa final'!$AC$33="Alta",'Mapa final'!$AE$33="Catastrófico"),CONCATENATE("R8C",'Mapa final'!$S$33),"")</f>
        <v/>
      </c>
      <c r="AL23" s="53" t="str">
        <f>IF(AND('Mapa final'!$AC$34="Alta",'Mapa final'!$AE$34="Catastrófico"),CONCATENATE("R8C",'Mapa final'!$S$34),"")</f>
        <v/>
      </c>
      <c r="AM23" s="54" t="str">
        <f>IF(AND('Mapa final'!$AC$35="Alta",'Mapa final'!$AE$35="Catastrófico"),CONCATENATE("R8C",'Mapa final'!$S$35),"")</f>
        <v/>
      </c>
      <c r="AN23" s="80"/>
      <c r="AO23" s="437"/>
      <c r="AP23" s="438"/>
      <c r="AQ23" s="438"/>
      <c r="AR23" s="438"/>
      <c r="AS23" s="438"/>
      <c r="AT23" s="439"/>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48"/>
      <c r="C24" s="348"/>
      <c r="D24" s="349"/>
      <c r="E24" s="447"/>
      <c r="F24" s="446"/>
      <c r="G24" s="446"/>
      <c r="H24" s="446"/>
      <c r="I24" s="446"/>
      <c r="J24" s="64" t="str">
        <f>IF(AND('Mapa final'!$AC$36="Alta",'Mapa final'!$AE$36="Leve"),CONCATENATE("R9C",'Mapa final'!$S$36),"")</f>
        <v/>
      </c>
      <c r="K24" s="65" t="str">
        <f>IF(AND('Mapa final'!$AC$37="Alta",'Mapa final'!$AE$37="Leve"),CONCATENATE("R9C",'Mapa final'!$S$37),"")</f>
        <v/>
      </c>
      <c r="L24" s="65" t="str">
        <f>IF(AND('Mapa final'!$AC$38="Alta",'Mapa final'!$AE$38="Leve"),CONCATENATE("R9C",'Mapa final'!$S$38),"")</f>
        <v/>
      </c>
      <c r="M24" s="65" t="str">
        <f>IF(AND('Mapa final'!$AC$39="Alta",'Mapa final'!$AE$39="Leve"),CONCATENATE("R9C",'Mapa final'!$S$39),"")</f>
        <v/>
      </c>
      <c r="N24" s="65" t="str">
        <f>IF(AND('Mapa final'!$AC$40="Alta",'Mapa final'!$AE$40="Leve"),CONCATENATE("R9C",'Mapa final'!$S$40),"")</f>
        <v/>
      </c>
      <c r="O24" s="66" t="str">
        <f>IF(AND('Mapa final'!$AC$41="Alta",'Mapa final'!$AE$41="Leve"),CONCATENATE("R9C",'Mapa final'!$S$41),"")</f>
        <v/>
      </c>
      <c r="P24" s="64" t="str">
        <f>IF(AND('Mapa final'!$AC$36="Alta",'Mapa final'!$AE$36="Menor"),CONCATENATE("R9C",'Mapa final'!$S$36),"")</f>
        <v/>
      </c>
      <c r="Q24" s="65" t="str">
        <f>IF(AND('Mapa final'!$AC$37="Alta",'Mapa final'!$AE$37="Menor"),CONCATENATE("R9C",'Mapa final'!$S$37),"")</f>
        <v/>
      </c>
      <c r="R24" s="65" t="str">
        <f>IF(AND('Mapa final'!$AC$38="Alta",'Mapa final'!$AE$38="Menor"),CONCATENATE("R9C",'Mapa final'!$S$38),"")</f>
        <v/>
      </c>
      <c r="S24" s="65" t="str">
        <f>IF(AND('Mapa final'!$AC$39="Alta",'Mapa final'!$AE$39="Menor"),CONCATENATE("R9C",'Mapa final'!$S$39),"")</f>
        <v/>
      </c>
      <c r="T24" s="65" t="str">
        <f>IF(AND('Mapa final'!$AC$40="Alta",'Mapa final'!$AE$40="Menor"),CONCATENATE("R9C",'Mapa final'!$S$40),"")</f>
        <v/>
      </c>
      <c r="U24" s="66" t="str">
        <f>IF(AND('Mapa final'!$AC$41="Alta",'Mapa final'!$AE$41="Menor"),CONCATENATE("R9C",'Mapa final'!$S$41),"")</f>
        <v/>
      </c>
      <c r="V24" s="49" t="str">
        <f>IF(AND('Mapa final'!$AC$36="Alta",'Mapa final'!$AE$36="Moderado"),CONCATENATE("R9C",'Mapa final'!$S$36),"")</f>
        <v/>
      </c>
      <c r="W24" s="50" t="str">
        <f>IF(AND('Mapa final'!$AC$37="Alta",'Mapa final'!$AE$37="Moderado"),CONCATENATE("R9C",'Mapa final'!$S$37),"")</f>
        <v/>
      </c>
      <c r="X24" s="50" t="str">
        <f>IF(AND('Mapa final'!$AC$38="Alta",'Mapa final'!$AE$38="Moderado"),CONCATENATE("R9C",'Mapa final'!$S$38),"")</f>
        <v/>
      </c>
      <c r="Y24" s="50" t="str">
        <f>IF(AND('Mapa final'!$AC$39="Alta",'Mapa final'!$AE$39="Moderado"),CONCATENATE("R9C",'Mapa final'!$S$39),"")</f>
        <v/>
      </c>
      <c r="Z24" s="50" t="str">
        <f>IF(AND('Mapa final'!$AC$40="Alta",'Mapa final'!$AE$40="Moderado"),CONCATENATE("R9C",'Mapa final'!$S$40),"")</f>
        <v/>
      </c>
      <c r="AA24" s="51" t="str">
        <f>IF(AND('Mapa final'!$AC$41="Alta",'Mapa final'!$AE$41="Moderado"),CONCATENATE("R9C",'Mapa final'!$S$41),"")</f>
        <v/>
      </c>
      <c r="AB24" s="49" t="str">
        <f>IF(AND('Mapa final'!$AC$36="Alta",'Mapa final'!$AE$36="Mayor"),CONCATENATE("R9C",'Mapa final'!$S$36),"")</f>
        <v/>
      </c>
      <c r="AC24" s="50" t="str">
        <f>IF(AND('Mapa final'!$AC$37="Alta",'Mapa final'!$AE$37="Mayor"),CONCATENATE("R9C",'Mapa final'!$S$37),"")</f>
        <v/>
      </c>
      <c r="AD24" s="50" t="str">
        <f>IF(AND('Mapa final'!$AC$38="Alta",'Mapa final'!$AE$38="Mayor"),CONCATENATE("R9C",'Mapa final'!$S$38),"")</f>
        <v/>
      </c>
      <c r="AE24" s="50" t="str">
        <f>IF(AND('Mapa final'!$AC$39="Alta",'Mapa final'!$AE$39="Mayor"),CONCATENATE("R9C",'Mapa final'!$S$39),"")</f>
        <v/>
      </c>
      <c r="AF24" s="50" t="str">
        <f>IF(AND('Mapa final'!$AC$40="Alta",'Mapa final'!$AE$40="Mayor"),CONCATENATE("R9C",'Mapa final'!$S$40),"")</f>
        <v/>
      </c>
      <c r="AG24" s="51" t="str">
        <f>IF(AND('Mapa final'!$AC$41="Alta",'Mapa final'!$AE$41="Mayor"),CONCATENATE("R9C",'Mapa final'!$S$41),"")</f>
        <v/>
      </c>
      <c r="AH24" s="52" t="str">
        <f>IF(AND('Mapa final'!$AC$36="Alta",'Mapa final'!$AE$36="Catastrófico"),CONCATENATE("R9C",'Mapa final'!$S$36),"")</f>
        <v/>
      </c>
      <c r="AI24" s="53" t="str">
        <f>IF(AND('Mapa final'!$AC$37="Alta",'Mapa final'!$AE$37="Catastrófico"),CONCATENATE("R9C",'Mapa final'!$S$37),"")</f>
        <v/>
      </c>
      <c r="AJ24" s="53" t="str">
        <f>IF(AND('Mapa final'!$AC$38="Alta",'Mapa final'!$AE$38="Catastrófico"),CONCATENATE("R9C",'Mapa final'!$S$38),"")</f>
        <v/>
      </c>
      <c r="AK24" s="53" t="str">
        <f>IF(AND('Mapa final'!$AC$39="Alta",'Mapa final'!$AE$39="Catastrófico"),CONCATENATE("R9C",'Mapa final'!$S$39),"")</f>
        <v/>
      </c>
      <c r="AL24" s="53" t="str">
        <f>IF(AND('Mapa final'!$AC$40="Alta",'Mapa final'!$AE$40="Catastrófico"),CONCATENATE("R9C",'Mapa final'!$S$40),"")</f>
        <v/>
      </c>
      <c r="AM24" s="54" t="str">
        <f>IF(AND('Mapa final'!$AC$41="Alta",'Mapa final'!$AE$41="Catastrófico"),CONCATENATE("R9C",'Mapa final'!$S$41),"")</f>
        <v/>
      </c>
      <c r="AN24" s="80"/>
      <c r="AO24" s="437"/>
      <c r="AP24" s="438"/>
      <c r="AQ24" s="438"/>
      <c r="AR24" s="438"/>
      <c r="AS24" s="438"/>
      <c r="AT24" s="439"/>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48"/>
      <c r="C25" s="348"/>
      <c r="D25" s="349"/>
      <c r="E25" s="448"/>
      <c r="F25" s="449"/>
      <c r="G25" s="449"/>
      <c r="H25" s="449"/>
      <c r="I25" s="449"/>
      <c r="J25" s="67" t="str">
        <f>IF(AND('Mapa final'!$AC$42="Alta",'Mapa final'!$AE$42="Leve"),CONCATENATE("R10C",'Mapa final'!$S$42),"")</f>
        <v/>
      </c>
      <c r="K25" s="68" t="str">
        <f>IF(AND('Mapa final'!$AC$43="Alta",'Mapa final'!$AE$43="Leve"),CONCATENATE("R10C",'Mapa final'!$S$43),"")</f>
        <v/>
      </c>
      <c r="L25" s="68" t="str">
        <f>IF(AND('Mapa final'!$AC$44="Alta",'Mapa final'!$AE$44="Leve"),CONCATENATE("R10C",'Mapa final'!$S$44),"")</f>
        <v/>
      </c>
      <c r="M25" s="68" t="str">
        <f>IF(AND('Mapa final'!$AC$45="Alta",'Mapa final'!$AE$45="Leve"),CONCATENATE("R10C",'Mapa final'!$S$45),"")</f>
        <v/>
      </c>
      <c r="N25" s="68" t="str">
        <f>IF(AND('Mapa final'!$AC$46="Alta",'Mapa final'!$AE$46="Leve"),CONCATENATE("R10C",'Mapa final'!$S$46),"")</f>
        <v/>
      </c>
      <c r="O25" s="69" t="str">
        <f>IF(AND('Mapa final'!$AC$47="Alta",'Mapa final'!$AE$47="Leve"),CONCATENATE("R10C",'Mapa final'!$S$47),"")</f>
        <v/>
      </c>
      <c r="P25" s="67" t="str">
        <f>IF(AND('Mapa final'!$AC$42="Alta",'Mapa final'!$AE$42="Menor"),CONCATENATE("R10C",'Mapa final'!$S$42),"")</f>
        <v/>
      </c>
      <c r="Q25" s="68" t="str">
        <f>IF(AND('Mapa final'!$AC$43="Alta",'Mapa final'!$AE$43="Menor"),CONCATENATE("R10C",'Mapa final'!$S$43),"")</f>
        <v/>
      </c>
      <c r="R25" s="68" t="str">
        <f>IF(AND('Mapa final'!$AC$44="Alta",'Mapa final'!$AE$44="Menor"),CONCATENATE("R10C",'Mapa final'!$S$44),"")</f>
        <v/>
      </c>
      <c r="S25" s="68" t="str">
        <f>IF(AND('Mapa final'!$AC$45="Alta",'Mapa final'!$AE$45="Menor"),CONCATENATE("R10C",'Mapa final'!$S$45),"")</f>
        <v/>
      </c>
      <c r="T25" s="68" t="str">
        <f>IF(AND('Mapa final'!$AC$46="Alta",'Mapa final'!$AE$46="Menor"),CONCATENATE("R10C",'Mapa final'!$S$46),"")</f>
        <v/>
      </c>
      <c r="U25" s="69" t="str">
        <f>IF(AND('Mapa final'!$AC$47="Alta",'Mapa final'!$AE$47="Menor"),CONCATENATE("R10C",'Mapa final'!$S$47),"")</f>
        <v/>
      </c>
      <c r="V25" s="55" t="str">
        <f>IF(AND('Mapa final'!$AC$42="Alta",'Mapa final'!$AE$42="Moderado"),CONCATENATE("R10C",'Mapa final'!$S$42),"")</f>
        <v/>
      </c>
      <c r="W25" s="56" t="str">
        <f>IF(AND('Mapa final'!$AC$43="Alta",'Mapa final'!$AE$43="Moderado"),CONCATENATE("R10C",'Mapa final'!$S$43),"")</f>
        <v/>
      </c>
      <c r="X25" s="56" t="str">
        <f>IF(AND('Mapa final'!$AC$44="Alta",'Mapa final'!$AE$44="Moderado"),CONCATENATE("R10C",'Mapa final'!$S$44),"")</f>
        <v/>
      </c>
      <c r="Y25" s="56" t="str">
        <f>IF(AND('Mapa final'!$AC$45="Alta",'Mapa final'!$AE$45="Moderado"),CONCATENATE("R10C",'Mapa final'!$S$45),"")</f>
        <v/>
      </c>
      <c r="Z25" s="56" t="str">
        <f>IF(AND('Mapa final'!$AC$46="Alta",'Mapa final'!$AE$46="Moderado"),CONCATENATE("R10C",'Mapa final'!$S$46),"")</f>
        <v/>
      </c>
      <c r="AA25" s="57" t="str">
        <f>IF(AND('Mapa final'!$AC$47="Alta",'Mapa final'!$AE$47="Moderado"),CONCATENATE("R10C",'Mapa final'!$S$47),"")</f>
        <v/>
      </c>
      <c r="AB25" s="55" t="str">
        <f>IF(AND('Mapa final'!$AC$42="Alta",'Mapa final'!$AE$42="Mayor"),CONCATENATE("R10C",'Mapa final'!$S$42),"")</f>
        <v/>
      </c>
      <c r="AC25" s="56" t="str">
        <f>IF(AND('Mapa final'!$AC$43="Alta",'Mapa final'!$AE$43="Mayor"),CONCATENATE("R10C",'Mapa final'!$S$43),"")</f>
        <v/>
      </c>
      <c r="AD25" s="56" t="str">
        <f>IF(AND('Mapa final'!$AC$44="Alta",'Mapa final'!$AE$44="Mayor"),CONCATENATE("R10C",'Mapa final'!$S$44),"")</f>
        <v/>
      </c>
      <c r="AE25" s="56" t="str">
        <f>IF(AND('Mapa final'!$AC$45="Alta",'Mapa final'!$AE$45="Mayor"),CONCATENATE("R10C",'Mapa final'!$S$45),"")</f>
        <v/>
      </c>
      <c r="AF25" s="56" t="str">
        <f>IF(AND('Mapa final'!$AC$46="Alta",'Mapa final'!$AE$46="Mayor"),CONCATENATE("R10C",'Mapa final'!$S$46),"")</f>
        <v/>
      </c>
      <c r="AG25" s="57" t="str">
        <f>IF(AND('Mapa final'!$AC$47="Alta",'Mapa final'!$AE$47="Mayor"),CONCATENATE("R10C",'Mapa final'!$S$47),"")</f>
        <v/>
      </c>
      <c r="AH25" s="58" t="str">
        <f>IF(AND('Mapa final'!$AC$42="Alta",'Mapa final'!$AE$42="Catastrófico"),CONCATENATE("R10C",'Mapa final'!$S$42),"")</f>
        <v/>
      </c>
      <c r="AI25" s="59" t="str">
        <f>IF(AND('Mapa final'!$AC$43="Alta",'Mapa final'!$AE$43="Catastrófico"),CONCATENATE("R10C",'Mapa final'!$S$43),"")</f>
        <v/>
      </c>
      <c r="AJ25" s="59" t="str">
        <f>IF(AND('Mapa final'!$AC$44="Alta",'Mapa final'!$AE$44="Catastrófico"),CONCATENATE("R10C",'Mapa final'!$S$44),"")</f>
        <v/>
      </c>
      <c r="AK25" s="59" t="str">
        <f>IF(AND('Mapa final'!$AC$45="Alta",'Mapa final'!$AE$45="Catastrófico"),CONCATENATE("R10C",'Mapa final'!$S$45),"")</f>
        <v/>
      </c>
      <c r="AL25" s="59" t="str">
        <f>IF(AND('Mapa final'!$AC$46="Alta",'Mapa final'!$AE$46="Catastrófico"),CONCATENATE("R10C",'Mapa final'!$S$46),"")</f>
        <v/>
      </c>
      <c r="AM25" s="60" t="str">
        <f>IF(AND('Mapa final'!$AC$47="Alta",'Mapa final'!$AE$47="Catastrófico"),CONCATENATE("R10C",'Mapa final'!$S$47),"")</f>
        <v/>
      </c>
      <c r="AN25" s="80"/>
      <c r="AO25" s="440"/>
      <c r="AP25" s="441"/>
      <c r="AQ25" s="441"/>
      <c r="AR25" s="441"/>
      <c r="AS25" s="441"/>
      <c r="AT25" s="442"/>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48"/>
      <c r="C26" s="348"/>
      <c r="D26" s="349"/>
      <c r="E26" s="443" t="s">
        <v>117</v>
      </c>
      <c r="F26" s="444"/>
      <c r="G26" s="444"/>
      <c r="H26" s="444"/>
      <c r="I26" s="461"/>
      <c r="J26" s="61" t="str">
        <f>IF(AND('Mapa final'!$AC$11="Media",'Mapa final'!$AE$11="Leve"),CONCATENATE("R1C",'Mapa final'!$S$11),"")</f>
        <v/>
      </c>
      <c r="K26" s="62" t="str">
        <f>IF(AND('Mapa final'!$AC$12="Media",'Mapa final'!$AE$12="Leve"),CONCATENATE("R1C",'Mapa final'!$S$12),"")</f>
        <v/>
      </c>
      <c r="L26" s="62" t="e">
        <f>IF(AND('Mapa final'!#REF!="Media",'Mapa final'!#REF!="Leve"),CONCATENATE("R1C",'Mapa final'!#REF!),"")</f>
        <v>#REF!</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final'!$AC$11="Media",'Mapa final'!$AE$11="Menor"),CONCATENATE("R1C",'Mapa final'!$S$11),"")</f>
        <v/>
      </c>
      <c r="Q26" s="62" t="str">
        <f>IF(AND('Mapa final'!$AC$12="Media",'Mapa final'!$AE$12="Menor"),CONCATENATE("R1C",'Mapa final'!$S$12),"")</f>
        <v/>
      </c>
      <c r="R26" s="62" t="e">
        <f>IF(AND('Mapa final'!#REF!="Media",'Mapa final'!#REF!="Menor"),CONCATENATE("R1C",'Mapa final'!#REF!),"")</f>
        <v>#REF!</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final'!$AC$11="Media",'Mapa final'!$AE$11="Moderado"),CONCATENATE("R1C",'Mapa final'!$S$11),"")</f>
        <v/>
      </c>
      <c r="W26" s="62" t="str">
        <f>IF(AND('Mapa final'!$AC$12="Media",'Mapa final'!$AE$12="Moderado"),CONCATENATE("R1C",'Mapa final'!$S$12),"")</f>
        <v/>
      </c>
      <c r="X26" s="62" t="e">
        <f>IF(AND('Mapa final'!#REF!="Media",'Mapa final'!#REF!="Moderado"),CONCATENATE("R1C",'Mapa final'!#REF!),"")</f>
        <v>#REF!</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final'!$AC$11="Media",'Mapa final'!$AE$11="Mayor"),CONCATENATE("R1C",'Mapa final'!$S$11),"")</f>
        <v/>
      </c>
      <c r="AC26" s="44" t="str">
        <f>IF(AND('Mapa final'!$AC$12="Media",'Mapa final'!$AE$12="Mayor"),CONCATENATE("R1C",'Mapa final'!$S$12),"")</f>
        <v/>
      </c>
      <c r="AD26" s="44" t="e">
        <f>IF(AND('Mapa final'!#REF!="Media",'Mapa final'!#REF!="Mayor"),CONCATENATE("R1C",'Mapa final'!#REF!),"")</f>
        <v>#REF!</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final'!$AC$11="Media",'Mapa final'!$AE$11="Catastrófico"),CONCATENATE("R1C",'Mapa final'!$S$11),"")</f>
        <v/>
      </c>
      <c r="AI26" s="47" t="str">
        <f>IF(AND('Mapa final'!$AC$12="Media",'Mapa final'!$AE$12="Catastrófico"),CONCATENATE("R1C",'Mapa final'!$S$12),"")</f>
        <v/>
      </c>
      <c r="AJ26" s="47" t="e">
        <f>IF(AND('Mapa final'!#REF!="Media",'Mapa final'!#REF!="Catastrófico"),CONCATENATE("R1C",'Mapa final'!#REF!),"")</f>
        <v>#REF!</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73" t="s">
        <v>81</v>
      </c>
      <c r="AP26" s="474"/>
      <c r="AQ26" s="474"/>
      <c r="AR26" s="474"/>
      <c r="AS26" s="474"/>
      <c r="AT26" s="475"/>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48"/>
      <c r="C27" s="348"/>
      <c r="D27" s="349"/>
      <c r="E27" s="445"/>
      <c r="F27" s="446"/>
      <c r="G27" s="446"/>
      <c r="H27" s="446"/>
      <c r="I27" s="462"/>
      <c r="J27" s="64" t="str">
        <f>IF(AND('Mapa final'!$AC$13="Media",'Mapa final'!$AE$13="Leve"),CONCATENATE("R2C",'Mapa final'!$S$13),"")</f>
        <v/>
      </c>
      <c r="K27" s="65" t="str">
        <f>IF(AND('Mapa final'!$AC$14="Media",'Mapa final'!$AE$14="Leve"),CONCATENATE("R2C",'Mapa final'!$S$14),"")</f>
        <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final'!$AC$13="Media",'Mapa final'!$AE$13="Menor"),CONCATENATE("R2C",'Mapa final'!$S$13),"")</f>
        <v/>
      </c>
      <c r="Q27" s="65" t="str">
        <f>IF(AND('Mapa final'!$AC$14="Media",'Mapa final'!$AE$14="Menor"),CONCATENATE("R2C",'Mapa final'!$S$14),"")</f>
        <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final'!$AC$13="Media",'Mapa final'!$AE$13="Moderado"),CONCATENATE("R2C",'Mapa final'!$S$13),"")</f>
        <v/>
      </c>
      <c r="W27" s="65" t="str">
        <f>IF(AND('Mapa final'!$AC$14="Media",'Mapa final'!$AE$14="Moderado"),CONCATENATE("R2C",'Mapa final'!$S$14),"")</f>
        <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final'!$AC$13="Media",'Mapa final'!$AE$13="Mayor"),CONCATENATE("R2C",'Mapa final'!$S$13),"")</f>
        <v/>
      </c>
      <c r="AC27" s="50" t="str">
        <f>IF(AND('Mapa final'!$AC$14="Media",'Mapa final'!$AE$14="Mayor"),CONCATENATE("R2C",'Mapa final'!$S$14),"")</f>
        <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final'!$AC$13="Media",'Mapa final'!$AE$13="Catastrófico"),CONCATENATE("R2C",'Mapa final'!$S$13),"")</f>
        <v/>
      </c>
      <c r="AI27" s="53" t="str">
        <f>IF(AND('Mapa final'!$AC$14="Media",'Mapa final'!$AE$14="Catastrófico"),CONCATENATE("R2C",'Mapa final'!$S$14),"")</f>
        <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76"/>
      <c r="AP27" s="477"/>
      <c r="AQ27" s="477"/>
      <c r="AR27" s="477"/>
      <c r="AS27" s="477"/>
      <c r="AT27" s="478"/>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48"/>
      <c r="C28" s="348"/>
      <c r="D28" s="349"/>
      <c r="E28" s="447"/>
      <c r="F28" s="446"/>
      <c r="G28" s="446"/>
      <c r="H28" s="446"/>
      <c r="I28" s="462"/>
      <c r="J28" s="64" t="str">
        <f>IF(AND('Mapa final'!$AC$15="Media",'Mapa final'!$AE$15="Leve"),CONCATENATE("R3C",'Mapa final'!$S$15),"")</f>
        <v/>
      </c>
      <c r="K28" s="65" t="str">
        <f>IF(AND('Mapa final'!$AC$16="Media",'Mapa final'!$AE$16="Leve"),CONCATENATE("R3C",'Mapa final'!$S$16),"")</f>
        <v/>
      </c>
      <c r="L28" s="65" t="e">
        <f>IF(AND('Mapa final'!#REF!="Media",'Mapa final'!#REF!="Leve"),CONCATENATE("R3C",'Mapa final'!#REF!),"")</f>
        <v>#REF!</v>
      </c>
      <c r="M28" s="65" t="e">
        <f>IF(AND('Mapa final'!#REF!="Media",'Mapa final'!#REF!="Leve"),CONCATENATE("R3C",'Mapa final'!#REF!),"")</f>
        <v>#REF!</v>
      </c>
      <c r="N28" s="65" t="e">
        <f>IF(AND('Mapa final'!#REF!="Media",'Mapa final'!#REF!="Leve"),CONCATENATE("R3C",'Mapa final'!#REF!),"")</f>
        <v>#REF!</v>
      </c>
      <c r="O28" s="66" t="e">
        <f>IF(AND('Mapa final'!#REF!="Media",'Mapa final'!#REF!="Leve"),CONCATENATE("R3C",'Mapa final'!#REF!),"")</f>
        <v>#REF!</v>
      </c>
      <c r="P28" s="64" t="str">
        <f>IF(AND('Mapa final'!$AC$15="Media",'Mapa final'!$AE$15="Menor"),CONCATENATE("R3C",'Mapa final'!$S$15),"")</f>
        <v/>
      </c>
      <c r="Q28" s="65" t="str">
        <f>IF(AND('Mapa final'!$AC$16="Media",'Mapa final'!$AE$16="Menor"),CONCATENATE("R3C",'Mapa final'!$S$16),"")</f>
        <v/>
      </c>
      <c r="R28" s="65" t="e">
        <f>IF(AND('Mapa final'!#REF!="Media",'Mapa final'!#REF!="Menor"),CONCATENATE("R3C",'Mapa final'!#REF!),"")</f>
        <v>#REF!</v>
      </c>
      <c r="S28" s="65" t="e">
        <f>IF(AND('Mapa final'!#REF!="Media",'Mapa final'!#REF!="Menor"),CONCATENATE("R3C",'Mapa final'!#REF!),"")</f>
        <v>#REF!</v>
      </c>
      <c r="T28" s="65" t="e">
        <f>IF(AND('Mapa final'!#REF!="Media",'Mapa final'!#REF!="Menor"),CONCATENATE("R3C",'Mapa final'!#REF!),"")</f>
        <v>#REF!</v>
      </c>
      <c r="U28" s="66" t="e">
        <f>IF(AND('Mapa final'!#REF!="Media",'Mapa final'!#REF!="Menor"),CONCATENATE("R3C",'Mapa final'!#REF!),"")</f>
        <v>#REF!</v>
      </c>
      <c r="V28" s="64" t="str">
        <f>IF(AND('Mapa final'!$AC$15="Media",'Mapa final'!$AE$15="Moderado"),CONCATENATE("R3C",'Mapa final'!$S$15),"")</f>
        <v/>
      </c>
      <c r="W28" s="65" t="str">
        <f>IF(AND('Mapa final'!$AC$16="Media",'Mapa final'!$AE$16="Moderado"),CONCATENATE("R3C",'Mapa final'!$S$16),"")</f>
        <v/>
      </c>
      <c r="X28" s="65" t="e">
        <f>IF(AND('Mapa final'!#REF!="Media",'Mapa final'!#REF!="Moderado"),CONCATENATE("R3C",'Mapa final'!#REF!),"")</f>
        <v>#REF!</v>
      </c>
      <c r="Y28" s="65" t="e">
        <f>IF(AND('Mapa final'!#REF!="Media",'Mapa final'!#REF!="Moderado"),CONCATENATE("R3C",'Mapa final'!#REF!),"")</f>
        <v>#REF!</v>
      </c>
      <c r="Z28" s="65" t="e">
        <f>IF(AND('Mapa final'!#REF!="Media",'Mapa final'!#REF!="Moderado"),CONCATENATE("R3C",'Mapa final'!#REF!),"")</f>
        <v>#REF!</v>
      </c>
      <c r="AA28" s="66" t="e">
        <f>IF(AND('Mapa final'!#REF!="Media",'Mapa final'!#REF!="Moderado"),CONCATENATE("R3C",'Mapa final'!#REF!),"")</f>
        <v>#REF!</v>
      </c>
      <c r="AB28" s="49" t="str">
        <f>IF(AND('Mapa final'!$AC$15="Media",'Mapa final'!$AE$15="Mayor"),CONCATENATE("R3C",'Mapa final'!$S$15),"")</f>
        <v/>
      </c>
      <c r="AC28" s="50" t="str">
        <f>IF(AND('Mapa final'!$AC$16="Media",'Mapa final'!$AE$16="Mayor"),CONCATENATE("R3C",'Mapa final'!$S$16),"")</f>
        <v/>
      </c>
      <c r="AD28" s="50" t="e">
        <f>IF(AND('Mapa final'!#REF!="Media",'Mapa final'!#REF!="Mayor"),CONCATENATE("R3C",'Mapa final'!#REF!),"")</f>
        <v>#REF!</v>
      </c>
      <c r="AE28" s="50" t="e">
        <f>IF(AND('Mapa final'!#REF!="Media",'Mapa final'!#REF!="Mayor"),CONCATENATE("R3C",'Mapa final'!#REF!),"")</f>
        <v>#REF!</v>
      </c>
      <c r="AF28" s="50" t="e">
        <f>IF(AND('Mapa final'!#REF!="Media",'Mapa final'!#REF!="Mayor"),CONCATENATE("R3C",'Mapa final'!#REF!),"")</f>
        <v>#REF!</v>
      </c>
      <c r="AG28" s="51" t="e">
        <f>IF(AND('Mapa final'!#REF!="Media",'Mapa final'!#REF!="Mayor"),CONCATENATE("R3C",'Mapa final'!#REF!),"")</f>
        <v>#REF!</v>
      </c>
      <c r="AH28" s="52" t="str">
        <f>IF(AND('Mapa final'!$AC$15="Media",'Mapa final'!$AE$15="Catastrófico"),CONCATENATE("R3C",'Mapa final'!$S$15),"")</f>
        <v/>
      </c>
      <c r="AI28" s="53" t="str">
        <f>IF(AND('Mapa final'!$AC$16="Media",'Mapa final'!$AE$16="Catastrófico"),CONCATENATE("R3C",'Mapa final'!$S$16),"")</f>
        <v/>
      </c>
      <c r="AJ28" s="53" t="e">
        <f>IF(AND('Mapa final'!#REF!="Media",'Mapa final'!#REF!="Catastrófico"),CONCATENATE("R3C",'Mapa final'!#REF!),"")</f>
        <v>#REF!</v>
      </c>
      <c r="AK28" s="53" t="e">
        <f>IF(AND('Mapa final'!#REF!="Media",'Mapa final'!#REF!="Catastrófico"),CONCATENATE("R3C",'Mapa final'!#REF!),"")</f>
        <v>#REF!</v>
      </c>
      <c r="AL28" s="53" t="e">
        <f>IF(AND('Mapa final'!#REF!="Media",'Mapa final'!#REF!="Catastrófico"),CONCATENATE("R3C",'Mapa final'!#REF!),"")</f>
        <v>#REF!</v>
      </c>
      <c r="AM28" s="54" t="e">
        <f>IF(AND('Mapa final'!#REF!="Media",'Mapa final'!#REF!="Catastrófico"),CONCATENATE("R3C",'Mapa final'!#REF!),"")</f>
        <v>#REF!</v>
      </c>
      <c r="AN28" s="80"/>
      <c r="AO28" s="476"/>
      <c r="AP28" s="477"/>
      <c r="AQ28" s="477"/>
      <c r="AR28" s="477"/>
      <c r="AS28" s="477"/>
      <c r="AT28" s="478"/>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48"/>
      <c r="C29" s="348"/>
      <c r="D29" s="349"/>
      <c r="E29" s="447"/>
      <c r="F29" s="446"/>
      <c r="G29" s="446"/>
      <c r="H29" s="446"/>
      <c r="I29" s="462"/>
      <c r="J29" s="64" t="e">
        <f>IF(AND('Mapa final'!#REF!="Media",'Mapa final'!#REF!="Leve"),CONCATENATE("R4C",'Mapa final'!#REF!),"")</f>
        <v>#REF!</v>
      </c>
      <c r="K29" s="65" t="e">
        <f>IF(AND('Mapa final'!#REF!="Media",'Mapa final'!#REF!="Leve"),CONCATENATE("R4C",'Mapa final'!#REF!),"")</f>
        <v>#REF!</v>
      </c>
      <c r="L29" s="65" t="e">
        <f>IF(AND('Mapa final'!#REF!="Media",'Mapa final'!#REF!="Leve"),CONCATENATE("R4C",'Mapa final'!#REF!),"")</f>
        <v>#REF!</v>
      </c>
      <c r="M29" s="65" t="e">
        <f>IF(AND('Mapa final'!#REF!="Media",'Mapa final'!#REF!="Leve"),CONCATENATE("R4C",'Mapa final'!#REF!),"")</f>
        <v>#REF!</v>
      </c>
      <c r="N29" s="65" t="e">
        <f>IF(AND('Mapa final'!#REF!="Media",'Mapa final'!#REF!="Leve"),CONCATENATE("R4C",'Mapa final'!#REF!),"")</f>
        <v>#REF!</v>
      </c>
      <c r="O29" s="66" t="e">
        <f>IF(AND('Mapa final'!#REF!="Media",'Mapa final'!#REF!="Leve"),CONCATENATE("R4C",'Mapa final'!#REF!),"")</f>
        <v>#REF!</v>
      </c>
      <c r="P29" s="64" t="e">
        <f>IF(AND('Mapa final'!#REF!="Media",'Mapa final'!#REF!="Menor"),CONCATENATE("R4C",'Mapa final'!#REF!),"")</f>
        <v>#REF!</v>
      </c>
      <c r="Q29" s="65" t="e">
        <f>IF(AND('Mapa final'!#REF!="Media",'Mapa final'!#REF!="Menor"),CONCATENATE("R4C",'Mapa final'!#REF!),"")</f>
        <v>#REF!</v>
      </c>
      <c r="R29" s="65" t="e">
        <f>IF(AND('Mapa final'!#REF!="Media",'Mapa final'!#REF!="Menor"),CONCATENATE("R4C",'Mapa final'!#REF!),"")</f>
        <v>#REF!</v>
      </c>
      <c r="S29" s="65" t="e">
        <f>IF(AND('Mapa final'!#REF!="Media",'Mapa final'!#REF!="Menor"),CONCATENATE("R4C",'Mapa final'!#REF!),"")</f>
        <v>#REF!</v>
      </c>
      <c r="T29" s="65" t="e">
        <f>IF(AND('Mapa final'!#REF!="Media",'Mapa final'!#REF!="Menor"),CONCATENATE("R4C",'Mapa final'!#REF!),"")</f>
        <v>#REF!</v>
      </c>
      <c r="U29" s="66" t="e">
        <f>IF(AND('Mapa final'!#REF!="Media",'Mapa final'!#REF!="Menor"),CONCATENATE("R4C",'Mapa final'!#REF!),"")</f>
        <v>#REF!</v>
      </c>
      <c r="V29" s="64" t="e">
        <f>IF(AND('Mapa final'!#REF!="Media",'Mapa final'!#REF!="Moderado"),CONCATENATE("R4C",'Mapa final'!#REF!),"")</f>
        <v>#REF!</v>
      </c>
      <c r="W29" s="65" t="e">
        <f>IF(AND('Mapa final'!#REF!="Media",'Mapa final'!#REF!="Moderado"),CONCATENATE("R4C",'Mapa final'!#REF!),"")</f>
        <v>#REF!</v>
      </c>
      <c r="X29" s="65" t="e">
        <f>IF(AND('Mapa final'!#REF!="Media",'Mapa final'!#REF!="Moderado"),CONCATENATE("R4C",'Mapa final'!#REF!),"")</f>
        <v>#REF!</v>
      </c>
      <c r="Y29" s="65" t="e">
        <f>IF(AND('Mapa final'!#REF!="Media",'Mapa final'!#REF!="Moderado"),CONCATENATE("R4C",'Mapa final'!#REF!),"")</f>
        <v>#REF!</v>
      </c>
      <c r="Z29" s="65" t="e">
        <f>IF(AND('Mapa final'!#REF!="Media",'Mapa final'!#REF!="Moderado"),CONCATENATE("R4C",'Mapa final'!#REF!),"")</f>
        <v>#REF!</v>
      </c>
      <c r="AA29" s="66" t="e">
        <f>IF(AND('Mapa final'!#REF!="Media",'Mapa final'!#REF!="Moderado"),CONCATENATE("R4C",'Mapa final'!#REF!),"")</f>
        <v>#REF!</v>
      </c>
      <c r="AB29" s="49" t="e">
        <f>IF(AND('Mapa final'!#REF!="Media",'Mapa final'!#REF!="Mayor"),CONCATENATE("R4C",'Mapa final'!#REF!),"")</f>
        <v>#REF!</v>
      </c>
      <c r="AC29" s="50" t="e">
        <f>IF(AND('Mapa final'!#REF!="Media",'Mapa final'!#REF!="Mayor"),CONCATENATE("R4C",'Mapa final'!#REF!),"")</f>
        <v>#REF!</v>
      </c>
      <c r="AD29" s="50" t="e">
        <f>IF(AND('Mapa final'!#REF!="Media",'Mapa final'!#REF!="Mayor"),CONCATENATE("R4C",'Mapa final'!#REF!),"")</f>
        <v>#REF!</v>
      </c>
      <c r="AE29" s="50" t="e">
        <f>IF(AND('Mapa final'!#REF!="Media",'Mapa final'!#REF!="Mayor"),CONCATENATE("R4C",'Mapa final'!#REF!),"")</f>
        <v>#REF!</v>
      </c>
      <c r="AF29" s="50" t="e">
        <f>IF(AND('Mapa final'!#REF!="Media",'Mapa final'!#REF!="Mayor"),CONCATENATE("R4C",'Mapa final'!#REF!),"")</f>
        <v>#REF!</v>
      </c>
      <c r="AG29" s="51" t="e">
        <f>IF(AND('Mapa final'!#REF!="Media",'Mapa final'!#REF!="Mayor"),CONCATENATE("R4C",'Mapa final'!#REF!),"")</f>
        <v>#REF!</v>
      </c>
      <c r="AH29" s="52" t="e">
        <f>IF(AND('Mapa final'!#REF!="Media",'Mapa final'!#REF!="Catastrófico"),CONCATENATE("R4C",'Mapa final'!#REF!),"")</f>
        <v>#REF!</v>
      </c>
      <c r="AI29" s="53" t="e">
        <f>IF(AND('Mapa final'!#REF!="Media",'Mapa final'!#REF!="Catastrófico"),CONCATENATE("R4C",'Mapa final'!#REF!),"")</f>
        <v>#REF!</v>
      </c>
      <c r="AJ29" s="53" t="e">
        <f>IF(AND('Mapa final'!#REF!="Media",'Mapa final'!#REF!="Catastrófico"),CONCATENATE("R4C",'Mapa final'!#REF!),"")</f>
        <v>#REF!</v>
      </c>
      <c r="AK29" s="53" t="e">
        <f>IF(AND('Mapa final'!#REF!="Media",'Mapa final'!#REF!="Catastrófico"),CONCATENATE("R4C",'Mapa final'!#REF!),"")</f>
        <v>#REF!</v>
      </c>
      <c r="AL29" s="53" t="e">
        <f>IF(AND('Mapa final'!#REF!="Media",'Mapa final'!#REF!="Catastrófico"),CONCATENATE("R4C",'Mapa final'!#REF!),"")</f>
        <v>#REF!</v>
      </c>
      <c r="AM29" s="54" t="e">
        <f>IF(AND('Mapa final'!#REF!="Media",'Mapa final'!#REF!="Catastrófico"),CONCATENATE("R4C",'Mapa final'!#REF!),"")</f>
        <v>#REF!</v>
      </c>
      <c r="AN29" s="80"/>
      <c r="AO29" s="476"/>
      <c r="AP29" s="477"/>
      <c r="AQ29" s="477"/>
      <c r="AR29" s="477"/>
      <c r="AS29" s="477"/>
      <c r="AT29" s="478"/>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48"/>
      <c r="C30" s="348"/>
      <c r="D30" s="349"/>
      <c r="E30" s="447"/>
      <c r="F30" s="446"/>
      <c r="G30" s="446"/>
      <c r="H30" s="446"/>
      <c r="I30" s="462"/>
      <c r="J30" s="64" t="e">
        <f>IF(AND('Mapa final'!#REF!="Media",'Mapa final'!#REF!="Leve"),CONCATENATE("R5C",'Mapa final'!#REF!),"")</f>
        <v>#REF!</v>
      </c>
      <c r="K30" s="65" t="e">
        <f>IF(AND('Mapa final'!#REF!="Media",'Mapa final'!#REF!="Leve"),CONCATENATE("R5C",'Mapa final'!#REF!),"")</f>
        <v>#REF!</v>
      </c>
      <c r="L30" s="65" t="e">
        <f>IF(AND('Mapa final'!#REF!="Media",'Mapa final'!#REF!="Leve"),CONCATENATE("R5C",'Mapa final'!#REF!),"")</f>
        <v>#REF!</v>
      </c>
      <c r="M30" s="65" t="e">
        <f>IF(AND('Mapa final'!#REF!="Media",'Mapa final'!#REF!="Leve"),CONCATENATE("R5C",'Mapa final'!#REF!),"")</f>
        <v>#REF!</v>
      </c>
      <c r="N30" s="65" t="e">
        <f>IF(AND('Mapa final'!#REF!="Media",'Mapa final'!#REF!="Leve"),CONCATENATE("R5C",'Mapa final'!#REF!),"")</f>
        <v>#REF!</v>
      </c>
      <c r="O30" s="66" t="str">
        <f>IF(AND('Mapa final'!$AC$17="Media",'Mapa final'!$AE$17="Leve"),CONCATENATE("R5C",'Mapa final'!$S$17),"")</f>
        <v/>
      </c>
      <c r="P30" s="64" t="e">
        <f>IF(AND('Mapa final'!#REF!="Media",'Mapa final'!#REF!="Menor"),CONCATENATE("R5C",'Mapa final'!#REF!),"")</f>
        <v>#REF!</v>
      </c>
      <c r="Q30" s="65" t="e">
        <f>IF(AND('Mapa final'!#REF!="Media",'Mapa final'!#REF!="Menor"),CONCATENATE("R5C",'Mapa final'!#REF!),"")</f>
        <v>#REF!</v>
      </c>
      <c r="R30" s="65" t="e">
        <f>IF(AND('Mapa final'!#REF!="Media",'Mapa final'!#REF!="Menor"),CONCATENATE("R5C",'Mapa final'!#REF!),"")</f>
        <v>#REF!</v>
      </c>
      <c r="S30" s="65" t="e">
        <f>IF(AND('Mapa final'!#REF!="Media",'Mapa final'!#REF!="Menor"),CONCATENATE("R5C",'Mapa final'!#REF!),"")</f>
        <v>#REF!</v>
      </c>
      <c r="T30" s="65" t="e">
        <f>IF(AND('Mapa final'!#REF!="Media",'Mapa final'!#REF!="Menor"),CONCATENATE("R5C",'Mapa final'!#REF!),"")</f>
        <v>#REF!</v>
      </c>
      <c r="U30" s="66" t="str">
        <f>IF(AND('Mapa final'!$AC$17="Media",'Mapa final'!$AE$17="Menor"),CONCATENATE("R5C",'Mapa final'!$S$17),"")</f>
        <v/>
      </c>
      <c r="V30" s="64" t="e">
        <f>IF(AND('Mapa final'!#REF!="Media",'Mapa final'!#REF!="Moderado"),CONCATENATE("R5C",'Mapa final'!#REF!),"")</f>
        <v>#REF!</v>
      </c>
      <c r="W30" s="65" t="e">
        <f>IF(AND('Mapa final'!#REF!="Media",'Mapa final'!#REF!="Moderado"),CONCATENATE("R5C",'Mapa final'!#REF!),"")</f>
        <v>#REF!</v>
      </c>
      <c r="X30" s="65" t="e">
        <f>IF(AND('Mapa final'!#REF!="Media",'Mapa final'!#REF!="Moderado"),CONCATENATE("R5C",'Mapa final'!#REF!),"")</f>
        <v>#REF!</v>
      </c>
      <c r="Y30" s="65" t="e">
        <f>IF(AND('Mapa final'!#REF!="Media",'Mapa final'!#REF!="Moderado"),CONCATENATE("R5C",'Mapa final'!#REF!),"")</f>
        <v>#REF!</v>
      </c>
      <c r="Z30" s="65" t="e">
        <f>IF(AND('Mapa final'!#REF!="Media",'Mapa final'!#REF!="Moderado"),CONCATENATE("R5C",'Mapa final'!#REF!),"")</f>
        <v>#REF!</v>
      </c>
      <c r="AA30" s="66" t="str">
        <f>IF(AND('Mapa final'!$AC$17="Media",'Mapa final'!$AE$17="Moderado"),CONCATENATE("R5C",'Mapa final'!$S$17),"")</f>
        <v/>
      </c>
      <c r="AB30" s="49" t="e">
        <f>IF(AND('Mapa final'!#REF!="Media",'Mapa final'!#REF!="Mayor"),CONCATENATE("R5C",'Mapa final'!#REF!),"")</f>
        <v>#REF!</v>
      </c>
      <c r="AC30" s="50" t="e">
        <f>IF(AND('Mapa final'!#REF!="Media",'Mapa final'!#REF!="Mayor"),CONCATENATE("R5C",'Mapa final'!#REF!),"")</f>
        <v>#REF!</v>
      </c>
      <c r="AD30" s="50" t="e">
        <f>IF(AND('Mapa final'!#REF!="Media",'Mapa final'!#REF!="Mayor"),CONCATENATE("R5C",'Mapa final'!#REF!),"")</f>
        <v>#REF!</v>
      </c>
      <c r="AE30" s="50" t="e">
        <f>IF(AND('Mapa final'!#REF!="Media",'Mapa final'!#REF!="Mayor"),CONCATENATE("R5C",'Mapa final'!#REF!),"")</f>
        <v>#REF!</v>
      </c>
      <c r="AF30" s="50" t="e">
        <f>IF(AND('Mapa final'!#REF!="Media",'Mapa final'!#REF!="Mayor"),CONCATENATE("R5C",'Mapa final'!#REF!),"")</f>
        <v>#REF!</v>
      </c>
      <c r="AG30" s="51" t="str">
        <f>IF(AND('Mapa final'!$AC$17="Media",'Mapa final'!$AE$17="Mayor"),CONCATENATE("R5C",'Mapa final'!$S$17),"")</f>
        <v/>
      </c>
      <c r="AH30" s="52" t="e">
        <f>IF(AND('Mapa final'!#REF!="Media",'Mapa final'!#REF!="Catastrófico"),CONCATENATE("R5C",'Mapa final'!#REF!),"")</f>
        <v>#REF!</v>
      </c>
      <c r="AI30" s="53" t="e">
        <f>IF(AND('Mapa final'!#REF!="Media",'Mapa final'!#REF!="Catastrófico"),CONCATENATE("R5C",'Mapa final'!#REF!),"")</f>
        <v>#REF!</v>
      </c>
      <c r="AJ30" s="53" t="e">
        <f>IF(AND('Mapa final'!#REF!="Media",'Mapa final'!#REF!="Catastrófico"),CONCATENATE("R5C",'Mapa final'!#REF!),"")</f>
        <v>#REF!</v>
      </c>
      <c r="AK30" s="53" t="e">
        <f>IF(AND('Mapa final'!#REF!="Media",'Mapa final'!#REF!="Catastrófico"),CONCATENATE("R5C",'Mapa final'!#REF!),"")</f>
        <v>#REF!</v>
      </c>
      <c r="AL30" s="53" t="e">
        <f>IF(AND('Mapa final'!#REF!="Media",'Mapa final'!#REF!="Catastrófico"),CONCATENATE("R5C",'Mapa final'!#REF!),"")</f>
        <v>#REF!</v>
      </c>
      <c r="AM30" s="54" t="str">
        <f>IF(AND('Mapa final'!$AC$17="Media",'Mapa final'!$AE$17="Catastrófico"),CONCATENATE("R5C",'Mapa final'!$S$17),"")</f>
        <v/>
      </c>
      <c r="AN30" s="80"/>
      <c r="AO30" s="476"/>
      <c r="AP30" s="477"/>
      <c r="AQ30" s="477"/>
      <c r="AR30" s="477"/>
      <c r="AS30" s="477"/>
      <c r="AT30" s="478"/>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48"/>
      <c r="C31" s="348"/>
      <c r="D31" s="349"/>
      <c r="E31" s="447"/>
      <c r="F31" s="446"/>
      <c r="G31" s="446"/>
      <c r="H31" s="446"/>
      <c r="I31" s="462"/>
      <c r="J31" s="64" t="str">
        <f>IF(AND('Mapa final'!$AC$18="Media",'Mapa final'!$AE$18="Leve"),CONCATENATE("R6C",'Mapa final'!$S$18),"")</f>
        <v/>
      </c>
      <c r="K31" s="65" t="str">
        <f>IF(AND('Mapa final'!$AC$19="Media",'Mapa final'!$AE$19="Leve"),CONCATENATE("R6C",'Mapa final'!$S$19),"")</f>
        <v/>
      </c>
      <c r="L31" s="65" t="str">
        <f>IF(AND('Mapa final'!$AC$20="Media",'Mapa final'!$AE$20="Leve"),CONCATENATE("R6C",'Mapa final'!$S$20),"")</f>
        <v/>
      </c>
      <c r="M31" s="65" t="str">
        <f>IF(AND('Mapa final'!$AC$21="Media",'Mapa final'!$AE$21="Leve"),CONCATENATE("R6C",'Mapa final'!$S$21),"")</f>
        <v/>
      </c>
      <c r="N31" s="65" t="str">
        <f>IF(AND('Mapa final'!$AC$22="Media",'Mapa final'!$AE$22="Leve"),CONCATENATE("R6C",'Mapa final'!$S$22),"")</f>
        <v/>
      </c>
      <c r="O31" s="66" t="str">
        <f>IF(AND('Mapa final'!$AC$23="Media",'Mapa final'!$AE$23="Leve"),CONCATENATE("R6C",'Mapa final'!$S$23),"")</f>
        <v/>
      </c>
      <c r="P31" s="64" t="str">
        <f>IF(AND('Mapa final'!$AC$18="Media",'Mapa final'!$AE$18="Menor"),CONCATENATE("R6C",'Mapa final'!$S$18),"")</f>
        <v/>
      </c>
      <c r="Q31" s="65" t="str">
        <f>IF(AND('Mapa final'!$AC$19="Media",'Mapa final'!$AE$19="Menor"),CONCATENATE("R6C",'Mapa final'!$S$19),"")</f>
        <v/>
      </c>
      <c r="R31" s="65" t="str">
        <f>IF(AND('Mapa final'!$AC$20="Media",'Mapa final'!$AE$20="Menor"),CONCATENATE("R6C",'Mapa final'!$S$20),"")</f>
        <v/>
      </c>
      <c r="S31" s="65" t="str">
        <f>IF(AND('Mapa final'!$AC$21="Media",'Mapa final'!$AE$21="Menor"),CONCATENATE("R6C",'Mapa final'!$S$21),"")</f>
        <v/>
      </c>
      <c r="T31" s="65" t="str">
        <f>IF(AND('Mapa final'!$AC$22="Media",'Mapa final'!$AE$22="Menor"),CONCATENATE("R6C",'Mapa final'!$S$22),"")</f>
        <v/>
      </c>
      <c r="U31" s="66" t="str">
        <f>IF(AND('Mapa final'!$AC$23="Media",'Mapa final'!$AE$23="Menor"),CONCATENATE("R6C",'Mapa final'!$S$23),"")</f>
        <v/>
      </c>
      <c r="V31" s="64" t="str">
        <f>IF(AND('Mapa final'!$AC$18="Media",'Mapa final'!$AE$18="Moderado"),CONCATENATE("R6C",'Mapa final'!$S$18),"")</f>
        <v/>
      </c>
      <c r="W31" s="65" t="str">
        <f>IF(AND('Mapa final'!$AC$19="Media",'Mapa final'!$AE$19="Moderado"),CONCATENATE("R6C",'Mapa final'!$S$19),"")</f>
        <v/>
      </c>
      <c r="X31" s="65" t="str">
        <f>IF(AND('Mapa final'!$AC$20="Media",'Mapa final'!$AE$20="Moderado"),CONCATENATE("R6C",'Mapa final'!$S$20),"")</f>
        <v/>
      </c>
      <c r="Y31" s="65" t="str">
        <f>IF(AND('Mapa final'!$AC$21="Media",'Mapa final'!$AE$21="Moderado"),CONCATENATE("R6C",'Mapa final'!$S$21),"")</f>
        <v/>
      </c>
      <c r="Z31" s="65" t="str">
        <f>IF(AND('Mapa final'!$AC$22="Media",'Mapa final'!$AE$22="Moderado"),CONCATENATE("R6C",'Mapa final'!$S$22),"")</f>
        <v/>
      </c>
      <c r="AA31" s="66" t="str">
        <f>IF(AND('Mapa final'!$AC$23="Media",'Mapa final'!$AE$23="Moderado"),CONCATENATE("R6C",'Mapa final'!$S$23),"")</f>
        <v/>
      </c>
      <c r="AB31" s="49" t="str">
        <f>IF(AND('Mapa final'!$AC$18="Media",'Mapa final'!$AE$18="Mayor"),CONCATENATE("R6C",'Mapa final'!$S$18),"")</f>
        <v/>
      </c>
      <c r="AC31" s="50" t="str">
        <f>IF(AND('Mapa final'!$AC$19="Media",'Mapa final'!$AE$19="Mayor"),CONCATENATE("R6C",'Mapa final'!$S$19),"")</f>
        <v/>
      </c>
      <c r="AD31" s="50" t="str">
        <f>IF(AND('Mapa final'!$AC$20="Media",'Mapa final'!$AE$20="Mayor"),CONCATENATE("R6C",'Mapa final'!$S$20),"")</f>
        <v/>
      </c>
      <c r="AE31" s="50" t="str">
        <f>IF(AND('Mapa final'!$AC$21="Media",'Mapa final'!$AE$21="Mayor"),CONCATENATE("R6C",'Mapa final'!$S$21),"")</f>
        <v/>
      </c>
      <c r="AF31" s="50" t="str">
        <f>IF(AND('Mapa final'!$AC$22="Media",'Mapa final'!$AE$22="Mayor"),CONCATENATE("R6C",'Mapa final'!$S$22),"")</f>
        <v/>
      </c>
      <c r="AG31" s="51" t="str">
        <f>IF(AND('Mapa final'!$AC$23="Media",'Mapa final'!$AE$23="Mayor"),CONCATENATE("R6C",'Mapa final'!$S$23),"")</f>
        <v/>
      </c>
      <c r="AH31" s="52" t="str">
        <f>IF(AND('Mapa final'!$AC$18="Media",'Mapa final'!$AE$18="Catastrófico"),CONCATENATE("R6C",'Mapa final'!$S$18),"")</f>
        <v/>
      </c>
      <c r="AI31" s="53" t="str">
        <f>IF(AND('Mapa final'!$AC$19="Media",'Mapa final'!$AE$19="Catastrófico"),CONCATENATE("R6C",'Mapa final'!$S$19),"")</f>
        <v/>
      </c>
      <c r="AJ31" s="53" t="str">
        <f>IF(AND('Mapa final'!$AC$20="Media",'Mapa final'!$AE$20="Catastrófico"),CONCATENATE("R6C",'Mapa final'!$S$20),"")</f>
        <v/>
      </c>
      <c r="AK31" s="53" t="str">
        <f>IF(AND('Mapa final'!$AC$21="Media",'Mapa final'!$AE$21="Catastrófico"),CONCATENATE("R6C",'Mapa final'!$S$21),"")</f>
        <v/>
      </c>
      <c r="AL31" s="53" t="str">
        <f>IF(AND('Mapa final'!$AC$22="Media",'Mapa final'!$AE$22="Catastrófico"),CONCATENATE("R6C",'Mapa final'!$S$22),"")</f>
        <v/>
      </c>
      <c r="AM31" s="54" t="str">
        <f>IF(AND('Mapa final'!$AC$23="Media",'Mapa final'!$AE$23="Catastrófico"),CONCATENATE("R6C",'Mapa final'!$S$23),"")</f>
        <v/>
      </c>
      <c r="AN31" s="80"/>
      <c r="AO31" s="476"/>
      <c r="AP31" s="477"/>
      <c r="AQ31" s="477"/>
      <c r="AR31" s="477"/>
      <c r="AS31" s="477"/>
      <c r="AT31" s="478"/>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48"/>
      <c r="C32" s="348"/>
      <c r="D32" s="349"/>
      <c r="E32" s="447"/>
      <c r="F32" s="446"/>
      <c r="G32" s="446"/>
      <c r="H32" s="446"/>
      <c r="I32" s="462"/>
      <c r="J32" s="64" t="str">
        <f>IF(AND('Mapa final'!$AC$24="Media",'Mapa final'!$AE$24="Leve"),CONCATENATE("R7C",'Mapa final'!$S$24),"")</f>
        <v/>
      </c>
      <c r="K32" s="65" t="str">
        <f>IF(AND('Mapa final'!$AC$25="Media",'Mapa final'!$AE$25="Leve"),CONCATENATE("R7C",'Mapa final'!$S$25),"")</f>
        <v/>
      </c>
      <c r="L32" s="65" t="str">
        <f>IF(AND('Mapa final'!$AC$26="Media",'Mapa final'!$AE$26="Leve"),CONCATENATE("R7C",'Mapa final'!$S$26),"")</f>
        <v/>
      </c>
      <c r="M32" s="65" t="str">
        <f>IF(AND('Mapa final'!$AC$27="Media",'Mapa final'!$AE$27="Leve"),CONCATENATE("R7C",'Mapa final'!$S$27),"")</f>
        <v/>
      </c>
      <c r="N32" s="65" t="str">
        <f>IF(AND('Mapa final'!$AC$28="Media",'Mapa final'!$AE$28="Leve"),CONCATENATE("R7C",'Mapa final'!$S$28),"")</f>
        <v/>
      </c>
      <c r="O32" s="66" t="str">
        <f>IF(AND('Mapa final'!$AC$29="Media",'Mapa final'!$AE$29="Leve"),CONCATENATE("R7C",'Mapa final'!$S$29),"")</f>
        <v/>
      </c>
      <c r="P32" s="64" t="str">
        <f>IF(AND('Mapa final'!$AC$24="Media",'Mapa final'!$AE$24="Menor"),CONCATENATE("R7C",'Mapa final'!$S$24),"")</f>
        <v/>
      </c>
      <c r="Q32" s="65" t="str">
        <f>IF(AND('Mapa final'!$AC$25="Media",'Mapa final'!$AE$25="Menor"),CONCATENATE("R7C",'Mapa final'!$S$25),"")</f>
        <v/>
      </c>
      <c r="R32" s="65" t="str">
        <f>IF(AND('Mapa final'!$AC$26="Media",'Mapa final'!$AE$26="Menor"),CONCATENATE("R7C",'Mapa final'!$S$26),"")</f>
        <v/>
      </c>
      <c r="S32" s="65" t="str">
        <f>IF(AND('Mapa final'!$AC$27="Media",'Mapa final'!$AE$27="Menor"),CONCATENATE("R7C",'Mapa final'!$S$27),"")</f>
        <v/>
      </c>
      <c r="T32" s="65" t="str">
        <f>IF(AND('Mapa final'!$AC$28="Media",'Mapa final'!$AE$28="Menor"),CONCATENATE("R7C",'Mapa final'!$S$28),"")</f>
        <v/>
      </c>
      <c r="U32" s="66" t="str">
        <f>IF(AND('Mapa final'!$AC$29="Media",'Mapa final'!$AE$29="Menor"),CONCATENATE("R7C",'Mapa final'!$S$29),"")</f>
        <v/>
      </c>
      <c r="V32" s="64" t="str">
        <f>IF(AND('Mapa final'!$AC$24="Media",'Mapa final'!$AE$24="Moderado"),CONCATENATE("R7C",'Mapa final'!$S$24),"")</f>
        <v/>
      </c>
      <c r="W32" s="65" t="str">
        <f>IF(AND('Mapa final'!$AC$25="Media",'Mapa final'!$AE$25="Moderado"),CONCATENATE("R7C",'Mapa final'!$S$25),"")</f>
        <v/>
      </c>
      <c r="X32" s="65" t="str">
        <f>IF(AND('Mapa final'!$AC$26="Media",'Mapa final'!$AE$26="Moderado"),CONCATENATE("R7C",'Mapa final'!$S$26),"")</f>
        <v/>
      </c>
      <c r="Y32" s="65" t="str">
        <f>IF(AND('Mapa final'!$AC$27="Media",'Mapa final'!$AE$27="Moderado"),CONCATENATE("R7C",'Mapa final'!$S$27),"")</f>
        <v/>
      </c>
      <c r="Z32" s="65" t="str">
        <f>IF(AND('Mapa final'!$AC$28="Media",'Mapa final'!$AE$28="Moderado"),CONCATENATE("R7C",'Mapa final'!$S$28),"")</f>
        <v/>
      </c>
      <c r="AA32" s="66" t="str">
        <f>IF(AND('Mapa final'!$AC$29="Media",'Mapa final'!$AE$29="Moderado"),CONCATENATE("R7C",'Mapa final'!$S$29),"")</f>
        <v/>
      </c>
      <c r="AB32" s="49" t="str">
        <f>IF(AND('Mapa final'!$AC$24="Media",'Mapa final'!$AE$24="Mayor"),CONCATENATE("R7C",'Mapa final'!$S$24),"")</f>
        <v/>
      </c>
      <c r="AC32" s="50" t="str">
        <f>IF(AND('Mapa final'!$AC$25="Media",'Mapa final'!$AE$25="Mayor"),CONCATENATE("R7C",'Mapa final'!$S$25),"")</f>
        <v/>
      </c>
      <c r="AD32" s="50" t="str">
        <f>IF(AND('Mapa final'!$AC$26="Media",'Mapa final'!$AE$26="Mayor"),CONCATENATE("R7C",'Mapa final'!$S$26),"")</f>
        <v/>
      </c>
      <c r="AE32" s="50" t="str">
        <f>IF(AND('Mapa final'!$AC$27="Media",'Mapa final'!$AE$27="Mayor"),CONCATENATE("R7C",'Mapa final'!$S$27),"")</f>
        <v/>
      </c>
      <c r="AF32" s="50" t="str">
        <f>IF(AND('Mapa final'!$AC$28="Media",'Mapa final'!$AE$28="Mayor"),CONCATENATE("R7C",'Mapa final'!$S$28),"")</f>
        <v/>
      </c>
      <c r="AG32" s="51" t="str">
        <f>IF(AND('Mapa final'!$AC$29="Media",'Mapa final'!$AE$29="Mayor"),CONCATENATE("R7C",'Mapa final'!$S$29),"")</f>
        <v/>
      </c>
      <c r="AH32" s="52" t="str">
        <f>IF(AND('Mapa final'!$AC$24="Media",'Mapa final'!$AE$24="Catastrófico"),CONCATENATE("R7C",'Mapa final'!$S$24),"")</f>
        <v/>
      </c>
      <c r="AI32" s="53" t="str">
        <f>IF(AND('Mapa final'!$AC$25="Media",'Mapa final'!$AE$25="Catastrófico"),CONCATENATE("R7C",'Mapa final'!$S$25),"")</f>
        <v/>
      </c>
      <c r="AJ32" s="53" t="str">
        <f>IF(AND('Mapa final'!$AC$26="Media",'Mapa final'!$AE$26="Catastrófico"),CONCATENATE("R7C",'Mapa final'!$S$26),"")</f>
        <v/>
      </c>
      <c r="AK32" s="53" t="str">
        <f>IF(AND('Mapa final'!$AC$27="Media",'Mapa final'!$AE$27="Catastrófico"),CONCATENATE("R7C",'Mapa final'!$S$27),"")</f>
        <v/>
      </c>
      <c r="AL32" s="53" t="str">
        <f>IF(AND('Mapa final'!$AC$28="Media",'Mapa final'!$AE$28="Catastrófico"),CONCATENATE("R7C",'Mapa final'!$S$28),"")</f>
        <v/>
      </c>
      <c r="AM32" s="54" t="str">
        <f>IF(AND('Mapa final'!$AC$29="Media",'Mapa final'!$AE$29="Catastrófico"),CONCATENATE("R7C",'Mapa final'!$S$29),"")</f>
        <v/>
      </c>
      <c r="AN32" s="80"/>
      <c r="AO32" s="476"/>
      <c r="AP32" s="477"/>
      <c r="AQ32" s="477"/>
      <c r="AR32" s="477"/>
      <c r="AS32" s="477"/>
      <c r="AT32" s="478"/>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48"/>
      <c r="C33" s="348"/>
      <c r="D33" s="349"/>
      <c r="E33" s="447"/>
      <c r="F33" s="446"/>
      <c r="G33" s="446"/>
      <c r="H33" s="446"/>
      <c r="I33" s="462"/>
      <c r="J33" s="64" t="str">
        <f>IF(AND('Mapa final'!$AC$30="Media",'Mapa final'!$AE$30="Leve"),CONCATENATE("R8C",'Mapa final'!$S$30),"")</f>
        <v/>
      </c>
      <c r="K33" s="65" t="str">
        <f>IF(AND('Mapa final'!$AC$31="Media",'Mapa final'!$AE$31="Leve"),CONCATENATE("R8C",'Mapa final'!$S$31),"")</f>
        <v/>
      </c>
      <c r="L33" s="65" t="str">
        <f>IF(AND('Mapa final'!$AC$32="Media",'Mapa final'!$AE$32="Leve"),CONCATENATE("R8C",'Mapa final'!$S$32),"")</f>
        <v/>
      </c>
      <c r="M33" s="65" t="str">
        <f>IF(AND('Mapa final'!$AC$33="Media",'Mapa final'!$AE$33="Leve"),CONCATENATE("R8C",'Mapa final'!$S$33),"")</f>
        <v/>
      </c>
      <c r="N33" s="65" t="str">
        <f>IF(AND('Mapa final'!$AC$34="Media",'Mapa final'!$AE$34="Leve"),CONCATENATE("R8C",'Mapa final'!$S$34),"")</f>
        <v/>
      </c>
      <c r="O33" s="66" t="str">
        <f>IF(AND('Mapa final'!$AC$35="Media",'Mapa final'!$AE$35="Leve"),CONCATENATE("R8C",'Mapa final'!$S$35),"")</f>
        <v/>
      </c>
      <c r="P33" s="64" t="str">
        <f>IF(AND('Mapa final'!$AC$30="Media",'Mapa final'!$AE$30="Menor"),CONCATENATE("R8C",'Mapa final'!$S$30),"")</f>
        <v/>
      </c>
      <c r="Q33" s="65" t="str">
        <f>IF(AND('Mapa final'!$AC$31="Media",'Mapa final'!$AE$31="Menor"),CONCATENATE("R8C",'Mapa final'!$S$31),"")</f>
        <v/>
      </c>
      <c r="R33" s="65" t="str">
        <f>IF(AND('Mapa final'!$AC$32="Media",'Mapa final'!$AE$32="Menor"),CONCATENATE("R8C",'Mapa final'!$S$32),"")</f>
        <v/>
      </c>
      <c r="S33" s="65" t="str">
        <f>IF(AND('Mapa final'!$AC$33="Media",'Mapa final'!$AE$33="Menor"),CONCATENATE("R8C",'Mapa final'!$S$33),"")</f>
        <v/>
      </c>
      <c r="T33" s="65" t="str">
        <f>IF(AND('Mapa final'!$AC$34="Media",'Mapa final'!$AE$34="Menor"),CONCATENATE("R8C",'Mapa final'!$S$34),"")</f>
        <v/>
      </c>
      <c r="U33" s="66" t="str">
        <f>IF(AND('Mapa final'!$AC$35="Media",'Mapa final'!$AE$35="Menor"),CONCATENATE("R8C",'Mapa final'!$S$35),"")</f>
        <v/>
      </c>
      <c r="V33" s="64" t="str">
        <f>IF(AND('Mapa final'!$AC$30="Media",'Mapa final'!$AE$30="Moderado"),CONCATENATE("R8C",'Mapa final'!$S$30),"")</f>
        <v/>
      </c>
      <c r="W33" s="65" t="str">
        <f>IF(AND('Mapa final'!$AC$31="Media",'Mapa final'!$AE$31="Moderado"),CONCATENATE("R8C",'Mapa final'!$S$31),"")</f>
        <v/>
      </c>
      <c r="X33" s="65" t="str">
        <f>IF(AND('Mapa final'!$AC$32="Media",'Mapa final'!$AE$32="Moderado"),CONCATENATE("R8C",'Mapa final'!$S$32),"")</f>
        <v/>
      </c>
      <c r="Y33" s="65" t="str">
        <f>IF(AND('Mapa final'!$AC$33="Media",'Mapa final'!$AE$33="Moderado"),CONCATENATE("R8C",'Mapa final'!$S$33),"")</f>
        <v/>
      </c>
      <c r="Z33" s="65" t="str">
        <f>IF(AND('Mapa final'!$AC$34="Media",'Mapa final'!$AE$34="Moderado"),CONCATENATE("R8C",'Mapa final'!$S$34),"")</f>
        <v/>
      </c>
      <c r="AA33" s="66" t="str">
        <f>IF(AND('Mapa final'!$AC$35="Media",'Mapa final'!$AE$35="Moderado"),CONCATENATE("R8C",'Mapa final'!$S$35),"")</f>
        <v/>
      </c>
      <c r="AB33" s="49" t="str">
        <f>IF(AND('Mapa final'!$AC$30="Media",'Mapa final'!$AE$30="Mayor"),CONCATENATE("R8C",'Mapa final'!$S$30),"")</f>
        <v/>
      </c>
      <c r="AC33" s="50" t="str">
        <f>IF(AND('Mapa final'!$AC$31="Media",'Mapa final'!$AE$31="Mayor"),CONCATENATE("R8C",'Mapa final'!$S$31),"")</f>
        <v/>
      </c>
      <c r="AD33" s="50" t="str">
        <f>IF(AND('Mapa final'!$AC$32="Media",'Mapa final'!$AE$32="Mayor"),CONCATENATE("R8C",'Mapa final'!$S$32),"")</f>
        <v/>
      </c>
      <c r="AE33" s="50" t="str">
        <f>IF(AND('Mapa final'!$AC$33="Media",'Mapa final'!$AE$33="Mayor"),CONCATENATE("R8C",'Mapa final'!$S$33),"")</f>
        <v/>
      </c>
      <c r="AF33" s="50" t="str">
        <f>IF(AND('Mapa final'!$AC$34="Media",'Mapa final'!$AE$34="Mayor"),CONCATENATE("R8C",'Mapa final'!$S$34),"")</f>
        <v/>
      </c>
      <c r="AG33" s="51" t="str">
        <f>IF(AND('Mapa final'!$AC$35="Media",'Mapa final'!$AE$35="Mayor"),CONCATENATE("R8C",'Mapa final'!$S$35),"")</f>
        <v/>
      </c>
      <c r="AH33" s="52" t="str">
        <f>IF(AND('Mapa final'!$AC$30="Media",'Mapa final'!$AE$30="Catastrófico"),CONCATENATE("R8C",'Mapa final'!$S$30),"")</f>
        <v/>
      </c>
      <c r="AI33" s="53" t="str">
        <f>IF(AND('Mapa final'!$AC$31="Media",'Mapa final'!$AE$31="Catastrófico"),CONCATENATE("R8C",'Mapa final'!$S$31),"")</f>
        <v/>
      </c>
      <c r="AJ33" s="53" t="str">
        <f>IF(AND('Mapa final'!$AC$32="Media",'Mapa final'!$AE$32="Catastrófico"),CONCATENATE("R8C",'Mapa final'!$S$32),"")</f>
        <v/>
      </c>
      <c r="AK33" s="53" t="str">
        <f>IF(AND('Mapa final'!$AC$33="Media",'Mapa final'!$AE$33="Catastrófico"),CONCATENATE("R8C",'Mapa final'!$S$33),"")</f>
        <v/>
      </c>
      <c r="AL33" s="53" t="str">
        <f>IF(AND('Mapa final'!$AC$34="Media",'Mapa final'!$AE$34="Catastrófico"),CONCATENATE("R8C",'Mapa final'!$S$34),"")</f>
        <v/>
      </c>
      <c r="AM33" s="54" t="str">
        <f>IF(AND('Mapa final'!$AC$35="Media",'Mapa final'!$AE$35="Catastrófico"),CONCATENATE("R8C",'Mapa final'!$S$35),"")</f>
        <v/>
      </c>
      <c r="AN33" s="80"/>
      <c r="AO33" s="476"/>
      <c r="AP33" s="477"/>
      <c r="AQ33" s="477"/>
      <c r="AR33" s="477"/>
      <c r="AS33" s="477"/>
      <c r="AT33" s="478"/>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48"/>
      <c r="C34" s="348"/>
      <c r="D34" s="349"/>
      <c r="E34" s="447"/>
      <c r="F34" s="446"/>
      <c r="G34" s="446"/>
      <c r="H34" s="446"/>
      <c r="I34" s="462"/>
      <c r="J34" s="64" t="str">
        <f>IF(AND('Mapa final'!$AC$36="Media",'Mapa final'!$AE$36="Leve"),CONCATENATE("R9C",'Mapa final'!$S$36),"")</f>
        <v/>
      </c>
      <c r="K34" s="65" t="str">
        <f>IF(AND('Mapa final'!$AC$37="Media",'Mapa final'!$AE$37="Leve"),CONCATENATE("R9C",'Mapa final'!$S$37),"")</f>
        <v/>
      </c>
      <c r="L34" s="65" t="str">
        <f>IF(AND('Mapa final'!$AC$38="Media",'Mapa final'!$AE$38="Leve"),CONCATENATE("R9C",'Mapa final'!$S$38),"")</f>
        <v/>
      </c>
      <c r="M34" s="65" t="str">
        <f>IF(AND('Mapa final'!$AC$39="Media",'Mapa final'!$AE$39="Leve"),CONCATENATE("R9C",'Mapa final'!$S$39),"")</f>
        <v/>
      </c>
      <c r="N34" s="65" t="str">
        <f>IF(AND('Mapa final'!$AC$40="Media",'Mapa final'!$AE$40="Leve"),CONCATENATE("R9C",'Mapa final'!$S$40),"")</f>
        <v/>
      </c>
      <c r="O34" s="66" t="str">
        <f>IF(AND('Mapa final'!$AC$41="Media",'Mapa final'!$AE$41="Leve"),CONCATENATE("R9C",'Mapa final'!$S$41),"")</f>
        <v/>
      </c>
      <c r="P34" s="64" t="str">
        <f>IF(AND('Mapa final'!$AC$36="Media",'Mapa final'!$AE$36="Menor"),CONCATENATE("R9C",'Mapa final'!$S$36),"")</f>
        <v/>
      </c>
      <c r="Q34" s="65" t="str">
        <f>IF(AND('Mapa final'!$AC$37="Media",'Mapa final'!$AE$37="Menor"),CONCATENATE("R9C",'Mapa final'!$S$37),"")</f>
        <v/>
      </c>
      <c r="R34" s="65" t="str">
        <f>IF(AND('Mapa final'!$AC$38="Media",'Mapa final'!$AE$38="Menor"),CONCATENATE("R9C",'Mapa final'!$S$38),"")</f>
        <v/>
      </c>
      <c r="S34" s="65" t="str">
        <f>IF(AND('Mapa final'!$AC$39="Media",'Mapa final'!$AE$39="Menor"),CONCATENATE("R9C",'Mapa final'!$S$39),"")</f>
        <v/>
      </c>
      <c r="T34" s="65" t="str">
        <f>IF(AND('Mapa final'!$AC$40="Media",'Mapa final'!$AE$40="Menor"),CONCATENATE("R9C",'Mapa final'!$S$40),"")</f>
        <v/>
      </c>
      <c r="U34" s="66" t="str">
        <f>IF(AND('Mapa final'!$AC$41="Media",'Mapa final'!$AE$41="Menor"),CONCATENATE("R9C",'Mapa final'!$S$41),"")</f>
        <v/>
      </c>
      <c r="V34" s="64" t="str">
        <f>IF(AND('Mapa final'!$AC$36="Media",'Mapa final'!$AE$36="Moderado"),CONCATENATE("R9C",'Mapa final'!$S$36),"")</f>
        <v/>
      </c>
      <c r="W34" s="65" t="str">
        <f>IF(AND('Mapa final'!$AC$37="Media",'Mapa final'!$AE$37="Moderado"),CONCATENATE("R9C",'Mapa final'!$S$37),"")</f>
        <v/>
      </c>
      <c r="X34" s="65" t="str">
        <f>IF(AND('Mapa final'!$AC$38="Media",'Mapa final'!$AE$38="Moderado"),CONCATENATE("R9C",'Mapa final'!$S$38),"")</f>
        <v/>
      </c>
      <c r="Y34" s="65" t="str">
        <f>IF(AND('Mapa final'!$AC$39="Media",'Mapa final'!$AE$39="Moderado"),CONCATENATE("R9C",'Mapa final'!$S$39),"")</f>
        <v/>
      </c>
      <c r="Z34" s="65" t="str">
        <f>IF(AND('Mapa final'!$AC$40="Media",'Mapa final'!$AE$40="Moderado"),CONCATENATE("R9C",'Mapa final'!$S$40),"")</f>
        <v/>
      </c>
      <c r="AA34" s="66" t="str">
        <f>IF(AND('Mapa final'!$AC$41="Media",'Mapa final'!$AE$41="Moderado"),CONCATENATE("R9C",'Mapa final'!$S$41),"")</f>
        <v/>
      </c>
      <c r="AB34" s="49" t="str">
        <f>IF(AND('Mapa final'!$AC$36="Media",'Mapa final'!$AE$36="Mayor"),CONCATENATE("R9C",'Mapa final'!$S$36),"")</f>
        <v/>
      </c>
      <c r="AC34" s="50" t="str">
        <f>IF(AND('Mapa final'!$AC$37="Media",'Mapa final'!$AE$37="Mayor"),CONCATENATE("R9C",'Mapa final'!$S$37),"")</f>
        <v/>
      </c>
      <c r="AD34" s="50" t="str">
        <f>IF(AND('Mapa final'!$AC$38="Media",'Mapa final'!$AE$38="Mayor"),CONCATENATE("R9C",'Mapa final'!$S$38),"")</f>
        <v/>
      </c>
      <c r="AE34" s="50" t="str">
        <f>IF(AND('Mapa final'!$AC$39="Media",'Mapa final'!$AE$39="Mayor"),CONCATENATE("R9C",'Mapa final'!$S$39),"")</f>
        <v/>
      </c>
      <c r="AF34" s="50" t="str">
        <f>IF(AND('Mapa final'!$AC$40="Media",'Mapa final'!$AE$40="Mayor"),CONCATENATE("R9C",'Mapa final'!$S$40),"")</f>
        <v/>
      </c>
      <c r="AG34" s="51" t="str">
        <f>IF(AND('Mapa final'!$AC$41="Media",'Mapa final'!$AE$41="Mayor"),CONCATENATE("R9C",'Mapa final'!$S$41),"")</f>
        <v/>
      </c>
      <c r="AH34" s="52" t="str">
        <f>IF(AND('Mapa final'!$AC$36="Media",'Mapa final'!$AE$36="Catastrófico"),CONCATENATE("R9C",'Mapa final'!$S$36),"")</f>
        <v/>
      </c>
      <c r="AI34" s="53" t="str">
        <f>IF(AND('Mapa final'!$AC$37="Media",'Mapa final'!$AE$37="Catastrófico"),CONCATENATE("R9C",'Mapa final'!$S$37),"")</f>
        <v/>
      </c>
      <c r="AJ34" s="53" t="str">
        <f>IF(AND('Mapa final'!$AC$38="Media",'Mapa final'!$AE$38="Catastrófico"),CONCATENATE("R9C",'Mapa final'!$S$38),"")</f>
        <v/>
      </c>
      <c r="AK34" s="53" t="str">
        <f>IF(AND('Mapa final'!$AC$39="Media",'Mapa final'!$AE$39="Catastrófico"),CONCATENATE("R9C",'Mapa final'!$S$39),"")</f>
        <v/>
      </c>
      <c r="AL34" s="53" t="str">
        <f>IF(AND('Mapa final'!$AC$40="Media",'Mapa final'!$AE$40="Catastrófico"),CONCATENATE("R9C",'Mapa final'!$S$40),"")</f>
        <v/>
      </c>
      <c r="AM34" s="54" t="str">
        <f>IF(AND('Mapa final'!$AC$41="Media",'Mapa final'!$AE$41="Catastrófico"),CONCATENATE("R9C",'Mapa final'!$S$41),"")</f>
        <v/>
      </c>
      <c r="AN34" s="80"/>
      <c r="AO34" s="476"/>
      <c r="AP34" s="477"/>
      <c r="AQ34" s="477"/>
      <c r="AR34" s="477"/>
      <c r="AS34" s="477"/>
      <c r="AT34" s="478"/>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48"/>
      <c r="C35" s="348"/>
      <c r="D35" s="349"/>
      <c r="E35" s="448"/>
      <c r="F35" s="449"/>
      <c r="G35" s="449"/>
      <c r="H35" s="449"/>
      <c r="I35" s="463"/>
      <c r="J35" s="64" t="str">
        <f>IF(AND('Mapa final'!$AC$42="Media",'Mapa final'!$AE$42="Leve"),CONCATENATE("R10C",'Mapa final'!$S$42),"")</f>
        <v/>
      </c>
      <c r="K35" s="65" t="str">
        <f>IF(AND('Mapa final'!$AC$43="Media",'Mapa final'!$AE$43="Leve"),CONCATENATE("R10C",'Mapa final'!$S$43),"")</f>
        <v/>
      </c>
      <c r="L35" s="65" t="str">
        <f>IF(AND('Mapa final'!$AC$44="Media",'Mapa final'!$AE$44="Leve"),CONCATENATE("R10C",'Mapa final'!$S$44),"")</f>
        <v/>
      </c>
      <c r="M35" s="65" t="str">
        <f>IF(AND('Mapa final'!$AC$45="Media",'Mapa final'!$AE$45="Leve"),CONCATENATE("R10C",'Mapa final'!$S$45),"")</f>
        <v/>
      </c>
      <c r="N35" s="65" t="str">
        <f>IF(AND('Mapa final'!$AC$46="Media",'Mapa final'!$AE$46="Leve"),CONCATENATE("R10C",'Mapa final'!$S$46),"")</f>
        <v/>
      </c>
      <c r="O35" s="66" t="str">
        <f>IF(AND('Mapa final'!$AC$47="Media",'Mapa final'!$AE$47="Leve"),CONCATENATE("R10C",'Mapa final'!$S$47),"")</f>
        <v/>
      </c>
      <c r="P35" s="64" t="str">
        <f>IF(AND('Mapa final'!$AC$42="Media",'Mapa final'!$AE$42="Menor"),CONCATENATE("R10C",'Mapa final'!$S$42),"")</f>
        <v/>
      </c>
      <c r="Q35" s="65" t="str">
        <f>IF(AND('Mapa final'!$AC$43="Media",'Mapa final'!$AE$43="Menor"),CONCATENATE("R10C",'Mapa final'!$S$43),"")</f>
        <v/>
      </c>
      <c r="R35" s="65" t="str">
        <f>IF(AND('Mapa final'!$AC$44="Media",'Mapa final'!$AE$44="Menor"),CONCATENATE("R10C",'Mapa final'!$S$44),"")</f>
        <v/>
      </c>
      <c r="S35" s="65" t="str">
        <f>IF(AND('Mapa final'!$AC$45="Media",'Mapa final'!$AE$45="Menor"),CONCATENATE("R10C",'Mapa final'!$S$45),"")</f>
        <v/>
      </c>
      <c r="T35" s="65" t="str">
        <f>IF(AND('Mapa final'!$AC$46="Media",'Mapa final'!$AE$46="Menor"),CONCATENATE("R10C",'Mapa final'!$S$46),"")</f>
        <v/>
      </c>
      <c r="U35" s="66" t="str">
        <f>IF(AND('Mapa final'!$AC$47="Media",'Mapa final'!$AE$47="Menor"),CONCATENATE("R10C",'Mapa final'!$S$47),"")</f>
        <v/>
      </c>
      <c r="V35" s="64" t="str">
        <f>IF(AND('Mapa final'!$AC$42="Media",'Mapa final'!$AE$42="Moderado"),CONCATENATE("R10C",'Mapa final'!$S$42),"")</f>
        <v/>
      </c>
      <c r="W35" s="65" t="str">
        <f>IF(AND('Mapa final'!$AC$43="Media",'Mapa final'!$AE$43="Moderado"),CONCATENATE("R10C",'Mapa final'!$S$43),"")</f>
        <v/>
      </c>
      <c r="X35" s="65" t="str">
        <f>IF(AND('Mapa final'!$AC$44="Media",'Mapa final'!$AE$44="Moderado"),CONCATENATE("R10C",'Mapa final'!$S$44),"")</f>
        <v/>
      </c>
      <c r="Y35" s="65" t="str">
        <f>IF(AND('Mapa final'!$AC$45="Media",'Mapa final'!$AE$45="Moderado"),CONCATENATE("R10C",'Mapa final'!$S$45),"")</f>
        <v/>
      </c>
      <c r="Z35" s="65" t="str">
        <f>IF(AND('Mapa final'!$AC$46="Media",'Mapa final'!$AE$46="Moderado"),CONCATENATE("R10C",'Mapa final'!$S$46),"")</f>
        <v/>
      </c>
      <c r="AA35" s="66" t="str">
        <f>IF(AND('Mapa final'!$AC$47="Media",'Mapa final'!$AE$47="Moderado"),CONCATENATE("R10C",'Mapa final'!$S$47),"")</f>
        <v/>
      </c>
      <c r="AB35" s="55" t="str">
        <f>IF(AND('Mapa final'!$AC$42="Media",'Mapa final'!$AE$42="Mayor"),CONCATENATE("R10C",'Mapa final'!$S$42),"")</f>
        <v/>
      </c>
      <c r="AC35" s="56" t="str">
        <f>IF(AND('Mapa final'!$AC$43="Media",'Mapa final'!$AE$43="Mayor"),CONCATENATE("R10C",'Mapa final'!$S$43),"")</f>
        <v/>
      </c>
      <c r="AD35" s="56" t="str">
        <f>IF(AND('Mapa final'!$AC$44="Media",'Mapa final'!$AE$44="Mayor"),CONCATENATE("R10C",'Mapa final'!$S$44),"")</f>
        <v/>
      </c>
      <c r="AE35" s="56" t="str">
        <f>IF(AND('Mapa final'!$AC$45="Media",'Mapa final'!$AE$45="Mayor"),CONCATENATE("R10C",'Mapa final'!$S$45),"")</f>
        <v/>
      </c>
      <c r="AF35" s="56" t="str">
        <f>IF(AND('Mapa final'!$AC$46="Media",'Mapa final'!$AE$46="Mayor"),CONCATENATE("R10C",'Mapa final'!$S$46),"")</f>
        <v/>
      </c>
      <c r="AG35" s="57" t="str">
        <f>IF(AND('Mapa final'!$AC$47="Media",'Mapa final'!$AE$47="Mayor"),CONCATENATE("R10C",'Mapa final'!$S$47),"")</f>
        <v/>
      </c>
      <c r="AH35" s="58" t="str">
        <f>IF(AND('Mapa final'!$AC$42="Media",'Mapa final'!$AE$42="Catastrófico"),CONCATENATE("R10C",'Mapa final'!$S$42),"")</f>
        <v/>
      </c>
      <c r="AI35" s="59" t="str">
        <f>IF(AND('Mapa final'!$AC$43="Media",'Mapa final'!$AE$43="Catastrófico"),CONCATENATE("R10C",'Mapa final'!$S$43),"")</f>
        <v/>
      </c>
      <c r="AJ35" s="59" t="str">
        <f>IF(AND('Mapa final'!$AC$44="Media",'Mapa final'!$AE$44="Catastrófico"),CONCATENATE("R10C",'Mapa final'!$S$44),"")</f>
        <v/>
      </c>
      <c r="AK35" s="59" t="str">
        <f>IF(AND('Mapa final'!$AC$45="Media",'Mapa final'!$AE$45="Catastrófico"),CONCATENATE("R10C",'Mapa final'!$S$45),"")</f>
        <v/>
      </c>
      <c r="AL35" s="59" t="str">
        <f>IF(AND('Mapa final'!$AC$46="Media",'Mapa final'!$AE$46="Catastrófico"),CONCATENATE("R10C",'Mapa final'!$S$46),"")</f>
        <v/>
      </c>
      <c r="AM35" s="60" t="str">
        <f>IF(AND('Mapa final'!$AC$47="Media",'Mapa final'!$AE$47="Catastrófico"),CONCATENATE("R10C",'Mapa final'!$S$47),"")</f>
        <v/>
      </c>
      <c r="AN35" s="80"/>
      <c r="AO35" s="479"/>
      <c r="AP35" s="480"/>
      <c r="AQ35" s="480"/>
      <c r="AR35" s="480"/>
      <c r="AS35" s="480"/>
      <c r="AT35" s="481"/>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48"/>
      <c r="C36" s="348"/>
      <c r="D36" s="349"/>
      <c r="E36" s="443" t="s">
        <v>114</v>
      </c>
      <c r="F36" s="444"/>
      <c r="G36" s="444"/>
      <c r="H36" s="444"/>
      <c r="I36" s="444"/>
      <c r="J36" s="70" t="str">
        <f>IF(AND('Mapa final'!$AC$11="Baja",'Mapa final'!$AE$11="Leve"),CONCATENATE("R1C",'Mapa final'!$S$11),"")</f>
        <v/>
      </c>
      <c r="K36" s="71" t="str">
        <f>IF(AND('Mapa final'!$AC$12="Baja",'Mapa final'!$AE$12="Leve"),CONCATENATE("R1C",'Mapa final'!$S$12),"")</f>
        <v/>
      </c>
      <c r="L36" s="71" t="e">
        <f>IF(AND('Mapa final'!#REF!="Baja",'Mapa final'!#REF!="Leve"),CONCATENATE("R1C",'Mapa final'!#REF!),"")</f>
        <v>#REF!</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final'!$AC$11="Baja",'Mapa final'!$AE$11="Menor"),CONCATENATE("R1C",'Mapa final'!$S$11),"")</f>
        <v/>
      </c>
      <c r="Q36" s="62" t="str">
        <f>IF(AND('Mapa final'!$AC$12="Baja",'Mapa final'!$AE$12="Menor"),CONCATENATE("R1C",'Mapa final'!$S$12),"")</f>
        <v/>
      </c>
      <c r="R36" s="62" t="e">
        <f>IF(AND('Mapa final'!#REF!="Baja",'Mapa final'!#REF!="Menor"),CONCATENATE("R1C",'Mapa final'!#REF!),"")</f>
        <v>#REF!</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final'!$AC$11="Baja",'Mapa final'!$AE$11="Moderado"),CONCATENATE("R1C",'Mapa final'!$S$11),"")</f>
        <v/>
      </c>
      <c r="W36" s="62" t="str">
        <f>IF(AND('Mapa final'!$AC$12="Baja",'Mapa final'!$AE$12="Moderado"),CONCATENATE("R1C",'Mapa final'!$S$12),"")</f>
        <v/>
      </c>
      <c r="X36" s="62" t="e">
        <f>IF(AND('Mapa final'!#REF!="Baja",'Mapa final'!#REF!="Moderado"),CONCATENATE("R1C",'Mapa final'!#REF!),"")</f>
        <v>#REF!</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final'!$AC$11="Baja",'Mapa final'!$AE$11="Mayor"),CONCATENATE("R1C",'Mapa final'!$S$11),"")</f>
        <v/>
      </c>
      <c r="AC36" s="44" t="str">
        <f>IF(AND('Mapa final'!$AC$12="Baja",'Mapa final'!$AE$12="Mayor"),CONCATENATE("R1C",'Mapa final'!$S$12),"")</f>
        <v/>
      </c>
      <c r="AD36" s="44" t="e">
        <f>IF(AND('Mapa final'!#REF!="Baja",'Mapa final'!#REF!="Mayor"),CONCATENATE("R1C",'Mapa final'!#REF!),"")</f>
        <v>#REF!</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final'!$AC$11="Baja",'Mapa final'!$AE$11="Catastrófico"),CONCATENATE("R1C",'Mapa final'!$S$11),"")</f>
        <v/>
      </c>
      <c r="AI36" s="47" t="str">
        <f>IF(AND('Mapa final'!$AC$12="Baja",'Mapa final'!$AE$12="Catastrófico"),CONCATENATE("R1C",'Mapa final'!$S$12),"")</f>
        <v/>
      </c>
      <c r="AJ36" s="47" t="e">
        <f>IF(AND('Mapa final'!#REF!="Baja",'Mapa final'!#REF!="Catastrófico"),CONCATENATE("R1C",'Mapa final'!#REF!),"")</f>
        <v>#REF!</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64" t="s">
        <v>82</v>
      </c>
      <c r="AP36" s="465"/>
      <c r="AQ36" s="465"/>
      <c r="AR36" s="465"/>
      <c r="AS36" s="465"/>
      <c r="AT36" s="466"/>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48"/>
      <c r="C37" s="348"/>
      <c r="D37" s="349"/>
      <c r="E37" s="445"/>
      <c r="F37" s="446"/>
      <c r="G37" s="446"/>
      <c r="H37" s="446"/>
      <c r="I37" s="446"/>
      <c r="J37" s="73" t="str">
        <f>IF(AND('Mapa final'!$AC$13="Baja",'Mapa final'!$AE$13="Leve"),CONCATENATE("R2C",'Mapa final'!$S$13),"")</f>
        <v/>
      </c>
      <c r="K37" s="74" t="str">
        <f>IF(AND('Mapa final'!$AC$14="Baja",'Mapa final'!$AE$14="Leve"),CONCATENATE("R2C",'Mapa final'!$S$14),"")</f>
        <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final'!$AC$13="Baja",'Mapa final'!$AE$13="Menor"),CONCATENATE("R2C",'Mapa final'!$S$13),"")</f>
        <v/>
      </c>
      <c r="Q37" s="65" t="str">
        <f>IF(AND('Mapa final'!$AC$14="Baja",'Mapa final'!$AE$14="Menor"),CONCATENATE("R2C",'Mapa final'!$S$14),"")</f>
        <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final'!$AC$13="Baja",'Mapa final'!$AE$13="Moderado"),CONCATENATE("R2C",'Mapa final'!$S$13),"")</f>
        <v/>
      </c>
      <c r="W37" s="65" t="str">
        <f>IF(AND('Mapa final'!$AC$14="Baja",'Mapa final'!$AE$14="Moderado"),CONCATENATE("R2C",'Mapa final'!$S$14),"")</f>
        <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final'!$AC$13="Baja",'Mapa final'!$AE$13="Mayor"),CONCATENATE("R2C",'Mapa final'!$S$13),"")</f>
        <v/>
      </c>
      <c r="AC37" s="50" t="str">
        <f>IF(AND('Mapa final'!$AC$14="Baja",'Mapa final'!$AE$14="Mayor"),CONCATENATE("R2C",'Mapa final'!$S$14),"")</f>
        <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final'!$AC$13="Baja",'Mapa final'!$AE$13="Catastrófico"),CONCATENATE("R2C",'Mapa final'!$S$13),"")</f>
        <v/>
      </c>
      <c r="AI37" s="53" t="str">
        <f>IF(AND('Mapa final'!$AC$14="Baja",'Mapa final'!$AE$14="Catastrófico"),CONCATENATE("R2C",'Mapa final'!$S$14),"")</f>
        <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67"/>
      <c r="AP37" s="468"/>
      <c r="AQ37" s="468"/>
      <c r="AR37" s="468"/>
      <c r="AS37" s="468"/>
      <c r="AT37" s="469"/>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48"/>
      <c r="C38" s="348"/>
      <c r="D38" s="349"/>
      <c r="E38" s="447"/>
      <c r="F38" s="446"/>
      <c r="G38" s="446"/>
      <c r="H38" s="446"/>
      <c r="I38" s="446"/>
      <c r="J38" s="73" t="str">
        <f>IF(AND('Mapa final'!$AC$15="Baja",'Mapa final'!$AE$15="Leve"),CONCATENATE("R3C",'Mapa final'!$S$15),"")</f>
        <v/>
      </c>
      <c r="K38" s="74" t="str">
        <f>IF(AND('Mapa final'!$AC$16="Baja",'Mapa final'!$AE$16="Leve"),CONCATENATE("R3C",'Mapa final'!$S$16),"")</f>
        <v/>
      </c>
      <c r="L38" s="74" t="e">
        <f>IF(AND('Mapa final'!#REF!="Baja",'Mapa final'!#REF!="Leve"),CONCATENATE("R3C",'Mapa final'!#REF!),"")</f>
        <v>#REF!</v>
      </c>
      <c r="M38" s="74" t="e">
        <f>IF(AND('Mapa final'!#REF!="Baja",'Mapa final'!#REF!="Leve"),CONCATENATE("R3C",'Mapa final'!#REF!),"")</f>
        <v>#REF!</v>
      </c>
      <c r="N38" s="74" t="e">
        <f>IF(AND('Mapa final'!#REF!="Baja",'Mapa final'!#REF!="Leve"),CONCATENATE("R3C",'Mapa final'!#REF!),"")</f>
        <v>#REF!</v>
      </c>
      <c r="O38" s="75" t="e">
        <f>IF(AND('Mapa final'!#REF!="Baja",'Mapa final'!#REF!="Leve"),CONCATENATE("R3C",'Mapa final'!#REF!),"")</f>
        <v>#REF!</v>
      </c>
      <c r="P38" s="64" t="str">
        <f>IF(AND('Mapa final'!$AC$15="Baja",'Mapa final'!$AE$15="Menor"),CONCATENATE("R3C",'Mapa final'!$S$15),"")</f>
        <v/>
      </c>
      <c r="Q38" s="65" t="str">
        <f>IF(AND('Mapa final'!$AC$16="Baja",'Mapa final'!$AE$16="Menor"),CONCATENATE("R3C",'Mapa final'!$S$16),"")</f>
        <v/>
      </c>
      <c r="R38" s="65" t="e">
        <f>IF(AND('Mapa final'!#REF!="Baja",'Mapa final'!#REF!="Menor"),CONCATENATE("R3C",'Mapa final'!#REF!),"")</f>
        <v>#REF!</v>
      </c>
      <c r="S38" s="65" t="e">
        <f>IF(AND('Mapa final'!#REF!="Baja",'Mapa final'!#REF!="Menor"),CONCATENATE("R3C",'Mapa final'!#REF!),"")</f>
        <v>#REF!</v>
      </c>
      <c r="T38" s="65" t="e">
        <f>IF(AND('Mapa final'!#REF!="Baja",'Mapa final'!#REF!="Menor"),CONCATENATE("R3C",'Mapa final'!#REF!),"")</f>
        <v>#REF!</v>
      </c>
      <c r="U38" s="66" t="e">
        <f>IF(AND('Mapa final'!#REF!="Baja",'Mapa final'!#REF!="Menor"),CONCATENATE("R3C",'Mapa final'!#REF!),"")</f>
        <v>#REF!</v>
      </c>
      <c r="V38" s="64" t="str">
        <f>IF(AND('Mapa final'!$AC$15="Baja",'Mapa final'!$AE$15="Moderado"),CONCATENATE("R3C",'Mapa final'!$S$15),"")</f>
        <v/>
      </c>
      <c r="W38" s="65" t="str">
        <f>IF(AND('Mapa final'!$AC$16="Baja",'Mapa final'!$AE$16="Moderado"),CONCATENATE("R3C",'Mapa final'!$S$16),"")</f>
        <v/>
      </c>
      <c r="X38" s="65" t="e">
        <f>IF(AND('Mapa final'!#REF!="Baja",'Mapa final'!#REF!="Moderado"),CONCATENATE("R3C",'Mapa final'!#REF!),"")</f>
        <v>#REF!</v>
      </c>
      <c r="Y38" s="65" t="e">
        <f>IF(AND('Mapa final'!#REF!="Baja",'Mapa final'!#REF!="Moderado"),CONCATENATE("R3C",'Mapa final'!#REF!),"")</f>
        <v>#REF!</v>
      </c>
      <c r="Z38" s="65" t="e">
        <f>IF(AND('Mapa final'!#REF!="Baja",'Mapa final'!#REF!="Moderado"),CONCATENATE("R3C",'Mapa final'!#REF!),"")</f>
        <v>#REF!</v>
      </c>
      <c r="AA38" s="66" t="e">
        <f>IF(AND('Mapa final'!#REF!="Baja",'Mapa final'!#REF!="Moderado"),CONCATENATE("R3C",'Mapa final'!#REF!),"")</f>
        <v>#REF!</v>
      </c>
      <c r="AB38" s="49" t="str">
        <f>IF(AND('Mapa final'!$AC$15="Baja",'Mapa final'!$AE$15="Mayor"),CONCATENATE("R3C",'Mapa final'!$S$15),"")</f>
        <v/>
      </c>
      <c r="AC38" s="50" t="str">
        <f>IF(AND('Mapa final'!$AC$16="Baja",'Mapa final'!$AE$16="Mayor"),CONCATENATE("R3C",'Mapa final'!$S$16),"")</f>
        <v/>
      </c>
      <c r="AD38" s="50" t="e">
        <f>IF(AND('Mapa final'!#REF!="Baja",'Mapa final'!#REF!="Mayor"),CONCATENATE("R3C",'Mapa final'!#REF!),"")</f>
        <v>#REF!</v>
      </c>
      <c r="AE38" s="50" t="e">
        <f>IF(AND('Mapa final'!#REF!="Baja",'Mapa final'!#REF!="Mayor"),CONCATENATE("R3C",'Mapa final'!#REF!),"")</f>
        <v>#REF!</v>
      </c>
      <c r="AF38" s="50" t="e">
        <f>IF(AND('Mapa final'!#REF!="Baja",'Mapa final'!#REF!="Mayor"),CONCATENATE("R3C",'Mapa final'!#REF!),"")</f>
        <v>#REF!</v>
      </c>
      <c r="AG38" s="51" t="e">
        <f>IF(AND('Mapa final'!#REF!="Baja",'Mapa final'!#REF!="Mayor"),CONCATENATE("R3C",'Mapa final'!#REF!),"")</f>
        <v>#REF!</v>
      </c>
      <c r="AH38" s="52" t="str">
        <f>IF(AND('Mapa final'!$AC$15="Baja",'Mapa final'!$AE$15="Catastrófico"),CONCATENATE("R3C",'Mapa final'!$S$15),"")</f>
        <v/>
      </c>
      <c r="AI38" s="53" t="str">
        <f>IF(AND('Mapa final'!$AC$16="Baja",'Mapa final'!$AE$16="Catastrófico"),CONCATENATE("R3C",'Mapa final'!$S$16),"")</f>
        <v/>
      </c>
      <c r="AJ38" s="53" t="e">
        <f>IF(AND('Mapa final'!#REF!="Baja",'Mapa final'!#REF!="Catastrófico"),CONCATENATE("R3C",'Mapa final'!#REF!),"")</f>
        <v>#REF!</v>
      </c>
      <c r="AK38" s="53" t="e">
        <f>IF(AND('Mapa final'!#REF!="Baja",'Mapa final'!#REF!="Catastrófico"),CONCATENATE("R3C",'Mapa final'!#REF!),"")</f>
        <v>#REF!</v>
      </c>
      <c r="AL38" s="53" t="e">
        <f>IF(AND('Mapa final'!#REF!="Baja",'Mapa final'!#REF!="Catastrófico"),CONCATENATE("R3C",'Mapa final'!#REF!),"")</f>
        <v>#REF!</v>
      </c>
      <c r="AM38" s="54" t="e">
        <f>IF(AND('Mapa final'!#REF!="Baja",'Mapa final'!#REF!="Catastrófico"),CONCATENATE("R3C",'Mapa final'!#REF!),"")</f>
        <v>#REF!</v>
      </c>
      <c r="AN38" s="80"/>
      <c r="AO38" s="467"/>
      <c r="AP38" s="468"/>
      <c r="AQ38" s="468"/>
      <c r="AR38" s="468"/>
      <c r="AS38" s="468"/>
      <c r="AT38" s="469"/>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48"/>
      <c r="C39" s="348"/>
      <c r="D39" s="349"/>
      <c r="E39" s="447"/>
      <c r="F39" s="446"/>
      <c r="G39" s="446"/>
      <c r="H39" s="446"/>
      <c r="I39" s="446"/>
      <c r="J39" s="73" t="e">
        <f>IF(AND('Mapa final'!#REF!="Baja",'Mapa final'!#REF!="Leve"),CONCATENATE("R4C",'Mapa final'!#REF!),"")</f>
        <v>#REF!</v>
      </c>
      <c r="K39" s="74" t="e">
        <f>IF(AND('Mapa final'!#REF!="Baja",'Mapa final'!#REF!="Leve"),CONCATENATE("R4C",'Mapa final'!#REF!),"")</f>
        <v>#REF!</v>
      </c>
      <c r="L39" s="74" t="e">
        <f>IF(AND('Mapa final'!#REF!="Baja",'Mapa final'!#REF!="Leve"),CONCATENATE("R4C",'Mapa final'!#REF!),"")</f>
        <v>#REF!</v>
      </c>
      <c r="M39" s="74" t="e">
        <f>IF(AND('Mapa final'!#REF!="Baja",'Mapa final'!#REF!="Leve"),CONCATENATE("R4C",'Mapa final'!#REF!),"")</f>
        <v>#REF!</v>
      </c>
      <c r="N39" s="74" t="e">
        <f>IF(AND('Mapa final'!#REF!="Baja",'Mapa final'!#REF!="Leve"),CONCATENATE("R4C",'Mapa final'!#REF!),"")</f>
        <v>#REF!</v>
      </c>
      <c r="O39" s="75" t="e">
        <f>IF(AND('Mapa final'!#REF!="Baja",'Mapa final'!#REF!="Leve"),CONCATENATE("R4C",'Mapa final'!#REF!),"")</f>
        <v>#REF!</v>
      </c>
      <c r="P39" s="64" t="e">
        <f>IF(AND('Mapa final'!#REF!="Baja",'Mapa final'!#REF!="Menor"),CONCATENATE("R4C",'Mapa final'!#REF!),"")</f>
        <v>#REF!</v>
      </c>
      <c r="Q39" s="65" t="e">
        <f>IF(AND('Mapa final'!#REF!="Baja",'Mapa final'!#REF!="Menor"),CONCATENATE("R4C",'Mapa final'!#REF!),"")</f>
        <v>#REF!</v>
      </c>
      <c r="R39" s="65" t="e">
        <f>IF(AND('Mapa final'!#REF!="Baja",'Mapa final'!#REF!="Menor"),CONCATENATE("R4C",'Mapa final'!#REF!),"")</f>
        <v>#REF!</v>
      </c>
      <c r="S39" s="65" t="e">
        <f>IF(AND('Mapa final'!#REF!="Baja",'Mapa final'!#REF!="Menor"),CONCATENATE("R4C",'Mapa final'!#REF!),"")</f>
        <v>#REF!</v>
      </c>
      <c r="T39" s="65" t="e">
        <f>IF(AND('Mapa final'!#REF!="Baja",'Mapa final'!#REF!="Menor"),CONCATENATE("R4C",'Mapa final'!#REF!),"")</f>
        <v>#REF!</v>
      </c>
      <c r="U39" s="66" t="e">
        <f>IF(AND('Mapa final'!#REF!="Baja",'Mapa final'!#REF!="Menor"),CONCATENATE("R4C",'Mapa final'!#REF!),"")</f>
        <v>#REF!</v>
      </c>
      <c r="V39" s="64" t="e">
        <f>IF(AND('Mapa final'!#REF!="Baja",'Mapa final'!#REF!="Moderado"),CONCATENATE("R4C",'Mapa final'!#REF!),"")</f>
        <v>#REF!</v>
      </c>
      <c r="W39" s="65" t="e">
        <f>IF(AND('Mapa final'!#REF!="Baja",'Mapa final'!#REF!="Moderado"),CONCATENATE("R4C",'Mapa final'!#REF!),"")</f>
        <v>#REF!</v>
      </c>
      <c r="X39" s="65" t="e">
        <f>IF(AND('Mapa final'!#REF!="Baja",'Mapa final'!#REF!="Moderado"),CONCATENATE("R4C",'Mapa final'!#REF!),"")</f>
        <v>#REF!</v>
      </c>
      <c r="Y39" s="65" t="e">
        <f>IF(AND('Mapa final'!#REF!="Baja",'Mapa final'!#REF!="Moderado"),CONCATENATE("R4C",'Mapa final'!#REF!),"")</f>
        <v>#REF!</v>
      </c>
      <c r="Z39" s="65" t="e">
        <f>IF(AND('Mapa final'!#REF!="Baja",'Mapa final'!#REF!="Moderado"),CONCATENATE("R4C",'Mapa final'!#REF!),"")</f>
        <v>#REF!</v>
      </c>
      <c r="AA39" s="66" t="e">
        <f>IF(AND('Mapa final'!#REF!="Baja",'Mapa final'!#REF!="Moderado"),CONCATENATE("R4C",'Mapa final'!#REF!),"")</f>
        <v>#REF!</v>
      </c>
      <c r="AB39" s="49" t="e">
        <f>IF(AND('Mapa final'!#REF!="Baja",'Mapa final'!#REF!="Mayor"),CONCATENATE("R4C",'Mapa final'!#REF!),"")</f>
        <v>#REF!</v>
      </c>
      <c r="AC39" s="50" t="e">
        <f>IF(AND('Mapa final'!#REF!="Baja",'Mapa final'!#REF!="Mayor"),CONCATENATE("R4C",'Mapa final'!#REF!),"")</f>
        <v>#REF!</v>
      </c>
      <c r="AD39" s="50" t="e">
        <f>IF(AND('Mapa final'!#REF!="Baja",'Mapa final'!#REF!="Mayor"),CONCATENATE("R4C",'Mapa final'!#REF!),"")</f>
        <v>#REF!</v>
      </c>
      <c r="AE39" s="50" t="e">
        <f>IF(AND('Mapa final'!#REF!="Baja",'Mapa final'!#REF!="Mayor"),CONCATENATE("R4C",'Mapa final'!#REF!),"")</f>
        <v>#REF!</v>
      </c>
      <c r="AF39" s="50" t="e">
        <f>IF(AND('Mapa final'!#REF!="Baja",'Mapa final'!#REF!="Mayor"),CONCATENATE("R4C",'Mapa final'!#REF!),"")</f>
        <v>#REF!</v>
      </c>
      <c r="AG39" s="51" t="e">
        <f>IF(AND('Mapa final'!#REF!="Baja",'Mapa final'!#REF!="Mayor"),CONCATENATE("R4C",'Mapa final'!#REF!),"")</f>
        <v>#REF!</v>
      </c>
      <c r="AH39" s="52" t="e">
        <f>IF(AND('Mapa final'!#REF!="Baja",'Mapa final'!#REF!="Catastrófico"),CONCATENATE("R4C",'Mapa final'!#REF!),"")</f>
        <v>#REF!</v>
      </c>
      <c r="AI39" s="53" t="e">
        <f>IF(AND('Mapa final'!#REF!="Baja",'Mapa final'!#REF!="Catastrófico"),CONCATENATE("R4C",'Mapa final'!#REF!),"")</f>
        <v>#REF!</v>
      </c>
      <c r="AJ39" s="53" t="e">
        <f>IF(AND('Mapa final'!#REF!="Baja",'Mapa final'!#REF!="Catastrófico"),CONCATENATE("R4C",'Mapa final'!#REF!),"")</f>
        <v>#REF!</v>
      </c>
      <c r="AK39" s="53" t="e">
        <f>IF(AND('Mapa final'!#REF!="Baja",'Mapa final'!#REF!="Catastrófico"),CONCATENATE("R4C",'Mapa final'!#REF!),"")</f>
        <v>#REF!</v>
      </c>
      <c r="AL39" s="53" t="e">
        <f>IF(AND('Mapa final'!#REF!="Baja",'Mapa final'!#REF!="Catastrófico"),CONCATENATE("R4C",'Mapa final'!#REF!),"")</f>
        <v>#REF!</v>
      </c>
      <c r="AM39" s="54" t="e">
        <f>IF(AND('Mapa final'!#REF!="Baja",'Mapa final'!#REF!="Catastrófico"),CONCATENATE("R4C",'Mapa final'!#REF!),"")</f>
        <v>#REF!</v>
      </c>
      <c r="AN39" s="80"/>
      <c r="AO39" s="467"/>
      <c r="AP39" s="468"/>
      <c r="AQ39" s="468"/>
      <c r="AR39" s="468"/>
      <c r="AS39" s="468"/>
      <c r="AT39" s="469"/>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48"/>
      <c r="C40" s="348"/>
      <c r="D40" s="349"/>
      <c r="E40" s="447"/>
      <c r="F40" s="446"/>
      <c r="G40" s="446"/>
      <c r="H40" s="446"/>
      <c r="I40" s="446"/>
      <c r="J40" s="73" t="e">
        <f>IF(AND('Mapa final'!#REF!="Baja",'Mapa final'!#REF!="Leve"),CONCATENATE("R5C",'Mapa final'!#REF!),"")</f>
        <v>#REF!</v>
      </c>
      <c r="K40" s="74" t="e">
        <f>IF(AND('Mapa final'!#REF!="Baja",'Mapa final'!#REF!="Leve"),CONCATENATE("R5C",'Mapa final'!#REF!),"")</f>
        <v>#REF!</v>
      </c>
      <c r="L40" s="74" t="e">
        <f>IF(AND('Mapa final'!#REF!="Baja",'Mapa final'!#REF!="Leve"),CONCATENATE("R5C",'Mapa final'!#REF!),"")</f>
        <v>#REF!</v>
      </c>
      <c r="M40" s="74" t="e">
        <f>IF(AND('Mapa final'!#REF!="Baja",'Mapa final'!#REF!="Leve"),CONCATENATE("R5C",'Mapa final'!#REF!),"")</f>
        <v>#REF!</v>
      </c>
      <c r="N40" s="74" t="e">
        <f>IF(AND('Mapa final'!#REF!="Baja",'Mapa final'!#REF!="Leve"),CONCATENATE("R5C",'Mapa final'!#REF!),"")</f>
        <v>#REF!</v>
      </c>
      <c r="O40" s="75" t="str">
        <f>IF(AND('Mapa final'!$AC$17="Baja",'Mapa final'!$AE$17="Leve"),CONCATENATE("R5C",'Mapa final'!$S$17),"")</f>
        <v/>
      </c>
      <c r="P40" s="64" t="e">
        <f>IF(AND('Mapa final'!#REF!="Baja",'Mapa final'!#REF!="Menor"),CONCATENATE("R5C",'Mapa final'!#REF!),"")</f>
        <v>#REF!</v>
      </c>
      <c r="Q40" s="65" t="e">
        <f>IF(AND('Mapa final'!#REF!="Baja",'Mapa final'!#REF!="Menor"),CONCATENATE("R5C",'Mapa final'!#REF!),"")</f>
        <v>#REF!</v>
      </c>
      <c r="R40" s="65" t="e">
        <f>IF(AND('Mapa final'!#REF!="Baja",'Mapa final'!#REF!="Menor"),CONCATENATE("R5C",'Mapa final'!#REF!),"")</f>
        <v>#REF!</v>
      </c>
      <c r="S40" s="65" t="e">
        <f>IF(AND('Mapa final'!#REF!="Baja",'Mapa final'!#REF!="Menor"),CONCATENATE("R5C",'Mapa final'!#REF!),"")</f>
        <v>#REF!</v>
      </c>
      <c r="T40" s="65" t="e">
        <f>IF(AND('Mapa final'!#REF!="Baja",'Mapa final'!#REF!="Menor"),CONCATENATE("R5C",'Mapa final'!#REF!),"")</f>
        <v>#REF!</v>
      </c>
      <c r="U40" s="66" t="str">
        <f>IF(AND('Mapa final'!$AC$17="Baja",'Mapa final'!$AE$17="Menor"),CONCATENATE("R5C",'Mapa final'!$S$17),"")</f>
        <v/>
      </c>
      <c r="V40" s="64" t="e">
        <f>IF(AND('Mapa final'!#REF!="Baja",'Mapa final'!#REF!="Moderado"),CONCATENATE("R5C",'Mapa final'!#REF!),"")</f>
        <v>#REF!</v>
      </c>
      <c r="W40" s="65" t="e">
        <f>IF(AND('Mapa final'!#REF!="Baja",'Mapa final'!#REF!="Moderado"),CONCATENATE("R5C",'Mapa final'!#REF!),"")</f>
        <v>#REF!</v>
      </c>
      <c r="X40" s="65" t="e">
        <f>IF(AND('Mapa final'!#REF!="Baja",'Mapa final'!#REF!="Moderado"),CONCATENATE("R5C",'Mapa final'!#REF!),"")</f>
        <v>#REF!</v>
      </c>
      <c r="Y40" s="65" t="e">
        <f>IF(AND('Mapa final'!#REF!="Baja",'Mapa final'!#REF!="Moderado"),CONCATENATE("R5C",'Mapa final'!#REF!),"")</f>
        <v>#REF!</v>
      </c>
      <c r="Z40" s="65" t="e">
        <f>IF(AND('Mapa final'!#REF!="Baja",'Mapa final'!#REF!="Moderado"),CONCATENATE("R5C",'Mapa final'!#REF!),"")</f>
        <v>#REF!</v>
      </c>
      <c r="AA40" s="66" t="str">
        <f>IF(AND('Mapa final'!$AC$17="Baja",'Mapa final'!$AE$17="Moderado"),CONCATENATE("R5C",'Mapa final'!$S$17),"")</f>
        <v/>
      </c>
      <c r="AB40" s="49" t="e">
        <f>IF(AND('Mapa final'!#REF!="Baja",'Mapa final'!#REF!="Mayor"),CONCATENATE("R5C",'Mapa final'!#REF!),"")</f>
        <v>#REF!</v>
      </c>
      <c r="AC40" s="50" t="e">
        <f>IF(AND('Mapa final'!#REF!="Baja",'Mapa final'!#REF!="Mayor"),CONCATENATE("R5C",'Mapa final'!#REF!),"")</f>
        <v>#REF!</v>
      </c>
      <c r="AD40" s="50" t="e">
        <f>IF(AND('Mapa final'!#REF!="Baja",'Mapa final'!#REF!="Mayor"),CONCATENATE("R5C",'Mapa final'!#REF!),"")</f>
        <v>#REF!</v>
      </c>
      <c r="AE40" s="50" t="e">
        <f>IF(AND('Mapa final'!#REF!="Baja",'Mapa final'!#REF!="Mayor"),CONCATENATE("R5C",'Mapa final'!#REF!),"")</f>
        <v>#REF!</v>
      </c>
      <c r="AF40" s="50" t="e">
        <f>IF(AND('Mapa final'!#REF!="Baja",'Mapa final'!#REF!="Mayor"),CONCATENATE("R5C",'Mapa final'!#REF!),"")</f>
        <v>#REF!</v>
      </c>
      <c r="AG40" s="51" t="str">
        <f>IF(AND('Mapa final'!$AC$17="Baja",'Mapa final'!$AE$17="Mayor"),CONCATENATE("R5C",'Mapa final'!$S$17),"")</f>
        <v/>
      </c>
      <c r="AH40" s="52" t="e">
        <f>IF(AND('Mapa final'!#REF!="Baja",'Mapa final'!#REF!="Catastrófico"),CONCATENATE("R5C",'Mapa final'!#REF!),"")</f>
        <v>#REF!</v>
      </c>
      <c r="AI40" s="53" t="e">
        <f>IF(AND('Mapa final'!#REF!="Baja",'Mapa final'!#REF!="Catastrófico"),CONCATENATE("R5C",'Mapa final'!#REF!),"")</f>
        <v>#REF!</v>
      </c>
      <c r="AJ40" s="53" t="e">
        <f>IF(AND('Mapa final'!#REF!="Baja",'Mapa final'!#REF!="Catastrófico"),CONCATENATE("R5C",'Mapa final'!#REF!),"")</f>
        <v>#REF!</v>
      </c>
      <c r="AK40" s="53" t="e">
        <f>IF(AND('Mapa final'!#REF!="Baja",'Mapa final'!#REF!="Catastrófico"),CONCATENATE("R5C",'Mapa final'!#REF!),"")</f>
        <v>#REF!</v>
      </c>
      <c r="AL40" s="53" t="e">
        <f>IF(AND('Mapa final'!#REF!="Baja",'Mapa final'!#REF!="Catastrófico"),CONCATENATE("R5C",'Mapa final'!#REF!),"")</f>
        <v>#REF!</v>
      </c>
      <c r="AM40" s="54" t="str">
        <f>IF(AND('Mapa final'!$AC$17="Baja",'Mapa final'!$AE$17="Catastrófico"),CONCATENATE("R5C",'Mapa final'!$S$17),"")</f>
        <v/>
      </c>
      <c r="AN40" s="80"/>
      <c r="AO40" s="467"/>
      <c r="AP40" s="468"/>
      <c r="AQ40" s="468"/>
      <c r="AR40" s="468"/>
      <c r="AS40" s="468"/>
      <c r="AT40" s="469"/>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48"/>
      <c r="C41" s="348"/>
      <c r="D41" s="349"/>
      <c r="E41" s="447"/>
      <c r="F41" s="446"/>
      <c r="G41" s="446"/>
      <c r="H41" s="446"/>
      <c r="I41" s="446"/>
      <c r="J41" s="73" t="str">
        <f>IF(AND('Mapa final'!$AC$18="Baja",'Mapa final'!$AE$18="Leve"),CONCATENATE("R6C",'Mapa final'!$S$18),"")</f>
        <v/>
      </c>
      <c r="K41" s="74" t="str">
        <f>IF(AND('Mapa final'!$AC$19="Baja",'Mapa final'!$AE$19="Leve"),CONCATENATE("R6C",'Mapa final'!$S$19),"")</f>
        <v/>
      </c>
      <c r="L41" s="74" t="str">
        <f>IF(AND('Mapa final'!$AC$20="Baja",'Mapa final'!$AE$20="Leve"),CONCATENATE("R6C",'Mapa final'!$S$20),"")</f>
        <v/>
      </c>
      <c r="M41" s="74" t="str">
        <f>IF(AND('Mapa final'!$AC$21="Baja",'Mapa final'!$AE$21="Leve"),CONCATENATE("R6C",'Mapa final'!$S$21),"")</f>
        <v/>
      </c>
      <c r="N41" s="74" t="str">
        <f>IF(AND('Mapa final'!$AC$22="Baja",'Mapa final'!$AE$22="Leve"),CONCATENATE("R6C",'Mapa final'!$S$22),"")</f>
        <v/>
      </c>
      <c r="O41" s="75" t="str">
        <f>IF(AND('Mapa final'!$AC$23="Baja",'Mapa final'!$AE$23="Leve"),CONCATENATE("R6C",'Mapa final'!$S$23),"")</f>
        <v/>
      </c>
      <c r="P41" s="64" t="str">
        <f>IF(AND('Mapa final'!$AC$18="Baja",'Mapa final'!$AE$18="Menor"),CONCATENATE("R6C",'Mapa final'!$S$18),"")</f>
        <v/>
      </c>
      <c r="Q41" s="65" t="str">
        <f>IF(AND('Mapa final'!$AC$19="Baja",'Mapa final'!$AE$19="Menor"),CONCATENATE("R6C",'Mapa final'!$S$19),"")</f>
        <v/>
      </c>
      <c r="R41" s="65" t="str">
        <f>IF(AND('Mapa final'!$AC$20="Baja",'Mapa final'!$AE$20="Menor"),CONCATENATE("R6C",'Mapa final'!$S$20),"")</f>
        <v/>
      </c>
      <c r="S41" s="65" t="str">
        <f>IF(AND('Mapa final'!$AC$21="Baja",'Mapa final'!$AE$21="Menor"),CONCATENATE("R6C",'Mapa final'!$S$21),"")</f>
        <v/>
      </c>
      <c r="T41" s="65" t="str">
        <f>IF(AND('Mapa final'!$AC$22="Baja",'Mapa final'!$AE$22="Menor"),CONCATENATE("R6C",'Mapa final'!$S$22),"")</f>
        <v/>
      </c>
      <c r="U41" s="66" t="str">
        <f>IF(AND('Mapa final'!$AC$23="Baja",'Mapa final'!$AE$23="Menor"),CONCATENATE("R6C",'Mapa final'!$S$23),"")</f>
        <v/>
      </c>
      <c r="V41" s="64" t="str">
        <f>IF(AND('Mapa final'!$AC$18="Baja",'Mapa final'!$AE$18="Moderado"),CONCATENATE("R6C",'Mapa final'!$S$18),"")</f>
        <v/>
      </c>
      <c r="W41" s="65" t="str">
        <f>IF(AND('Mapa final'!$AC$19="Baja",'Mapa final'!$AE$19="Moderado"),CONCATENATE("R6C",'Mapa final'!$S$19),"")</f>
        <v/>
      </c>
      <c r="X41" s="65" t="str">
        <f>IF(AND('Mapa final'!$AC$20="Baja",'Mapa final'!$AE$20="Moderado"),CONCATENATE("R6C",'Mapa final'!$S$20),"")</f>
        <v/>
      </c>
      <c r="Y41" s="65" t="str">
        <f>IF(AND('Mapa final'!$AC$21="Baja",'Mapa final'!$AE$21="Moderado"),CONCATENATE("R6C",'Mapa final'!$S$21),"")</f>
        <v/>
      </c>
      <c r="Z41" s="65" t="str">
        <f>IF(AND('Mapa final'!$AC$22="Baja",'Mapa final'!$AE$22="Moderado"),CONCATENATE("R6C",'Mapa final'!$S$22),"")</f>
        <v/>
      </c>
      <c r="AA41" s="66" t="str">
        <f>IF(AND('Mapa final'!$AC$23="Baja",'Mapa final'!$AE$23="Moderado"),CONCATENATE("R6C",'Mapa final'!$S$23),"")</f>
        <v/>
      </c>
      <c r="AB41" s="49" t="str">
        <f>IF(AND('Mapa final'!$AC$18="Baja",'Mapa final'!$AE$18="Mayor"),CONCATENATE("R6C",'Mapa final'!$S$18),"")</f>
        <v/>
      </c>
      <c r="AC41" s="50" t="str">
        <f>IF(AND('Mapa final'!$AC$19="Baja",'Mapa final'!$AE$19="Mayor"),CONCATENATE("R6C",'Mapa final'!$S$19),"")</f>
        <v/>
      </c>
      <c r="AD41" s="50" t="str">
        <f>IF(AND('Mapa final'!$AC$20="Baja",'Mapa final'!$AE$20="Mayor"),CONCATENATE("R6C",'Mapa final'!$S$20),"")</f>
        <v/>
      </c>
      <c r="AE41" s="50" t="str">
        <f>IF(AND('Mapa final'!$AC$21="Baja",'Mapa final'!$AE$21="Mayor"),CONCATENATE("R6C",'Mapa final'!$S$21),"")</f>
        <v/>
      </c>
      <c r="AF41" s="50" t="str">
        <f>IF(AND('Mapa final'!$AC$22="Baja",'Mapa final'!$AE$22="Mayor"),CONCATENATE("R6C",'Mapa final'!$S$22),"")</f>
        <v/>
      </c>
      <c r="AG41" s="51" t="str">
        <f>IF(AND('Mapa final'!$AC$23="Baja",'Mapa final'!$AE$23="Mayor"),CONCATENATE("R6C",'Mapa final'!$S$23),"")</f>
        <v/>
      </c>
      <c r="AH41" s="52" t="str">
        <f>IF(AND('Mapa final'!$AC$18="Baja",'Mapa final'!$AE$18="Catastrófico"),CONCATENATE("R6C",'Mapa final'!$S$18),"")</f>
        <v/>
      </c>
      <c r="AI41" s="53" t="str">
        <f>IF(AND('Mapa final'!$AC$19="Baja",'Mapa final'!$AE$19="Catastrófico"),CONCATENATE("R6C",'Mapa final'!$S$19),"")</f>
        <v/>
      </c>
      <c r="AJ41" s="53" t="str">
        <f>IF(AND('Mapa final'!$AC$20="Baja",'Mapa final'!$AE$20="Catastrófico"),CONCATENATE("R6C",'Mapa final'!$S$20),"")</f>
        <v/>
      </c>
      <c r="AK41" s="53" t="str">
        <f>IF(AND('Mapa final'!$AC$21="Baja",'Mapa final'!$AE$21="Catastrófico"),CONCATENATE("R6C",'Mapa final'!$S$21),"")</f>
        <v/>
      </c>
      <c r="AL41" s="53" t="str">
        <f>IF(AND('Mapa final'!$AC$22="Baja",'Mapa final'!$AE$22="Catastrófico"),CONCATENATE("R6C",'Mapa final'!$S$22),"")</f>
        <v/>
      </c>
      <c r="AM41" s="54" t="str">
        <f>IF(AND('Mapa final'!$AC$23="Baja",'Mapa final'!$AE$23="Catastrófico"),CONCATENATE("R6C",'Mapa final'!$S$23),"")</f>
        <v/>
      </c>
      <c r="AN41" s="80"/>
      <c r="AO41" s="467"/>
      <c r="AP41" s="468"/>
      <c r="AQ41" s="468"/>
      <c r="AR41" s="468"/>
      <c r="AS41" s="468"/>
      <c r="AT41" s="469"/>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48"/>
      <c r="C42" s="348"/>
      <c r="D42" s="349"/>
      <c r="E42" s="447"/>
      <c r="F42" s="446"/>
      <c r="G42" s="446"/>
      <c r="H42" s="446"/>
      <c r="I42" s="446"/>
      <c r="J42" s="73" t="str">
        <f>IF(AND('Mapa final'!$AC$24="Baja",'Mapa final'!$AE$24="Leve"),CONCATENATE("R7C",'Mapa final'!$S$24),"")</f>
        <v/>
      </c>
      <c r="K42" s="74" t="str">
        <f>IF(AND('Mapa final'!$AC$25="Baja",'Mapa final'!$AE$25="Leve"),CONCATENATE("R7C",'Mapa final'!$S$25),"")</f>
        <v/>
      </c>
      <c r="L42" s="74" t="str">
        <f>IF(AND('Mapa final'!$AC$26="Baja",'Mapa final'!$AE$26="Leve"),CONCATENATE("R7C",'Mapa final'!$S$26),"")</f>
        <v/>
      </c>
      <c r="M42" s="74" t="str">
        <f>IF(AND('Mapa final'!$AC$27="Baja",'Mapa final'!$AE$27="Leve"),CONCATENATE("R7C",'Mapa final'!$S$27),"")</f>
        <v/>
      </c>
      <c r="N42" s="74" t="str">
        <f>IF(AND('Mapa final'!$AC$28="Baja",'Mapa final'!$AE$28="Leve"),CONCATENATE("R7C",'Mapa final'!$S$28),"")</f>
        <v/>
      </c>
      <c r="O42" s="75" t="str">
        <f>IF(AND('Mapa final'!$AC$29="Baja",'Mapa final'!$AE$29="Leve"),CONCATENATE("R7C",'Mapa final'!$S$29),"")</f>
        <v/>
      </c>
      <c r="P42" s="64" t="str">
        <f>IF(AND('Mapa final'!$AC$24="Baja",'Mapa final'!$AE$24="Menor"),CONCATENATE("R7C",'Mapa final'!$S$24),"")</f>
        <v/>
      </c>
      <c r="Q42" s="65" t="str">
        <f>IF(AND('Mapa final'!$AC$25="Baja",'Mapa final'!$AE$25="Menor"),CONCATENATE("R7C",'Mapa final'!$S$25),"")</f>
        <v/>
      </c>
      <c r="R42" s="65" t="str">
        <f>IF(AND('Mapa final'!$AC$26="Baja",'Mapa final'!$AE$26="Menor"),CONCATENATE("R7C",'Mapa final'!$S$26),"")</f>
        <v/>
      </c>
      <c r="S42" s="65" t="str">
        <f>IF(AND('Mapa final'!$AC$27="Baja",'Mapa final'!$AE$27="Menor"),CONCATENATE("R7C",'Mapa final'!$S$27),"")</f>
        <v/>
      </c>
      <c r="T42" s="65" t="str">
        <f>IF(AND('Mapa final'!$AC$28="Baja",'Mapa final'!$AE$28="Menor"),CONCATENATE("R7C",'Mapa final'!$S$28),"")</f>
        <v/>
      </c>
      <c r="U42" s="66" t="str">
        <f>IF(AND('Mapa final'!$AC$29="Baja",'Mapa final'!$AE$29="Menor"),CONCATENATE("R7C",'Mapa final'!$S$29),"")</f>
        <v/>
      </c>
      <c r="V42" s="64" t="str">
        <f>IF(AND('Mapa final'!$AC$24="Baja",'Mapa final'!$AE$24="Moderado"),CONCATENATE("R7C",'Mapa final'!$S$24),"")</f>
        <v/>
      </c>
      <c r="W42" s="65" t="str">
        <f>IF(AND('Mapa final'!$AC$25="Baja",'Mapa final'!$AE$25="Moderado"),CONCATENATE("R7C",'Mapa final'!$S$25),"")</f>
        <v/>
      </c>
      <c r="X42" s="65" t="str">
        <f>IF(AND('Mapa final'!$AC$26="Baja",'Mapa final'!$AE$26="Moderado"),CONCATENATE("R7C",'Mapa final'!$S$26),"")</f>
        <v/>
      </c>
      <c r="Y42" s="65" t="str">
        <f>IF(AND('Mapa final'!$AC$27="Baja",'Mapa final'!$AE$27="Moderado"),CONCATENATE("R7C",'Mapa final'!$S$27),"")</f>
        <v/>
      </c>
      <c r="Z42" s="65" t="str">
        <f>IF(AND('Mapa final'!$AC$28="Baja",'Mapa final'!$AE$28="Moderado"),CONCATENATE("R7C",'Mapa final'!$S$28),"")</f>
        <v/>
      </c>
      <c r="AA42" s="66" t="str">
        <f>IF(AND('Mapa final'!$AC$29="Baja",'Mapa final'!$AE$29="Moderado"),CONCATENATE("R7C",'Mapa final'!$S$29),"")</f>
        <v/>
      </c>
      <c r="AB42" s="49" t="str">
        <f>IF(AND('Mapa final'!$AC$24="Baja",'Mapa final'!$AE$24="Mayor"),CONCATENATE("R7C",'Mapa final'!$S$24),"")</f>
        <v/>
      </c>
      <c r="AC42" s="50" t="str">
        <f>IF(AND('Mapa final'!$AC$25="Baja",'Mapa final'!$AE$25="Mayor"),CONCATENATE("R7C",'Mapa final'!$S$25),"")</f>
        <v/>
      </c>
      <c r="AD42" s="50" t="str">
        <f>IF(AND('Mapa final'!$AC$26="Baja",'Mapa final'!$AE$26="Mayor"),CONCATENATE("R7C",'Mapa final'!$S$26),"")</f>
        <v/>
      </c>
      <c r="AE42" s="50" t="str">
        <f>IF(AND('Mapa final'!$AC$27="Baja",'Mapa final'!$AE$27="Mayor"),CONCATENATE("R7C",'Mapa final'!$S$27),"")</f>
        <v/>
      </c>
      <c r="AF42" s="50" t="str">
        <f>IF(AND('Mapa final'!$AC$28="Baja",'Mapa final'!$AE$28="Mayor"),CONCATENATE("R7C",'Mapa final'!$S$28),"")</f>
        <v/>
      </c>
      <c r="AG42" s="51" t="str">
        <f>IF(AND('Mapa final'!$AC$29="Baja",'Mapa final'!$AE$29="Mayor"),CONCATENATE("R7C",'Mapa final'!$S$29),"")</f>
        <v/>
      </c>
      <c r="AH42" s="52" t="str">
        <f>IF(AND('Mapa final'!$AC$24="Baja",'Mapa final'!$AE$24="Catastrófico"),CONCATENATE("R7C",'Mapa final'!$S$24),"")</f>
        <v/>
      </c>
      <c r="AI42" s="53" t="str">
        <f>IF(AND('Mapa final'!$AC$25="Baja",'Mapa final'!$AE$25="Catastrófico"),CONCATENATE("R7C",'Mapa final'!$S$25),"")</f>
        <v/>
      </c>
      <c r="AJ42" s="53" t="str">
        <f>IF(AND('Mapa final'!$AC$26="Baja",'Mapa final'!$AE$26="Catastrófico"),CONCATENATE("R7C",'Mapa final'!$S$26),"")</f>
        <v/>
      </c>
      <c r="AK42" s="53" t="str">
        <f>IF(AND('Mapa final'!$AC$27="Baja",'Mapa final'!$AE$27="Catastrófico"),CONCATENATE("R7C",'Mapa final'!$S$27),"")</f>
        <v/>
      </c>
      <c r="AL42" s="53" t="str">
        <f>IF(AND('Mapa final'!$AC$28="Baja",'Mapa final'!$AE$28="Catastrófico"),CONCATENATE("R7C",'Mapa final'!$S$28),"")</f>
        <v/>
      </c>
      <c r="AM42" s="54" t="str">
        <f>IF(AND('Mapa final'!$AC$29="Baja",'Mapa final'!$AE$29="Catastrófico"),CONCATENATE("R7C",'Mapa final'!$S$29),"")</f>
        <v/>
      </c>
      <c r="AN42" s="80"/>
      <c r="AO42" s="467"/>
      <c r="AP42" s="468"/>
      <c r="AQ42" s="468"/>
      <c r="AR42" s="468"/>
      <c r="AS42" s="468"/>
      <c r="AT42" s="469"/>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48"/>
      <c r="C43" s="348"/>
      <c r="D43" s="349"/>
      <c r="E43" s="447"/>
      <c r="F43" s="446"/>
      <c r="G43" s="446"/>
      <c r="H43" s="446"/>
      <c r="I43" s="446"/>
      <c r="J43" s="73" t="str">
        <f>IF(AND('Mapa final'!$AC$30="Baja",'Mapa final'!$AE$30="Leve"),CONCATENATE("R8C",'Mapa final'!$S$30),"")</f>
        <v/>
      </c>
      <c r="K43" s="74" t="str">
        <f>IF(AND('Mapa final'!$AC$31="Baja",'Mapa final'!$AE$31="Leve"),CONCATENATE("R8C",'Mapa final'!$S$31),"")</f>
        <v/>
      </c>
      <c r="L43" s="74" t="str">
        <f>IF(AND('Mapa final'!$AC$32="Baja",'Mapa final'!$AE$32="Leve"),CONCATENATE("R8C",'Mapa final'!$S$32),"")</f>
        <v/>
      </c>
      <c r="M43" s="74" t="str">
        <f>IF(AND('Mapa final'!$AC$33="Baja",'Mapa final'!$AE$33="Leve"),CONCATENATE("R8C",'Mapa final'!$S$33),"")</f>
        <v/>
      </c>
      <c r="N43" s="74" t="str">
        <f>IF(AND('Mapa final'!$AC$34="Baja",'Mapa final'!$AE$34="Leve"),CONCATENATE("R8C",'Mapa final'!$S$34),"")</f>
        <v/>
      </c>
      <c r="O43" s="75" t="str">
        <f>IF(AND('Mapa final'!$AC$35="Baja",'Mapa final'!$AE$35="Leve"),CONCATENATE("R8C",'Mapa final'!$S$35),"")</f>
        <v/>
      </c>
      <c r="P43" s="64" t="str">
        <f>IF(AND('Mapa final'!$AC$30="Baja",'Mapa final'!$AE$30="Menor"),CONCATENATE("R8C",'Mapa final'!$S$30),"")</f>
        <v/>
      </c>
      <c r="Q43" s="65" t="str">
        <f>IF(AND('Mapa final'!$AC$31="Baja",'Mapa final'!$AE$31="Menor"),CONCATENATE("R8C",'Mapa final'!$S$31),"")</f>
        <v/>
      </c>
      <c r="R43" s="65" t="str">
        <f>IF(AND('Mapa final'!$AC$32="Baja",'Mapa final'!$AE$32="Menor"),CONCATENATE("R8C",'Mapa final'!$S$32),"")</f>
        <v/>
      </c>
      <c r="S43" s="65" t="str">
        <f>IF(AND('Mapa final'!$AC$33="Baja",'Mapa final'!$AE$33="Menor"),CONCATENATE("R8C",'Mapa final'!$S$33),"")</f>
        <v/>
      </c>
      <c r="T43" s="65" t="str">
        <f>IF(AND('Mapa final'!$AC$34="Baja",'Mapa final'!$AE$34="Menor"),CONCATENATE("R8C",'Mapa final'!$S$34),"")</f>
        <v/>
      </c>
      <c r="U43" s="66" t="str">
        <f>IF(AND('Mapa final'!$AC$35="Baja",'Mapa final'!$AE$35="Menor"),CONCATENATE("R8C",'Mapa final'!$S$35),"")</f>
        <v/>
      </c>
      <c r="V43" s="64" t="str">
        <f>IF(AND('Mapa final'!$AC$30="Baja",'Mapa final'!$AE$30="Moderado"),CONCATENATE("R8C",'Mapa final'!$S$30),"")</f>
        <v/>
      </c>
      <c r="W43" s="65" t="str">
        <f>IF(AND('Mapa final'!$AC$31="Baja",'Mapa final'!$AE$31="Moderado"),CONCATENATE("R8C",'Mapa final'!$S$31),"")</f>
        <v/>
      </c>
      <c r="X43" s="65" t="str">
        <f>IF(AND('Mapa final'!$AC$32="Baja",'Mapa final'!$AE$32="Moderado"),CONCATENATE("R8C",'Mapa final'!$S$32),"")</f>
        <v/>
      </c>
      <c r="Y43" s="65" t="str">
        <f>IF(AND('Mapa final'!$AC$33="Baja",'Mapa final'!$AE$33="Moderado"),CONCATENATE("R8C",'Mapa final'!$S$33),"")</f>
        <v/>
      </c>
      <c r="Z43" s="65" t="str">
        <f>IF(AND('Mapa final'!$AC$34="Baja",'Mapa final'!$AE$34="Moderado"),CONCATENATE("R8C",'Mapa final'!$S$34),"")</f>
        <v/>
      </c>
      <c r="AA43" s="66" t="str">
        <f>IF(AND('Mapa final'!$AC$35="Baja",'Mapa final'!$AE$35="Moderado"),CONCATENATE("R8C",'Mapa final'!$S$35),"")</f>
        <v/>
      </c>
      <c r="AB43" s="49" t="str">
        <f>IF(AND('Mapa final'!$AC$30="Baja",'Mapa final'!$AE$30="Mayor"),CONCATENATE("R8C",'Mapa final'!$S$30),"")</f>
        <v/>
      </c>
      <c r="AC43" s="50" t="str">
        <f>IF(AND('Mapa final'!$AC$31="Baja",'Mapa final'!$AE$31="Mayor"),CONCATENATE("R8C",'Mapa final'!$S$31),"")</f>
        <v/>
      </c>
      <c r="AD43" s="50" t="str">
        <f>IF(AND('Mapa final'!$AC$32="Baja",'Mapa final'!$AE$32="Mayor"),CONCATENATE("R8C",'Mapa final'!$S$32),"")</f>
        <v/>
      </c>
      <c r="AE43" s="50" t="str">
        <f>IF(AND('Mapa final'!$AC$33="Baja",'Mapa final'!$AE$33="Mayor"),CONCATENATE("R8C",'Mapa final'!$S$33),"")</f>
        <v/>
      </c>
      <c r="AF43" s="50" t="str">
        <f>IF(AND('Mapa final'!$AC$34="Baja",'Mapa final'!$AE$34="Mayor"),CONCATENATE("R8C",'Mapa final'!$S$34),"")</f>
        <v/>
      </c>
      <c r="AG43" s="51" t="str">
        <f>IF(AND('Mapa final'!$AC$35="Baja",'Mapa final'!$AE$35="Mayor"),CONCATENATE("R8C",'Mapa final'!$S$35),"")</f>
        <v/>
      </c>
      <c r="AH43" s="52" t="str">
        <f>IF(AND('Mapa final'!$AC$30="Baja",'Mapa final'!$AE$30="Catastrófico"),CONCATENATE("R8C",'Mapa final'!$S$30),"")</f>
        <v/>
      </c>
      <c r="AI43" s="53" t="str">
        <f>IF(AND('Mapa final'!$AC$31="Baja",'Mapa final'!$AE$31="Catastrófico"),CONCATENATE("R8C",'Mapa final'!$S$31),"")</f>
        <v/>
      </c>
      <c r="AJ43" s="53" t="str">
        <f>IF(AND('Mapa final'!$AC$32="Baja",'Mapa final'!$AE$32="Catastrófico"),CONCATENATE("R8C",'Mapa final'!$S$32),"")</f>
        <v/>
      </c>
      <c r="AK43" s="53" t="str">
        <f>IF(AND('Mapa final'!$AC$33="Baja",'Mapa final'!$AE$33="Catastrófico"),CONCATENATE("R8C",'Mapa final'!$S$33),"")</f>
        <v/>
      </c>
      <c r="AL43" s="53" t="str">
        <f>IF(AND('Mapa final'!$AC$34="Baja",'Mapa final'!$AE$34="Catastrófico"),CONCATENATE("R8C",'Mapa final'!$S$34),"")</f>
        <v/>
      </c>
      <c r="AM43" s="54" t="str">
        <f>IF(AND('Mapa final'!$AC$35="Baja",'Mapa final'!$AE$35="Catastrófico"),CONCATENATE("R8C",'Mapa final'!$S$35),"")</f>
        <v/>
      </c>
      <c r="AN43" s="80"/>
      <c r="AO43" s="467"/>
      <c r="AP43" s="468"/>
      <c r="AQ43" s="468"/>
      <c r="AR43" s="468"/>
      <c r="AS43" s="468"/>
      <c r="AT43" s="469"/>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48"/>
      <c r="C44" s="348"/>
      <c r="D44" s="349"/>
      <c r="E44" s="447"/>
      <c r="F44" s="446"/>
      <c r="G44" s="446"/>
      <c r="H44" s="446"/>
      <c r="I44" s="446"/>
      <c r="J44" s="73" t="str">
        <f>IF(AND('Mapa final'!$AC$36="Baja",'Mapa final'!$AE$36="Leve"),CONCATENATE("R9C",'Mapa final'!$S$36),"")</f>
        <v/>
      </c>
      <c r="K44" s="74" t="str">
        <f>IF(AND('Mapa final'!$AC$37="Baja",'Mapa final'!$AE$37="Leve"),CONCATENATE("R9C",'Mapa final'!$S$37),"")</f>
        <v/>
      </c>
      <c r="L44" s="74" t="str">
        <f>IF(AND('Mapa final'!$AC$38="Baja",'Mapa final'!$AE$38="Leve"),CONCATENATE("R9C",'Mapa final'!$S$38),"")</f>
        <v/>
      </c>
      <c r="M44" s="74" t="str">
        <f>IF(AND('Mapa final'!$AC$39="Baja",'Mapa final'!$AE$39="Leve"),CONCATENATE("R9C",'Mapa final'!$S$39),"")</f>
        <v/>
      </c>
      <c r="N44" s="74" t="str">
        <f>IF(AND('Mapa final'!$AC$40="Baja",'Mapa final'!$AE$40="Leve"),CONCATENATE("R9C",'Mapa final'!$S$40),"")</f>
        <v/>
      </c>
      <c r="O44" s="75" t="str">
        <f>IF(AND('Mapa final'!$AC$41="Baja",'Mapa final'!$AE$41="Leve"),CONCATENATE("R9C",'Mapa final'!$S$41),"")</f>
        <v/>
      </c>
      <c r="P44" s="64" t="str">
        <f>IF(AND('Mapa final'!$AC$36="Baja",'Mapa final'!$AE$36="Menor"),CONCATENATE("R9C",'Mapa final'!$S$36),"")</f>
        <v/>
      </c>
      <c r="Q44" s="65" t="str">
        <f>IF(AND('Mapa final'!$AC$37="Baja",'Mapa final'!$AE$37="Menor"),CONCATENATE("R9C",'Mapa final'!$S$37),"")</f>
        <v/>
      </c>
      <c r="R44" s="65" t="str">
        <f>IF(AND('Mapa final'!$AC$38="Baja",'Mapa final'!$AE$38="Menor"),CONCATENATE("R9C",'Mapa final'!$S$38),"")</f>
        <v/>
      </c>
      <c r="S44" s="65" t="str">
        <f>IF(AND('Mapa final'!$AC$39="Baja",'Mapa final'!$AE$39="Menor"),CONCATENATE("R9C",'Mapa final'!$S$39),"")</f>
        <v/>
      </c>
      <c r="T44" s="65" t="str">
        <f>IF(AND('Mapa final'!$AC$40="Baja",'Mapa final'!$AE$40="Menor"),CONCATENATE("R9C",'Mapa final'!$S$40),"")</f>
        <v/>
      </c>
      <c r="U44" s="66" t="str">
        <f>IF(AND('Mapa final'!$AC$41="Baja",'Mapa final'!$AE$41="Menor"),CONCATENATE("R9C",'Mapa final'!$S$41),"")</f>
        <v/>
      </c>
      <c r="V44" s="64" t="str">
        <f>IF(AND('Mapa final'!$AC$36="Baja",'Mapa final'!$AE$36="Moderado"),CONCATENATE("R9C",'Mapa final'!$S$36),"")</f>
        <v/>
      </c>
      <c r="W44" s="65" t="str">
        <f>IF(AND('Mapa final'!$AC$37="Baja",'Mapa final'!$AE$37="Moderado"),CONCATENATE("R9C",'Mapa final'!$S$37),"")</f>
        <v/>
      </c>
      <c r="X44" s="65" t="str">
        <f>IF(AND('Mapa final'!$AC$38="Baja",'Mapa final'!$AE$38="Moderado"),CONCATENATE("R9C",'Mapa final'!$S$38),"")</f>
        <v/>
      </c>
      <c r="Y44" s="65" t="str">
        <f>IF(AND('Mapa final'!$AC$39="Baja",'Mapa final'!$AE$39="Moderado"),CONCATENATE("R9C",'Mapa final'!$S$39),"")</f>
        <v/>
      </c>
      <c r="Z44" s="65" t="str">
        <f>IF(AND('Mapa final'!$AC$40="Baja",'Mapa final'!$AE$40="Moderado"),CONCATENATE("R9C",'Mapa final'!$S$40),"")</f>
        <v/>
      </c>
      <c r="AA44" s="66" t="str">
        <f>IF(AND('Mapa final'!$AC$41="Baja",'Mapa final'!$AE$41="Moderado"),CONCATENATE("R9C",'Mapa final'!$S$41),"")</f>
        <v/>
      </c>
      <c r="AB44" s="49" t="str">
        <f>IF(AND('Mapa final'!$AC$36="Baja",'Mapa final'!$AE$36="Mayor"),CONCATENATE("R9C",'Mapa final'!$S$36),"")</f>
        <v/>
      </c>
      <c r="AC44" s="50" t="str">
        <f>IF(AND('Mapa final'!$AC$37="Baja",'Mapa final'!$AE$37="Mayor"),CONCATENATE("R9C",'Mapa final'!$S$37),"")</f>
        <v/>
      </c>
      <c r="AD44" s="50" t="str">
        <f>IF(AND('Mapa final'!$AC$38="Baja",'Mapa final'!$AE$38="Mayor"),CONCATENATE("R9C",'Mapa final'!$S$38),"")</f>
        <v/>
      </c>
      <c r="AE44" s="50" t="str">
        <f>IF(AND('Mapa final'!$AC$39="Baja",'Mapa final'!$AE$39="Mayor"),CONCATENATE("R9C",'Mapa final'!$S$39),"")</f>
        <v/>
      </c>
      <c r="AF44" s="50" t="str">
        <f>IF(AND('Mapa final'!$AC$40="Baja",'Mapa final'!$AE$40="Mayor"),CONCATENATE("R9C",'Mapa final'!$S$40),"")</f>
        <v/>
      </c>
      <c r="AG44" s="51" t="str">
        <f>IF(AND('Mapa final'!$AC$41="Baja",'Mapa final'!$AE$41="Mayor"),CONCATENATE("R9C",'Mapa final'!$S$41),"")</f>
        <v/>
      </c>
      <c r="AH44" s="52" t="str">
        <f>IF(AND('Mapa final'!$AC$36="Baja",'Mapa final'!$AE$36="Catastrófico"),CONCATENATE("R9C",'Mapa final'!$S$36),"")</f>
        <v/>
      </c>
      <c r="AI44" s="53" t="str">
        <f>IF(AND('Mapa final'!$AC$37="Baja",'Mapa final'!$AE$37="Catastrófico"),CONCATENATE("R9C",'Mapa final'!$S$37),"")</f>
        <v/>
      </c>
      <c r="AJ44" s="53" t="str">
        <f>IF(AND('Mapa final'!$AC$38="Baja",'Mapa final'!$AE$38="Catastrófico"),CONCATENATE("R9C",'Mapa final'!$S$38),"")</f>
        <v/>
      </c>
      <c r="AK44" s="53" t="str">
        <f>IF(AND('Mapa final'!$AC$39="Baja",'Mapa final'!$AE$39="Catastrófico"),CONCATENATE("R9C",'Mapa final'!$S$39),"")</f>
        <v/>
      </c>
      <c r="AL44" s="53" t="str">
        <f>IF(AND('Mapa final'!$AC$40="Baja",'Mapa final'!$AE$40="Catastrófico"),CONCATENATE("R9C",'Mapa final'!$S$40),"")</f>
        <v/>
      </c>
      <c r="AM44" s="54" t="str">
        <f>IF(AND('Mapa final'!$AC$41="Baja",'Mapa final'!$AE$41="Catastrófico"),CONCATENATE("R9C",'Mapa final'!$S$41),"")</f>
        <v/>
      </c>
      <c r="AN44" s="80"/>
      <c r="AO44" s="467"/>
      <c r="AP44" s="468"/>
      <c r="AQ44" s="468"/>
      <c r="AR44" s="468"/>
      <c r="AS44" s="468"/>
      <c r="AT44" s="469"/>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48"/>
      <c r="C45" s="348"/>
      <c r="D45" s="349"/>
      <c r="E45" s="448"/>
      <c r="F45" s="449"/>
      <c r="G45" s="449"/>
      <c r="H45" s="449"/>
      <c r="I45" s="449"/>
      <c r="J45" s="76" t="str">
        <f>IF(AND('Mapa final'!$AC$42="Baja",'Mapa final'!$AE$42="Leve"),CONCATENATE("R10C",'Mapa final'!$S$42),"")</f>
        <v/>
      </c>
      <c r="K45" s="77" t="str">
        <f>IF(AND('Mapa final'!$AC$43="Baja",'Mapa final'!$AE$43="Leve"),CONCATENATE("R10C",'Mapa final'!$S$43),"")</f>
        <v/>
      </c>
      <c r="L45" s="77" t="str">
        <f>IF(AND('Mapa final'!$AC$44="Baja",'Mapa final'!$AE$44="Leve"),CONCATENATE("R10C",'Mapa final'!$S$44),"")</f>
        <v/>
      </c>
      <c r="M45" s="77" t="str">
        <f>IF(AND('Mapa final'!$AC$45="Baja",'Mapa final'!$AE$45="Leve"),CONCATENATE("R10C",'Mapa final'!$S$45),"")</f>
        <v/>
      </c>
      <c r="N45" s="77" t="str">
        <f>IF(AND('Mapa final'!$AC$46="Baja",'Mapa final'!$AE$46="Leve"),CONCATENATE("R10C",'Mapa final'!$S$46),"")</f>
        <v/>
      </c>
      <c r="O45" s="78" t="str">
        <f>IF(AND('Mapa final'!$AC$47="Baja",'Mapa final'!$AE$47="Leve"),CONCATENATE("R10C",'Mapa final'!$S$47),"")</f>
        <v/>
      </c>
      <c r="P45" s="64" t="str">
        <f>IF(AND('Mapa final'!$AC$42="Baja",'Mapa final'!$AE$42="Menor"),CONCATENATE("R10C",'Mapa final'!$S$42),"")</f>
        <v/>
      </c>
      <c r="Q45" s="65" t="str">
        <f>IF(AND('Mapa final'!$AC$43="Baja",'Mapa final'!$AE$43="Menor"),CONCATENATE("R10C",'Mapa final'!$S$43),"")</f>
        <v/>
      </c>
      <c r="R45" s="65" t="str">
        <f>IF(AND('Mapa final'!$AC$44="Baja",'Mapa final'!$AE$44="Menor"),CONCATENATE("R10C",'Mapa final'!$S$44),"")</f>
        <v/>
      </c>
      <c r="S45" s="65" t="str">
        <f>IF(AND('Mapa final'!$AC$45="Baja",'Mapa final'!$AE$45="Menor"),CONCATENATE("R10C",'Mapa final'!$S$45),"")</f>
        <v/>
      </c>
      <c r="T45" s="65" t="str">
        <f>IF(AND('Mapa final'!$AC$46="Baja",'Mapa final'!$AE$46="Menor"),CONCATENATE("R10C",'Mapa final'!$S$46),"")</f>
        <v/>
      </c>
      <c r="U45" s="66" t="str">
        <f>IF(AND('Mapa final'!$AC$47="Baja",'Mapa final'!$AE$47="Menor"),CONCATENATE("R10C",'Mapa final'!$S$47),"")</f>
        <v/>
      </c>
      <c r="V45" s="67" t="str">
        <f>IF(AND('Mapa final'!$AC$42="Baja",'Mapa final'!$AE$42="Moderado"),CONCATENATE("R10C",'Mapa final'!$S$42),"")</f>
        <v/>
      </c>
      <c r="W45" s="68" t="str">
        <f>IF(AND('Mapa final'!$AC$43="Baja",'Mapa final'!$AE$43="Moderado"),CONCATENATE("R10C",'Mapa final'!$S$43),"")</f>
        <v/>
      </c>
      <c r="X45" s="68" t="str">
        <f>IF(AND('Mapa final'!$AC$44="Baja",'Mapa final'!$AE$44="Moderado"),CONCATENATE("R10C",'Mapa final'!$S$44),"")</f>
        <v/>
      </c>
      <c r="Y45" s="68" t="str">
        <f>IF(AND('Mapa final'!$AC$45="Baja",'Mapa final'!$AE$45="Moderado"),CONCATENATE("R10C",'Mapa final'!$S$45),"")</f>
        <v/>
      </c>
      <c r="Z45" s="68" t="str">
        <f>IF(AND('Mapa final'!$AC$46="Baja",'Mapa final'!$AE$46="Moderado"),CONCATENATE("R10C",'Mapa final'!$S$46),"")</f>
        <v/>
      </c>
      <c r="AA45" s="69" t="str">
        <f>IF(AND('Mapa final'!$AC$47="Baja",'Mapa final'!$AE$47="Moderado"),CONCATENATE("R10C",'Mapa final'!$S$47),"")</f>
        <v/>
      </c>
      <c r="AB45" s="55" t="str">
        <f>IF(AND('Mapa final'!$AC$42="Baja",'Mapa final'!$AE$42="Mayor"),CONCATENATE("R10C",'Mapa final'!$S$42),"")</f>
        <v/>
      </c>
      <c r="AC45" s="56" t="str">
        <f>IF(AND('Mapa final'!$AC$43="Baja",'Mapa final'!$AE$43="Mayor"),CONCATENATE("R10C",'Mapa final'!$S$43),"")</f>
        <v/>
      </c>
      <c r="AD45" s="56" t="str">
        <f>IF(AND('Mapa final'!$AC$44="Baja",'Mapa final'!$AE$44="Mayor"),CONCATENATE("R10C",'Mapa final'!$S$44),"")</f>
        <v/>
      </c>
      <c r="AE45" s="56" t="str">
        <f>IF(AND('Mapa final'!$AC$45="Baja",'Mapa final'!$AE$45="Mayor"),CONCATENATE("R10C",'Mapa final'!$S$45),"")</f>
        <v/>
      </c>
      <c r="AF45" s="56" t="str">
        <f>IF(AND('Mapa final'!$AC$46="Baja",'Mapa final'!$AE$46="Mayor"),CONCATENATE("R10C",'Mapa final'!$S$46),"")</f>
        <v/>
      </c>
      <c r="AG45" s="57" t="str">
        <f>IF(AND('Mapa final'!$AC$47="Baja",'Mapa final'!$AE$47="Mayor"),CONCATENATE("R10C",'Mapa final'!$S$47),"")</f>
        <v/>
      </c>
      <c r="AH45" s="58" t="str">
        <f>IF(AND('Mapa final'!$AC$42="Baja",'Mapa final'!$AE$42="Catastrófico"),CONCATENATE("R10C",'Mapa final'!$S$42),"")</f>
        <v/>
      </c>
      <c r="AI45" s="59" t="str">
        <f>IF(AND('Mapa final'!$AC$43="Baja",'Mapa final'!$AE$43="Catastrófico"),CONCATENATE("R10C",'Mapa final'!$S$43),"")</f>
        <v/>
      </c>
      <c r="AJ45" s="59" t="str">
        <f>IF(AND('Mapa final'!$AC$44="Baja",'Mapa final'!$AE$44="Catastrófico"),CONCATENATE("R10C",'Mapa final'!$S$44),"")</f>
        <v/>
      </c>
      <c r="AK45" s="59" t="str">
        <f>IF(AND('Mapa final'!$AC$45="Baja",'Mapa final'!$AE$45="Catastrófico"),CONCATENATE("R10C",'Mapa final'!$S$45),"")</f>
        <v/>
      </c>
      <c r="AL45" s="59" t="str">
        <f>IF(AND('Mapa final'!$AC$46="Baja",'Mapa final'!$AE$46="Catastrófico"),CONCATENATE("R10C",'Mapa final'!$S$46),"")</f>
        <v/>
      </c>
      <c r="AM45" s="60" t="str">
        <f>IF(AND('Mapa final'!$AC$47="Baja",'Mapa final'!$AE$47="Catastrófico"),CONCATENATE("R10C",'Mapa final'!$S$47),"")</f>
        <v/>
      </c>
      <c r="AN45" s="80"/>
      <c r="AO45" s="470"/>
      <c r="AP45" s="471"/>
      <c r="AQ45" s="471"/>
      <c r="AR45" s="471"/>
      <c r="AS45" s="471"/>
      <c r="AT45" s="472"/>
    </row>
    <row r="46" spans="1:80" ht="46.5" customHeight="1" x14ac:dyDescent="0.35">
      <c r="A46" s="80"/>
      <c r="B46" s="348"/>
      <c r="C46" s="348"/>
      <c r="D46" s="349"/>
      <c r="E46" s="443" t="s">
        <v>113</v>
      </c>
      <c r="F46" s="444"/>
      <c r="G46" s="444"/>
      <c r="H46" s="444"/>
      <c r="I46" s="461"/>
      <c r="J46" s="70" t="str">
        <f>IF(AND('Mapa final'!$AC$11="Muy Baja",'Mapa final'!$AE$11="Leve"),CONCATENATE("R1C",'Mapa final'!$S$11),"")</f>
        <v/>
      </c>
      <c r="K46" s="71" t="str">
        <f>IF(AND('Mapa final'!$AC$12="Muy Baja",'Mapa final'!$AE$12="Leve"),CONCATENATE("R1C",'Mapa final'!$S$12),"")</f>
        <v/>
      </c>
      <c r="L46" s="71" t="e">
        <f>IF(AND('Mapa final'!#REF!="Muy Baja",'Mapa final'!#REF!="Leve"),CONCATENATE("R1C",'Mapa final'!#REF!),"")</f>
        <v>#REF!</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final'!$AC$11="Muy Baja",'Mapa final'!$AE$11="Menor"),CONCATENATE("R1C",'Mapa final'!$S$11),"")</f>
        <v/>
      </c>
      <c r="Q46" s="71" t="str">
        <f>IF(AND('Mapa final'!$AC$12="Muy Baja",'Mapa final'!$AE$12="Menor"),CONCATENATE("R1C",'Mapa final'!$S$12),"")</f>
        <v/>
      </c>
      <c r="R46" s="71" t="e">
        <f>IF(AND('Mapa final'!#REF!="Muy Baja",'Mapa final'!#REF!="Menor"),CONCATENATE("R1C",'Mapa final'!#REF!),"")</f>
        <v>#REF!</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final'!$AC$11="Muy Baja",'Mapa final'!$AE$11="Moderado"),CONCATENATE("R1C",'Mapa final'!$S$11),"")</f>
        <v/>
      </c>
      <c r="W46" s="79" t="str">
        <f>IF(AND('Mapa final'!$AC$12="Muy Baja",'Mapa final'!$AE$12="Moderado"),CONCATENATE("R1C",'Mapa final'!$S$12),"")</f>
        <v/>
      </c>
      <c r="X46" s="62" t="e">
        <f>IF(AND('Mapa final'!#REF!="Muy Baja",'Mapa final'!#REF!="Moderado"),CONCATENATE("R1C",'Mapa final'!#REF!),"")</f>
        <v>#REF!</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final'!$AC$11="Muy Baja",'Mapa final'!$AE$11="Mayor"),CONCATENATE("R1C",'Mapa final'!$S$11),"")</f>
        <v/>
      </c>
      <c r="AC46" s="44" t="str">
        <f>IF(AND('Mapa final'!$AC$12="Muy Baja",'Mapa final'!$AE$12="Mayor"),CONCATENATE("R1C",'Mapa final'!$S$12),"")</f>
        <v/>
      </c>
      <c r="AD46" s="44" t="e">
        <f>IF(AND('Mapa final'!#REF!="Muy Baja",'Mapa final'!#REF!="Mayor"),CONCATENATE("R1C",'Mapa final'!#REF!),"")</f>
        <v>#REF!</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final'!$AC$11="Muy Baja",'Mapa final'!$AE$11="Catastrófico"),CONCATENATE("R1C",'Mapa final'!$S$11),"")</f>
        <v/>
      </c>
      <c r="AI46" s="47" t="str">
        <f>IF(AND('Mapa final'!$AC$12="Muy Baja",'Mapa final'!$AE$12="Catastrófico"),CONCATENATE("R1C",'Mapa final'!$S$12),"")</f>
        <v/>
      </c>
      <c r="AJ46" s="47" t="e">
        <f>IF(AND('Mapa final'!#REF!="Muy Baja",'Mapa final'!#REF!="Catastrófico"),CONCATENATE("R1C",'Mapa final'!#REF!),"")</f>
        <v>#REF!</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48"/>
      <c r="C47" s="348"/>
      <c r="D47" s="349"/>
      <c r="E47" s="445"/>
      <c r="F47" s="446"/>
      <c r="G47" s="446"/>
      <c r="H47" s="446"/>
      <c r="I47" s="462"/>
      <c r="J47" s="73" t="str">
        <f>IF(AND('Mapa final'!$AC$13="Muy Baja",'Mapa final'!$AE$13="Leve"),CONCATENATE("R2C",'Mapa final'!$S$13),"")</f>
        <v/>
      </c>
      <c r="K47" s="74" t="str">
        <f>IF(AND('Mapa final'!$AC$14="Muy Baja",'Mapa final'!$AE$14="Leve"),CONCATENATE("R2C",'Mapa final'!$S$14),"")</f>
        <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final'!$AC$13="Muy Baja",'Mapa final'!$AE$13="Menor"),CONCATENATE("R2C",'Mapa final'!$S$13),"")</f>
        <v/>
      </c>
      <c r="Q47" s="74" t="str">
        <f>IF(AND('Mapa final'!$AC$14="Muy Baja",'Mapa final'!$AE$14="Menor"),CONCATENATE("R2C",'Mapa final'!$S$14),"")</f>
        <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final'!$AC$13="Muy Baja",'Mapa final'!$AE$13="Moderado"),CONCATENATE("R2C",'Mapa final'!$S$13),"")</f>
        <v/>
      </c>
      <c r="W47" s="65" t="str">
        <f>IF(AND('Mapa final'!$AC$14="Muy Baja",'Mapa final'!$AE$14="Moderado"),CONCATENATE("R2C",'Mapa final'!$S$14),"")</f>
        <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final'!$AC$13="Muy Baja",'Mapa final'!$AE$13="Mayor"),CONCATENATE("R2C",'Mapa final'!$S$13),"")</f>
        <v/>
      </c>
      <c r="AC47" s="50" t="str">
        <f>IF(AND('Mapa final'!$AC$14="Muy Baja",'Mapa final'!$AE$14="Mayor"),CONCATENATE("R2C",'Mapa final'!$S$14),"")</f>
        <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final'!$AC$13="Muy Baja",'Mapa final'!$AE$13="Catastrófico"),CONCATENATE("R2C",'Mapa final'!$S$13),"")</f>
        <v/>
      </c>
      <c r="AI47" s="53" t="str">
        <f>IF(AND('Mapa final'!$AC$14="Muy Baja",'Mapa final'!$AE$14="Catastrófico"),CONCATENATE("R2C",'Mapa final'!$S$14),"")</f>
        <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48"/>
      <c r="C48" s="348"/>
      <c r="D48" s="349"/>
      <c r="E48" s="445"/>
      <c r="F48" s="446"/>
      <c r="G48" s="446"/>
      <c r="H48" s="446"/>
      <c r="I48" s="462"/>
      <c r="J48" s="73" t="str">
        <f>IF(AND('Mapa final'!$AC$15="Muy Baja",'Mapa final'!$AE$15="Leve"),CONCATENATE("R3C",'Mapa final'!$S$15),"")</f>
        <v/>
      </c>
      <c r="K48" s="74" t="str">
        <f>IF(AND('Mapa final'!$AC$16="Muy Baja",'Mapa final'!$AE$16="Leve"),CONCATENATE("R3C",'Mapa final'!$S$16),"")</f>
        <v/>
      </c>
      <c r="L48" s="74" t="e">
        <f>IF(AND('Mapa final'!#REF!="Muy Baja",'Mapa final'!#REF!="Leve"),CONCATENATE("R3C",'Mapa final'!#REF!),"")</f>
        <v>#REF!</v>
      </c>
      <c r="M48" s="74" t="e">
        <f>IF(AND('Mapa final'!#REF!="Muy Baja",'Mapa final'!#REF!="Leve"),CONCATENATE("R3C",'Mapa final'!#REF!),"")</f>
        <v>#REF!</v>
      </c>
      <c r="N48" s="74" t="e">
        <f>IF(AND('Mapa final'!#REF!="Muy Baja",'Mapa final'!#REF!="Leve"),CONCATENATE("R3C",'Mapa final'!#REF!),"")</f>
        <v>#REF!</v>
      </c>
      <c r="O48" s="75" t="e">
        <f>IF(AND('Mapa final'!#REF!="Muy Baja",'Mapa final'!#REF!="Leve"),CONCATENATE("R3C",'Mapa final'!#REF!),"")</f>
        <v>#REF!</v>
      </c>
      <c r="P48" s="73" t="str">
        <f>IF(AND('Mapa final'!$AC$15="Muy Baja",'Mapa final'!$AE$15="Menor"),CONCATENATE("R3C",'Mapa final'!$S$15),"")</f>
        <v/>
      </c>
      <c r="Q48" s="74" t="str">
        <f>IF(AND('Mapa final'!$AC$16="Muy Baja",'Mapa final'!$AE$16="Menor"),CONCATENATE("R3C",'Mapa final'!$S$16),"")</f>
        <v/>
      </c>
      <c r="R48" s="74" t="e">
        <f>IF(AND('Mapa final'!#REF!="Muy Baja",'Mapa final'!#REF!="Menor"),CONCATENATE("R3C",'Mapa final'!#REF!),"")</f>
        <v>#REF!</v>
      </c>
      <c r="S48" s="74" t="e">
        <f>IF(AND('Mapa final'!#REF!="Muy Baja",'Mapa final'!#REF!="Menor"),CONCATENATE("R3C",'Mapa final'!#REF!),"")</f>
        <v>#REF!</v>
      </c>
      <c r="T48" s="74" t="e">
        <f>IF(AND('Mapa final'!#REF!="Muy Baja",'Mapa final'!#REF!="Menor"),CONCATENATE("R3C",'Mapa final'!#REF!),"")</f>
        <v>#REF!</v>
      </c>
      <c r="U48" s="75" t="e">
        <f>IF(AND('Mapa final'!#REF!="Muy Baja",'Mapa final'!#REF!="Menor"),CONCATENATE("R3C",'Mapa final'!#REF!),"")</f>
        <v>#REF!</v>
      </c>
      <c r="V48" s="64" t="str">
        <f>IF(AND('Mapa final'!$AC$15="Muy Baja",'Mapa final'!$AE$15="Moderado"),CONCATENATE("R3C",'Mapa final'!$S$15),"")</f>
        <v/>
      </c>
      <c r="W48" s="65" t="str">
        <f>IF(AND('Mapa final'!$AC$16="Muy Baja",'Mapa final'!$AE$16="Moderado"),CONCATENATE("R3C",'Mapa final'!$S$16),"")</f>
        <v/>
      </c>
      <c r="X48" s="65" t="e">
        <f>IF(AND('Mapa final'!#REF!="Muy Baja",'Mapa final'!#REF!="Moderado"),CONCATENATE("R3C",'Mapa final'!#REF!),"")</f>
        <v>#REF!</v>
      </c>
      <c r="Y48" s="65" t="e">
        <f>IF(AND('Mapa final'!#REF!="Muy Baja",'Mapa final'!#REF!="Moderado"),CONCATENATE("R3C",'Mapa final'!#REF!),"")</f>
        <v>#REF!</v>
      </c>
      <c r="Z48" s="65" t="e">
        <f>IF(AND('Mapa final'!#REF!="Muy Baja",'Mapa final'!#REF!="Moderado"),CONCATENATE("R3C",'Mapa final'!#REF!),"")</f>
        <v>#REF!</v>
      </c>
      <c r="AA48" s="66" t="e">
        <f>IF(AND('Mapa final'!#REF!="Muy Baja",'Mapa final'!#REF!="Moderado"),CONCATENATE("R3C",'Mapa final'!#REF!),"")</f>
        <v>#REF!</v>
      </c>
      <c r="AB48" s="49" t="str">
        <f>IF(AND('Mapa final'!$AC$15="Muy Baja",'Mapa final'!$AE$15="Mayor"),CONCATENATE("R3C",'Mapa final'!$S$15),"")</f>
        <v/>
      </c>
      <c r="AC48" s="50" t="str">
        <f>IF(AND('Mapa final'!$AC$16="Muy Baja",'Mapa final'!$AE$16="Mayor"),CONCATENATE("R3C",'Mapa final'!$S$16),"")</f>
        <v/>
      </c>
      <c r="AD48" s="50" t="e">
        <f>IF(AND('Mapa final'!#REF!="Muy Baja",'Mapa final'!#REF!="Mayor"),CONCATENATE("R3C",'Mapa final'!#REF!),"")</f>
        <v>#REF!</v>
      </c>
      <c r="AE48" s="50" t="e">
        <f>IF(AND('Mapa final'!#REF!="Muy Baja",'Mapa final'!#REF!="Mayor"),CONCATENATE("R3C",'Mapa final'!#REF!),"")</f>
        <v>#REF!</v>
      </c>
      <c r="AF48" s="50" t="e">
        <f>IF(AND('Mapa final'!#REF!="Muy Baja",'Mapa final'!#REF!="Mayor"),CONCATENATE("R3C",'Mapa final'!#REF!),"")</f>
        <v>#REF!</v>
      </c>
      <c r="AG48" s="51" t="e">
        <f>IF(AND('Mapa final'!#REF!="Muy Baja",'Mapa final'!#REF!="Mayor"),CONCATENATE("R3C",'Mapa final'!#REF!),"")</f>
        <v>#REF!</v>
      </c>
      <c r="AH48" s="52" t="str">
        <f>IF(AND('Mapa final'!$AC$15="Muy Baja",'Mapa final'!$AE$15="Catastrófico"),CONCATENATE("R3C",'Mapa final'!$S$15),"")</f>
        <v/>
      </c>
      <c r="AI48" s="53" t="str">
        <f>IF(AND('Mapa final'!$AC$16="Muy Baja",'Mapa final'!$AE$16="Catastrófico"),CONCATENATE("R3C",'Mapa final'!$S$16),"")</f>
        <v/>
      </c>
      <c r="AJ48" s="53" t="e">
        <f>IF(AND('Mapa final'!#REF!="Muy Baja",'Mapa final'!#REF!="Catastrófico"),CONCATENATE("R3C",'Mapa final'!#REF!),"")</f>
        <v>#REF!</v>
      </c>
      <c r="AK48" s="53" t="e">
        <f>IF(AND('Mapa final'!#REF!="Muy Baja",'Mapa final'!#REF!="Catastrófico"),CONCATENATE("R3C",'Mapa final'!#REF!),"")</f>
        <v>#REF!</v>
      </c>
      <c r="AL48" s="53" t="e">
        <f>IF(AND('Mapa final'!#REF!="Muy Baja",'Mapa final'!#REF!="Catastrófico"),CONCATENATE("R3C",'Mapa final'!#REF!),"")</f>
        <v>#REF!</v>
      </c>
      <c r="AM48" s="54" t="e">
        <f>IF(AND('Mapa final'!#REF!="Muy Baja",'Mapa final'!#REF!="Catastrófico"),CONCATENATE("R3C",'Mapa final'!#REF!),"")</f>
        <v>#REF!</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48"/>
      <c r="C49" s="348"/>
      <c r="D49" s="349"/>
      <c r="E49" s="447"/>
      <c r="F49" s="446"/>
      <c r="G49" s="446"/>
      <c r="H49" s="446"/>
      <c r="I49" s="462"/>
      <c r="J49" s="73" t="e">
        <f>IF(AND('Mapa final'!#REF!="Muy Baja",'Mapa final'!#REF!="Leve"),CONCATENATE("R4C",'Mapa final'!#REF!),"")</f>
        <v>#REF!</v>
      </c>
      <c r="K49" s="74" t="e">
        <f>IF(AND('Mapa final'!#REF!="Muy Baja",'Mapa final'!#REF!="Leve"),CONCATENATE("R4C",'Mapa final'!#REF!),"")</f>
        <v>#REF!</v>
      </c>
      <c r="L49" s="74" t="e">
        <f>IF(AND('Mapa final'!#REF!="Muy Baja",'Mapa final'!#REF!="Leve"),CONCATENATE("R4C",'Mapa final'!#REF!),"")</f>
        <v>#REF!</v>
      </c>
      <c r="M49" s="74" t="e">
        <f>IF(AND('Mapa final'!#REF!="Muy Baja",'Mapa final'!#REF!="Leve"),CONCATENATE("R4C",'Mapa final'!#REF!),"")</f>
        <v>#REF!</v>
      </c>
      <c r="N49" s="74" t="e">
        <f>IF(AND('Mapa final'!#REF!="Muy Baja",'Mapa final'!#REF!="Leve"),CONCATENATE("R4C",'Mapa final'!#REF!),"")</f>
        <v>#REF!</v>
      </c>
      <c r="O49" s="75" t="e">
        <f>IF(AND('Mapa final'!#REF!="Muy Baja",'Mapa final'!#REF!="Leve"),CONCATENATE("R4C",'Mapa final'!#REF!),"")</f>
        <v>#REF!</v>
      </c>
      <c r="P49" s="73" t="e">
        <f>IF(AND('Mapa final'!#REF!="Muy Baja",'Mapa final'!#REF!="Menor"),CONCATENATE("R4C",'Mapa final'!#REF!),"")</f>
        <v>#REF!</v>
      </c>
      <c r="Q49" s="74" t="e">
        <f>IF(AND('Mapa final'!#REF!="Muy Baja",'Mapa final'!#REF!="Menor"),CONCATENATE("R4C",'Mapa final'!#REF!),"")</f>
        <v>#REF!</v>
      </c>
      <c r="R49" s="74" t="e">
        <f>IF(AND('Mapa final'!#REF!="Muy Baja",'Mapa final'!#REF!="Menor"),CONCATENATE("R4C",'Mapa final'!#REF!),"")</f>
        <v>#REF!</v>
      </c>
      <c r="S49" s="74" t="e">
        <f>IF(AND('Mapa final'!#REF!="Muy Baja",'Mapa final'!#REF!="Menor"),CONCATENATE("R4C",'Mapa final'!#REF!),"")</f>
        <v>#REF!</v>
      </c>
      <c r="T49" s="74" t="e">
        <f>IF(AND('Mapa final'!#REF!="Muy Baja",'Mapa final'!#REF!="Menor"),CONCATENATE("R4C",'Mapa final'!#REF!),"")</f>
        <v>#REF!</v>
      </c>
      <c r="U49" s="75" t="e">
        <f>IF(AND('Mapa final'!#REF!="Muy Baja",'Mapa final'!#REF!="Menor"),CONCATENATE("R4C",'Mapa final'!#REF!),"")</f>
        <v>#REF!</v>
      </c>
      <c r="V49" s="64" t="e">
        <f>IF(AND('Mapa final'!#REF!="Muy Baja",'Mapa final'!#REF!="Moderado"),CONCATENATE("R4C",'Mapa final'!#REF!),"")</f>
        <v>#REF!</v>
      </c>
      <c r="W49" s="65" t="e">
        <f>IF(AND('Mapa final'!#REF!="Muy Baja",'Mapa final'!#REF!="Moderado"),CONCATENATE("R4C",'Mapa final'!#REF!),"")</f>
        <v>#REF!</v>
      </c>
      <c r="X49" s="65" t="e">
        <f>IF(AND('Mapa final'!#REF!="Muy Baja",'Mapa final'!#REF!="Moderado"),CONCATENATE("R4C",'Mapa final'!#REF!),"")</f>
        <v>#REF!</v>
      </c>
      <c r="Y49" s="65" t="e">
        <f>IF(AND('Mapa final'!#REF!="Muy Baja",'Mapa final'!#REF!="Moderado"),CONCATENATE("R4C",'Mapa final'!#REF!),"")</f>
        <v>#REF!</v>
      </c>
      <c r="Z49" s="65" t="e">
        <f>IF(AND('Mapa final'!#REF!="Muy Baja",'Mapa final'!#REF!="Moderado"),CONCATENATE("R4C",'Mapa final'!#REF!),"")</f>
        <v>#REF!</v>
      </c>
      <c r="AA49" s="66" t="e">
        <f>IF(AND('Mapa final'!#REF!="Muy Baja",'Mapa final'!#REF!="Moderado"),CONCATENATE("R4C",'Mapa final'!#REF!),"")</f>
        <v>#REF!</v>
      </c>
      <c r="AB49" s="49" t="e">
        <f>IF(AND('Mapa final'!#REF!="Muy Baja",'Mapa final'!#REF!="Mayor"),CONCATENATE("R4C",'Mapa final'!#REF!),"")</f>
        <v>#REF!</v>
      </c>
      <c r="AC49" s="50" t="e">
        <f>IF(AND('Mapa final'!#REF!="Muy Baja",'Mapa final'!#REF!="Mayor"),CONCATENATE("R4C",'Mapa final'!#REF!),"")</f>
        <v>#REF!</v>
      </c>
      <c r="AD49" s="50" t="e">
        <f>IF(AND('Mapa final'!#REF!="Muy Baja",'Mapa final'!#REF!="Mayor"),CONCATENATE("R4C",'Mapa final'!#REF!),"")</f>
        <v>#REF!</v>
      </c>
      <c r="AE49" s="50" t="e">
        <f>IF(AND('Mapa final'!#REF!="Muy Baja",'Mapa final'!#REF!="Mayor"),CONCATENATE("R4C",'Mapa final'!#REF!),"")</f>
        <v>#REF!</v>
      </c>
      <c r="AF49" s="50" t="e">
        <f>IF(AND('Mapa final'!#REF!="Muy Baja",'Mapa final'!#REF!="Mayor"),CONCATENATE("R4C",'Mapa final'!#REF!),"")</f>
        <v>#REF!</v>
      </c>
      <c r="AG49" s="51" t="e">
        <f>IF(AND('Mapa final'!#REF!="Muy Baja",'Mapa final'!#REF!="Mayor"),CONCATENATE("R4C",'Mapa final'!#REF!),"")</f>
        <v>#REF!</v>
      </c>
      <c r="AH49" s="52" t="e">
        <f>IF(AND('Mapa final'!#REF!="Muy Baja",'Mapa final'!#REF!="Catastrófico"),CONCATENATE("R4C",'Mapa final'!#REF!),"")</f>
        <v>#REF!</v>
      </c>
      <c r="AI49" s="53" t="e">
        <f>IF(AND('Mapa final'!#REF!="Muy Baja",'Mapa final'!#REF!="Catastrófico"),CONCATENATE("R4C",'Mapa final'!#REF!),"")</f>
        <v>#REF!</v>
      </c>
      <c r="AJ49" s="53" t="e">
        <f>IF(AND('Mapa final'!#REF!="Muy Baja",'Mapa final'!#REF!="Catastrófico"),CONCATENATE("R4C",'Mapa final'!#REF!),"")</f>
        <v>#REF!</v>
      </c>
      <c r="AK49" s="53" t="e">
        <f>IF(AND('Mapa final'!#REF!="Muy Baja",'Mapa final'!#REF!="Catastrófico"),CONCATENATE("R4C",'Mapa final'!#REF!),"")</f>
        <v>#REF!</v>
      </c>
      <c r="AL49" s="53" t="e">
        <f>IF(AND('Mapa final'!#REF!="Muy Baja",'Mapa final'!#REF!="Catastrófico"),CONCATENATE("R4C",'Mapa final'!#REF!),"")</f>
        <v>#REF!</v>
      </c>
      <c r="AM49" s="54" t="e">
        <f>IF(AND('Mapa final'!#REF!="Muy Baja",'Mapa final'!#REF!="Catastrófico"),CONCATENATE("R4C",'Mapa final'!#REF!),"")</f>
        <v>#REF!</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48"/>
      <c r="C50" s="348"/>
      <c r="D50" s="349"/>
      <c r="E50" s="447"/>
      <c r="F50" s="446"/>
      <c r="G50" s="446"/>
      <c r="H50" s="446"/>
      <c r="I50" s="462"/>
      <c r="J50" s="73" t="e">
        <f>IF(AND('Mapa final'!#REF!="Muy Baja",'Mapa final'!#REF!="Leve"),CONCATENATE("R5C",'Mapa final'!#REF!),"")</f>
        <v>#REF!</v>
      </c>
      <c r="K50" s="74" t="e">
        <f>IF(AND('Mapa final'!#REF!="Muy Baja",'Mapa final'!#REF!="Leve"),CONCATENATE("R5C",'Mapa final'!#REF!),"")</f>
        <v>#REF!</v>
      </c>
      <c r="L50" s="74" t="e">
        <f>IF(AND('Mapa final'!#REF!="Muy Baja",'Mapa final'!#REF!="Leve"),CONCATENATE("R5C",'Mapa final'!#REF!),"")</f>
        <v>#REF!</v>
      </c>
      <c r="M50" s="74" t="e">
        <f>IF(AND('Mapa final'!#REF!="Muy Baja",'Mapa final'!#REF!="Leve"),CONCATENATE("R5C",'Mapa final'!#REF!),"")</f>
        <v>#REF!</v>
      </c>
      <c r="N50" s="74" t="e">
        <f>IF(AND('Mapa final'!#REF!="Muy Baja",'Mapa final'!#REF!="Leve"),CONCATENATE("R5C",'Mapa final'!#REF!),"")</f>
        <v>#REF!</v>
      </c>
      <c r="O50" s="75" t="str">
        <f>IF(AND('Mapa final'!$AC$17="Muy Baja",'Mapa final'!$AE$17="Leve"),CONCATENATE("R5C",'Mapa final'!$S$17),"")</f>
        <v/>
      </c>
      <c r="P50" s="73" t="e">
        <f>IF(AND('Mapa final'!#REF!="Muy Baja",'Mapa final'!#REF!="Menor"),CONCATENATE("R5C",'Mapa final'!#REF!),"")</f>
        <v>#REF!</v>
      </c>
      <c r="Q50" s="74" t="e">
        <f>IF(AND('Mapa final'!#REF!="Muy Baja",'Mapa final'!#REF!="Menor"),CONCATENATE("R5C",'Mapa final'!#REF!),"")</f>
        <v>#REF!</v>
      </c>
      <c r="R50" s="74" t="e">
        <f>IF(AND('Mapa final'!#REF!="Muy Baja",'Mapa final'!#REF!="Menor"),CONCATENATE("R5C",'Mapa final'!#REF!),"")</f>
        <v>#REF!</v>
      </c>
      <c r="S50" s="74" t="e">
        <f>IF(AND('Mapa final'!#REF!="Muy Baja",'Mapa final'!#REF!="Menor"),CONCATENATE("R5C",'Mapa final'!#REF!),"")</f>
        <v>#REF!</v>
      </c>
      <c r="T50" s="74" t="e">
        <f>IF(AND('Mapa final'!#REF!="Muy Baja",'Mapa final'!#REF!="Menor"),CONCATENATE("R5C",'Mapa final'!#REF!),"")</f>
        <v>#REF!</v>
      </c>
      <c r="U50" s="75" t="str">
        <f>IF(AND('Mapa final'!$AC$17="Muy Baja",'Mapa final'!$AE$17="Menor"),CONCATENATE("R5C",'Mapa final'!$S$17),"")</f>
        <v/>
      </c>
      <c r="V50" s="64" t="e">
        <f>IF(AND('Mapa final'!#REF!="Muy Baja",'Mapa final'!#REF!="Moderado"),CONCATENATE("R5C",'Mapa final'!#REF!),"")</f>
        <v>#REF!</v>
      </c>
      <c r="W50" s="65" t="e">
        <f>IF(AND('Mapa final'!#REF!="Muy Baja",'Mapa final'!#REF!="Moderado"),CONCATENATE("R5C",'Mapa final'!#REF!),"")</f>
        <v>#REF!</v>
      </c>
      <c r="X50" s="65" t="e">
        <f>IF(AND('Mapa final'!#REF!="Muy Baja",'Mapa final'!#REF!="Moderado"),CONCATENATE("R5C",'Mapa final'!#REF!),"")</f>
        <v>#REF!</v>
      </c>
      <c r="Y50" s="65" t="e">
        <f>IF(AND('Mapa final'!#REF!="Muy Baja",'Mapa final'!#REF!="Moderado"),CONCATENATE("R5C",'Mapa final'!#REF!),"")</f>
        <v>#REF!</v>
      </c>
      <c r="Z50" s="65" t="e">
        <f>IF(AND('Mapa final'!#REF!="Muy Baja",'Mapa final'!#REF!="Moderado"),CONCATENATE("R5C",'Mapa final'!#REF!),"")</f>
        <v>#REF!</v>
      </c>
      <c r="AA50" s="66" t="str">
        <f>IF(AND('Mapa final'!$AC$17="Muy Baja",'Mapa final'!$AE$17="Moderado"),CONCATENATE("R5C",'Mapa final'!$S$17),"")</f>
        <v/>
      </c>
      <c r="AB50" s="49" t="e">
        <f>IF(AND('Mapa final'!#REF!="Muy Baja",'Mapa final'!#REF!="Mayor"),CONCATENATE("R5C",'Mapa final'!#REF!),"")</f>
        <v>#REF!</v>
      </c>
      <c r="AC50" s="50" t="e">
        <f>IF(AND('Mapa final'!#REF!="Muy Baja",'Mapa final'!#REF!="Mayor"),CONCATENATE("R5C",'Mapa final'!#REF!),"")</f>
        <v>#REF!</v>
      </c>
      <c r="AD50" s="50" t="e">
        <f>IF(AND('Mapa final'!#REF!="Muy Baja",'Mapa final'!#REF!="Mayor"),CONCATENATE("R5C",'Mapa final'!#REF!),"")</f>
        <v>#REF!</v>
      </c>
      <c r="AE50" s="50" t="e">
        <f>IF(AND('Mapa final'!#REF!="Muy Baja",'Mapa final'!#REF!="Mayor"),CONCATENATE("R5C",'Mapa final'!#REF!),"")</f>
        <v>#REF!</v>
      </c>
      <c r="AF50" s="50" t="e">
        <f>IF(AND('Mapa final'!#REF!="Muy Baja",'Mapa final'!#REF!="Mayor"),CONCATENATE("R5C",'Mapa final'!#REF!),"")</f>
        <v>#REF!</v>
      </c>
      <c r="AG50" s="51" t="str">
        <f>IF(AND('Mapa final'!$AC$17="Muy Baja",'Mapa final'!$AE$17="Mayor"),CONCATENATE("R5C",'Mapa final'!$S$17),"")</f>
        <v/>
      </c>
      <c r="AH50" s="52" t="e">
        <f>IF(AND('Mapa final'!#REF!="Muy Baja",'Mapa final'!#REF!="Catastrófico"),CONCATENATE("R5C",'Mapa final'!#REF!),"")</f>
        <v>#REF!</v>
      </c>
      <c r="AI50" s="53" t="e">
        <f>IF(AND('Mapa final'!#REF!="Muy Baja",'Mapa final'!#REF!="Catastrófico"),CONCATENATE("R5C",'Mapa final'!#REF!),"")</f>
        <v>#REF!</v>
      </c>
      <c r="AJ50" s="53" t="e">
        <f>IF(AND('Mapa final'!#REF!="Muy Baja",'Mapa final'!#REF!="Catastrófico"),CONCATENATE("R5C",'Mapa final'!#REF!),"")</f>
        <v>#REF!</v>
      </c>
      <c r="AK50" s="53" t="e">
        <f>IF(AND('Mapa final'!#REF!="Muy Baja",'Mapa final'!#REF!="Catastrófico"),CONCATENATE("R5C",'Mapa final'!#REF!),"")</f>
        <v>#REF!</v>
      </c>
      <c r="AL50" s="53" t="e">
        <f>IF(AND('Mapa final'!#REF!="Muy Baja",'Mapa final'!#REF!="Catastrófico"),CONCATENATE("R5C",'Mapa final'!#REF!),"")</f>
        <v>#REF!</v>
      </c>
      <c r="AM50" s="54" t="str">
        <f>IF(AND('Mapa final'!$AC$17="Muy Baja",'Mapa final'!$AE$17="Catastrófico"),CONCATENATE("R5C",'Mapa final'!$S$17),"")</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48"/>
      <c r="C51" s="348"/>
      <c r="D51" s="349"/>
      <c r="E51" s="447"/>
      <c r="F51" s="446"/>
      <c r="G51" s="446"/>
      <c r="H51" s="446"/>
      <c r="I51" s="462"/>
      <c r="J51" s="73" t="str">
        <f>IF(AND('Mapa final'!$AC$18="Muy Baja",'Mapa final'!$AE$18="Leve"),CONCATENATE("R6C",'Mapa final'!$S$18),"")</f>
        <v/>
      </c>
      <c r="K51" s="74" t="str">
        <f>IF(AND('Mapa final'!$AC$19="Muy Baja",'Mapa final'!$AE$19="Leve"),CONCATENATE("R6C",'Mapa final'!$S$19),"")</f>
        <v/>
      </c>
      <c r="L51" s="74" t="str">
        <f>IF(AND('Mapa final'!$AC$20="Muy Baja",'Mapa final'!$AE$20="Leve"),CONCATENATE("R6C",'Mapa final'!$S$20),"")</f>
        <v/>
      </c>
      <c r="M51" s="74" t="str">
        <f>IF(AND('Mapa final'!$AC$21="Muy Baja",'Mapa final'!$AE$21="Leve"),CONCATENATE("R6C",'Mapa final'!$S$21),"")</f>
        <v/>
      </c>
      <c r="N51" s="74" t="str">
        <f>IF(AND('Mapa final'!$AC$22="Muy Baja",'Mapa final'!$AE$22="Leve"),CONCATENATE("R6C",'Mapa final'!$S$22),"")</f>
        <v/>
      </c>
      <c r="O51" s="75" t="str">
        <f>IF(AND('Mapa final'!$AC$23="Muy Baja",'Mapa final'!$AE$23="Leve"),CONCATENATE("R6C",'Mapa final'!$S$23),"")</f>
        <v/>
      </c>
      <c r="P51" s="73" t="str">
        <f>IF(AND('Mapa final'!$AC$18="Muy Baja",'Mapa final'!$AE$18="Menor"),CONCATENATE("R6C",'Mapa final'!$S$18),"")</f>
        <v/>
      </c>
      <c r="Q51" s="74" t="str">
        <f>IF(AND('Mapa final'!$AC$19="Muy Baja",'Mapa final'!$AE$19="Menor"),CONCATENATE("R6C",'Mapa final'!$S$19),"")</f>
        <v/>
      </c>
      <c r="R51" s="74" t="str">
        <f>IF(AND('Mapa final'!$AC$20="Muy Baja",'Mapa final'!$AE$20="Menor"),CONCATENATE("R6C",'Mapa final'!$S$20),"")</f>
        <v/>
      </c>
      <c r="S51" s="74" t="str">
        <f>IF(AND('Mapa final'!$AC$21="Muy Baja",'Mapa final'!$AE$21="Menor"),CONCATENATE("R6C",'Mapa final'!$S$21),"")</f>
        <v/>
      </c>
      <c r="T51" s="74" t="str">
        <f>IF(AND('Mapa final'!$AC$22="Muy Baja",'Mapa final'!$AE$22="Menor"),CONCATENATE("R6C",'Mapa final'!$S$22),"")</f>
        <v/>
      </c>
      <c r="U51" s="75" t="str">
        <f>IF(AND('Mapa final'!$AC$23="Muy Baja",'Mapa final'!$AE$23="Menor"),CONCATENATE("R6C",'Mapa final'!$S$23),"")</f>
        <v/>
      </c>
      <c r="V51" s="64" t="str">
        <f>IF(AND('Mapa final'!$AC$18="Muy Baja",'Mapa final'!$AE$18="Moderado"),CONCATENATE("R6C",'Mapa final'!$S$18),"")</f>
        <v/>
      </c>
      <c r="W51" s="65" t="str">
        <f>IF(AND('Mapa final'!$AC$19="Muy Baja",'Mapa final'!$AE$19="Moderado"),CONCATENATE("R6C",'Mapa final'!$S$19),"")</f>
        <v/>
      </c>
      <c r="X51" s="65" t="str">
        <f>IF(AND('Mapa final'!$AC$20="Muy Baja",'Mapa final'!$AE$20="Moderado"),CONCATENATE("R6C",'Mapa final'!$S$20),"")</f>
        <v/>
      </c>
      <c r="Y51" s="65" t="str">
        <f>IF(AND('Mapa final'!$AC$21="Muy Baja",'Mapa final'!$AE$21="Moderado"),CONCATENATE("R6C",'Mapa final'!$S$21),"")</f>
        <v/>
      </c>
      <c r="Z51" s="65" t="str">
        <f>IF(AND('Mapa final'!$AC$22="Muy Baja",'Mapa final'!$AE$22="Moderado"),CONCATENATE("R6C",'Mapa final'!$S$22),"")</f>
        <v/>
      </c>
      <c r="AA51" s="66" t="str">
        <f>IF(AND('Mapa final'!$AC$23="Muy Baja",'Mapa final'!$AE$23="Moderado"),CONCATENATE("R6C",'Mapa final'!$S$23),"")</f>
        <v/>
      </c>
      <c r="AB51" s="49" t="str">
        <f>IF(AND('Mapa final'!$AC$18="Muy Baja",'Mapa final'!$AE$18="Mayor"),CONCATENATE("R6C",'Mapa final'!$S$18),"")</f>
        <v/>
      </c>
      <c r="AC51" s="50" t="str">
        <f>IF(AND('Mapa final'!$AC$19="Muy Baja",'Mapa final'!$AE$19="Mayor"),CONCATENATE("R6C",'Mapa final'!$S$19),"")</f>
        <v/>
      </c>
      <c r="AD51" s="50" t="str">
        <f>IF(AND('Mapa final'!$AC$20="Muy Baja",'Mapa final'!$AE$20="Mayor"),CONCATENATE("R6C",'Mapa final'!$S$20),"")</f>
        <v/>
      </c>
      <c r="AE51" s="50" t="str">
        <f>IF(AND('Mapa final'!$AC$21="Muy Baja",'Mapa final'!$AE$21="Mayor"),CONCATENATE("R6C",'Mapa final'!$S$21),"")</f>
        <v/>
      </c>
      <c r="AF51" s="50" t="str">
        <f>IF(AND('Mapa final'!$AC$22="Muy Baja",'Mapa final'!$AE$22="Mayor"),CONCATENATE("R6C",'Mapa final'!$S$22),"")</f>
        <v/>
      </c>
      <c r="AG51" s="51" t="str">
        <f>IF(AND('Mapa final'!$AC$23="Muy Baja",'Mapa final'!$AE$23="Mayor"),CONCATENATE("R6C",'Mapa final'!$S$23),"")</f>
        <v/>
      </c>
      <c r="AH51" s="52" t="str">
        <f>IF(AND('Mapa final'!$AC$18="Muy Baja",'Mapa final'!$AE$18="Catastrófico"),CONCATENATE("R6C",'Mapa final'!$S$18),"")</f>
        <v/>
      </c>
      <c r="AI51" s="53" t="str">
        <f>IF(AND('Mapa final'!$AC$19="Muy Baja",'Mapa final'!$AE$19="Catastrófico"),CONCATENATE("R6C",'Mapa final'!$S$19),"")</f>
        <v/>
      </c>
      <c r="AJ51" s="53" t="str">
        <f>IF(AND('Mapa final'!$AC$20="Muy Baja",'Mapa final'!$AE$20="Catastrófico"),CONCATENATE("R6C",'Mapa final'!$S$20),"")</f>
        <v/>
      </c>
      <c r="AK51" s="53" t="str">
        <f>IF(AND('Mapa final'!$AC$21="Muy Baja",'Mapa final'!$AE$21="Catastrófico"),CONCATENATE("R6C",'Mapa final'!$S$21),"")</f>
        <v/>
      </c>
      <c r="AL51" s="53" t="str">
        <f>IF(AND('Mapa final'!$AC$22="Muy Baja",'Mapa final'!$AE$22="Catastrófico"),CONCATENATE("R6C",'Mapa final'!$S$22),"")</f>
        <v/>
      </c>
      <c r="AM51" s="54" t="str">
        <f>IF(AND('Mapa final'!$AC$23="Muy Baja",'Mapa final'!$AE$23="Catastrófico"),CONCATENATE("R6C",'Mapa final'!$S$23),"")</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48"/>
      <c r="C52" s="348"/>
      <c r="D52" s="349"/>
      <c r="E52" s="447"/>
      <c r="F52" s="446"/>
      <c r="G52" s="446"/>
      <c r="H52" s="446"/>
      <c r="I52" s="462"/>
      <c r="J52" s="73" t="str">
        <f>IF(AND('Mapa final'!$AC$24="Muy Baja",'Mapa final'!$AE$24="Leve"),CONCATENATE("R7C",'Mapa final'!$S$24),"")</f>
        <v/>
      </c>
      <c r="K52" s="74" t="str">
        <f>IF(AND('Mapa final'!$AC$25="Muy Baja",'Mapa final'!$AE$25="Leve"),CONCATENATE("R7C",'Mapa final'!$S$25),"")</f>
        <v/>
      </c>
      <c r="L52" s="74" t="str">
        <f>IF(AND('Mapa final'!$AC$26="Muy Baja",'Mapa final'!$AE$26="Leve"),CONCATENATE("R7C",'Mapa final'!$S$26),"")</f>
        <v/>
      </c>
      <c r="M52" s="74" t="str">
        <f>IF(AND('Mapa final'!$AC$27="Muy Baja",'Mapa final'!$AE$27="Leve"),CONCATENATE("R7C",'Mapa final'!$S$27),"")</f>
        <v/>
      </c>
      <c r="N52" s="74" t="str">
        <f>IF(AND('Mapa final'!$AC$28="Muy Baja",'Mapa final'!$AE$28="Leve"),CONCATENATE("R7C",'Mapa final'!$S$28),"")</f>
        <v/>
      </c>
      <c r="O52" s="75" t="str">
        <f>IF(AND('Mapa final'!$AC$29="Muy Baja",'Mapa final'!$AE$29="Leve"),CONCATENATE("R7C",'Mapa final'!$S$29),"")</f>
        <v/>
      </c>
      <c r="P52" s="73" t="str">
        <f>IF(AND('Mapa final'!$AC$24="Muy Baja",'Mapa final'!$AE$24="Menor"),CONCATENATE("R7C",'Mapa final'!$S$24),"")</f>
        <v/>
      </c>
      <c r="Q52" s="74" t="str">
        <f>IF(AND('Mapa final'!$AC$25="Muy Baja",'Mapa final'!$AE$25="Menor"),CONCATENATE("R7C",'Mapa final'!$S$25),"")</f>
        <v/>
      </c>
      <c r="R52" s="74" t="str">
        <f>IF(AND('Mapa final'!$AC$26="Muy Baja",'Mapa final'!$AE$26="Menor"),CONCATENATE("R7C",'Mapa final'!$S$26),"")</f>
        <v/>
      </c>
      <c r="S52" s="74" t="str">
        <f>IF(AND('Mapa final'!$AC$27="Muy Baja",'Mapa final'!$AE$27="Menor"),CONCATENATE("R7C",'Mapa final'!$S$27),"")</f>
        <v/>
      </c>
      <c r="T52" s="74" t="str">
        <f>IF(AND('Mapa final'!$AC$28="Muy Baja",'Mapa final'!$AE$28="Menor"),CONCATENATE("R7C",'Mapa final'!$S$28),"")</f>
        <v/>
      </c>
      <c r="U52" s="75" t="str">
        <f>IF(AND('Mapa final'!$AC$29="Muy Baja",'Mapa final'!$AE$29="Menor"),CONCATENATE("R7C",'Mapa final'!$S$29),"")</f>
        <v/>
      </c>
      <c r="V52" s="64" t="str">
        <f>IF(AND('Mapa final'!$AC$24="Muy Baja",'Mapa final'!$AE$24="Moderado"),CONCATENATE("R7C",'Mapa final'!$S$24),"")</f>
        <v/>
      </c>
      <c r="W52" s="65" t="str">
        <f>IF(AND('Mapa final'!$AC$25="Muy Baja",'Mapa final'!$AE$25="Moderado"),CONCATENATE("R7C",'Mapa final'!$S$25),"")</f>
        <v/>
      </c>
      <c r="X52" s="65" t="str">
        <f>IF(AND('Mapa final'!$AC$26="Muy Baja",'Mapa final'!$AE$26="Moderado"),CONCATENATE("R7C",'Mapa final'!$S$26),"")</f>
        <v/>
      </c>
      <c r="Y52" s="65" t="str">
        <f>IF(AND('Mapa final'!$AC$27="Muy Baja",'Mapa final'!$AE$27="Moderado"),CONCATENATE("R7C",'Mapa final'!$S$27),"")</f>
        <v/>
      </c>
      <c r="Z52" s="65" t="str">
        <f>IF(AND('Mapa final'!$AC$28="Muy Baja",'Mapa final'!$AE$28="Moderado"),CONCATENATE("R7C",'Mapa final'!$S$28),"")</f>
        <v/>
      </c>
      <c r="AA52" s="66" t="str">
        <f>IF(AND('Mapa final'!$AC$29="Muy Baja",'Mapa final'!$AE$29="Moderado"),CONCATENATE("R7C",'Mapa final'!$S$29),"")</f>
        <v/>
      </c>
      <c r="AB52" s="49" t="str">
        <f>IF(AND('Mapa final'!$AC$24="Muy Baja",'Mapa final'!$AE$24="Mayor"),CONCATENATE("R7C",'Mapa final'!$S$24),"")</f>
        <v/>
      </c>
      <c r="AC52" s="50" t="str">
        <f>IF(AND('Mapa final'!$AC$25="Muy Baja",'Mapa final'!$AE$25="Mayor"),CONCATENATE("R7C",'Mapa final'!$S$25),"")</f>
        <v/>
      </c>
      <c r="AD52" s="50" t="str">
        <f>IF(AND('Mapa final'!$AC$26="Muy Baja",'Mapa final'!$AE$26="Mayor"),CONCATENATE("R7C",'Mapa final'!$S$26),"")</f>
        <v/>
      </c>
      <c r="AE52" s="50" t="str">
        <f>IF(AND('Mapa final'!$AC$27="Muy Baja",'Mapa final'!$AE$27="Mayor"),CONCATENATE("R7C",'Mapa final'!$S$27),"")</f>
        <v/>
      </c>
      <c r="AF52" s="50" t="str">
        <f>IF(AND('Mapa final'!$AC$28="Muy Baja",'Mapa final'!$AE$28="Mayor"),CONCATENATE("R7C",'Mapa final'!$S$28),"")</f>
        <v/>
      </c>
      <c r="AG52" s="51" t="str">
        <f>IF(AND('Mapa final'!$AC$29="Muy Baja",'Mapa final'!$AE$29="Mayor"),CONCATENATE("R7C",'Mapa final'!$S$29),"")</f>
        <v/>
      </c>
      <c r="AH52" s="52" t="str">
        <f>IF(AND('Mapa final'!$AC$24="Muy Baja",'Mapa final'!$AE$24="Catastrófico"),CONCATENATE("R7C",'Mapa final'!$S$24),"")</f>
        <v/>
      </c>
      <c r="AI52" s="53" t="str">
        <f>IF(AND('Mapa final'!$AC$25="Muy Baja",'Mapa final'!$AE$25="Catastrófico"),CONCATENATE("R7C",'Mapa final'!$S$25),"")</f>
        <v/>
      </c>
      <c r="AJ52" s="53" t="str">
        <f>IF(AND('Mapa final'!$AC$26="Muy Baja",'Mapa final'!$AE$26="Catastrófico"),CONCATENATE("R7C",'Mapa final'!$S$26),"")</f>
        <v/>
      </c>
      <c r="AK52" s="53" t="str">
        <f>IF(AND('Mapa final'!$AC$27="Muy Baja",'Mapa final'!$AE$27="Catastrófico"),CONCATENATE("R7C",'Mapa final'!$S$27),"")</f>
        <v/>
      </c>
      <c r="AL52" s="53" t="str">
        <f>IF(AND('Mapa final'!$AC$28="Muy Baja",'Mapa final'!$AE$28="Catastrófico"),CONCATENATE("R7C",'Mapa final'!$S$28),"")</f>
        <v/>
      </c>
      <c r="AM52" s="54" t="str">
        <f>IF(AND('Mapa final'!$AC$29="Muy Baja",'Mapa final'!$AE$29="Catastrófico"),CONCATENATE("R7C",'Mapa final'!$S$29),"")</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48"/>
      <c r="C53" s="348"/>
      <c r="D53" s="349"/>
      <c r="E53" s="447"/>
      <c r="F53" s="446"/>
      <c r="G53" s="446"/>
      <c r="H53" s="446"/>
      <c r="I53" s="462"/>
      <c r="J53" s="73" t="str">
        <f>IF(AND('Mapa final'!$AC$30="Muy Baja",'Mapa final'!$AE$30="Leve"),CONCATENATE("R8C",'Mapa final'!$S$30),"")</f>
        <v/>
      </c>
      <c r="K53" s="74" t="str">
        <f>IF(AND('Mapa final'!$AC$31="Muy Baja",'Mapa final'!$AE$31="Leve"),CONCATENATE("R8C",'Mapa final'!$S$31),"")</f>
        <v/>
      </c>
      <c r="L53" s="74" t="str">
        <f>IF(AND('Mapa final'!$AC$32="Muy Baja",'Mapa final'!$AE$32="Leve"),CONCATENATE("R8C",'Mapa final'!$S$32),"")</f>
        <v/>
      </c>
      <c r="M53" s="74" t="str">
        <f>IF(AND('Mapa final'!$AC$33="Muy Baja",'Mapa final'!$AE$33="Leve"),CONCATENATE("R8C",'Mapa final'!$S$33),"")</f>
        <v/>
      </c>
      <c r="N53" s="74" t="str">
        <f>IF(AND('Mapa final'!$AC$34="Muy Baja",'Mapa final'!$AE$34="Leve"),CONCATENATE("R8C",'Mapa final'!$S$34),"")</f>
        <v/>
      </c>
      <c r="O53" s="75" t="str">
        <f>IF(AND('Mapa final'!$AC$35="Muy Baja",'Mapa final'!$AE$35="Leve"),CONCATENATE("R8C",'Mapa final'!$S$35),"")</f>
        <v/>
      </c>
      <c r="P53" s="73" t="str">
        <f>IF(AND('Mapa final'!$AC$30="Muy Baja",'Mapa final'!$AE$30="Menor"),CONCATENATE("R8C",'Mapa final'!$S$30),"")</f>
        <v/>
      </c>
      <c r="Q53" s="74" t="str">
        <f>IF(AND('Mapa final'!$AC$31="Muy Baja",'Mapa final'!$AE$31="Menor"),CONCATENATE("R8C",'Mapa final'!$S$31),"")</f>
        <v/>
      </c>
      <c r="R53" s="74" t="str">
        <f>IF(AND('Mapa final'!$AC$32="Muy Baja",'Mapa final'!$AE$32="Menor"),CONCATENATE("R8C",'Mapa final'!$S$32),"")</f>
        <v/>
      </c>
      <c r="S53" s="74" t="str">
        <f>IF(AND('Mapa final'!$AC$33="Muy Baja",'Mapa final'!$AE$33="Menor"),CONCATENATE("R8C",'Mapa final'!$S$33),"")</f>
        <v/>
      </c>
      <c r="T53" s="74" t="str">
        <f>IF(AND('Mapa final'!$AC$34="Muy Baja",'Mapa final'!$AE$34="Menor"),CONCATENATE("R8C",'Mapa final'!$S$34),"")</f>
        <v/>
      </c>
      <c r="U53" s="75" t="str">
        <f>IF(AND('Mapa final'!$AC$35="Muy Baja",'Mapa final'!$AE$35="Menor"),CONCATENATE("R8C",'Mapa final'!$S$35),"")</f>
        <v/>
      </c>
      <c r="V53" s="64" t="str">
        <f>IF(AND('Mapa final'!$AC$30="Muy Baja",'Mapa final'!$AE$30="Moderado"),CONCATENATE("R8C",'Mapa final'!$S$30),"")</f>
        <v/>
      </c>
      <c r="W53" s="65" t="str">
        <f>IF(AND('Mapa final'!$AC$31="Muy Baja",'Mapa final'!$AE$31="Moderado"),CONCATENATE("R8C",'Mapa final'!$S$31),"")</f>
        <v/>
      </c>
      <c r="X53" s="65" t="str">
        <f>IF(AND('Mapa final'!$AC$32="Muy Baja",'Mapa final'!$AE$32="Moderado"),CONCATENATE("R8C",'Mapa final'!$S$32),"")</f>
        <v/>
      </c>
      <c r="Y53" s="65" t="str">
        <f>IF(AND('Mapa final'!$AC$33="Muy Baja",'Mapa final'!$AE$33="Moderado"),CONCATENATE("R8C",'Mapa final'!$S$33),"")</f>
        <v/>
      </c>
      <c r="Z53" s="65" t="str">
        <f>IF(AND('Mapa final'!$AC$34="Muy Baja",'Mapa final'!$AE$34="Moderado"),CONCATENATE("R8C",'Mapa final'!$S$34),"")</f>
        <v/>
      </c>
      <c r="AA53" s="66" t="str">
        <f>IF(AND('Mapa final'!$AC$35="Muy Baja",'Mapa final'!$AE$35="Moderado"),CONCATENATE("R8C",'Mapa final'!$S$35),"")</f>
        <v/>
      </c>
      <c r="AB53" s="49" t="str">
        <f>IF(AND('Mapa final'!$AC$30="Muy Baja",'Mapa final'!$AE$30="Mayor"),CONCATENATE("R8C",'Mapa final'!$S$30),"")</f>
        <v/>
      </c>
      <c r="AC53" s="50" t="str">
        <f>IF(AND('Mapa final'!$AC$31="Muy Baja",'Mapa final'!$AE$31="Mayor"),CONCATENATE("R8C",'Mapa final'!$S$31),"")</f>
        <v/>
      </c>
      <c r="AD53" s="50" t="str">
        <f>IF(AND('Mapa final'!$AC$32="Muy Baja",'Mapa final'!$AE$32="Mayor"),CONCATENATE("R8C",'Mapa final'!$S$32),"")</f>
        <v/>
      </c>
      <c r="AE53" s="50" t="str">
        <f>IF(AND('Mapa final'!$AC$33="Muy Baja",'Mapa final'!$AE$33="Mayor"),CONCATENATE("R8C",'Mapa final'!$S$33),"")</f>
        <v/>
      </c>
      <c r="AF53" s="50" t="str">
        <f>IF(AND('Mapa final'!$AC$34="Muy Baja",'Mapa final'!$AE$34="Mayor"),CONCATENATE("R8C",'Mapa final'!$S$34),"")</f>
        <v/>
      </c>
      <c r="AG53" s="51" t="str">
        <f>IF(AND('Mapa final'!$AC$35="Muy Baja",'Mapa final'!$AE$35="Mayor"),CONCATENATE("R8C",'Mapa final'!$S$35),"")</f>
        <v/>
      </c>
      <c r="AH53" s="52" t="str">
        <f>IF(AND('Mapa final'!$AC$30="Muy Baja",'Mapa final'!$AE$30="Catastrófico"),CONCATENATE("R8C",'Mapa final'!$S$30),"")</f>
        <v/>
      </c>
      <c r="AI53" s="53" t="str">
        <f>IF(AND('Mapa final'!$AC$31="Muy Baja",'Mapa final'!$AE$31="Catastrófico"),CONCATENATE("R8C",'Mapa final'!$S$31),"")</f>
        <v/>
      </c>
      <c r="AJ53" s="53" t="str">
        <f>IF(AND('Mapa final'!$AC$32="Muy Baja",'Mapa final'!$AE$32="Catastrófico"),CONCATENATE("R8C",'Mapa final'!$S$32),"")</f>
        <v/>
      </c>
      <c r="AK53" s="53" t="str">
        <f>IF(AND('Mapa final'!$AC$33="Muy Baja",'Mapa final'!$AE$33="Catastrófico"),CONCATENATE("R8C",'Mapa final'!$S$33),"")</f>
        <v/>
      </c>
      <c r="AL53" s="53" t="str">
        <f>IF(AND('Mapa final'!$AC$34="Muy Baja",'Mapa final'!$AE$34="Catastrófico"),CONCATENATE("R8C",'Mapa final'!$S$34),"")</f>
        <v/>
      </c>
      <c r="AM53" s="54" t="str">
        <f>IF(AND('Mapa final'!$AC$35="Muy Baja",'Mapa final'!$AE$35="Catastrófico"),CONCATENATE("R8C",'Mapa final'!$S$35),"")</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48"/>
      <c r="C54" s="348"/>
      <c r="D54" s="349"/>
      <c r="E54" s="447"/>
      <c r="F54" s="446"/>
      <c r="G54" s="446"/>
      <c r="H54" s="446"/>
      <c r="I54" s="462"/>
      <c r="J54" s="73" t="str">
        <f>IF(AND('Mapa final'!$AC$36="Muy Baja",'Mapa final'!$AE$36="Leve"),CONCATENATE("R9C",'Mapa final'!$S$36),"")</f>
        <v/>
      </c>
      <c r="K54" s="74" t="str">
        <f>IF(AND('Mapa final'!$AC$37="Muy Baja",'Mapa final'!$AE$37="Leve"),CONCATENATE("R9C",'Mapa final'!$S$37),"")</f>
        <v/>
      </c>
      <c r="L54" s="74" t="str">
        <f>IF(AND('Mapa final'!$AC$38="Muy Baja",'Mapa final'!$AE$38="Leve"),CONCATENATE("R9C",'Mapa final'!$S$38),"")</f>
        <v/>
      </c>
      <c r="M54" s="74" t="str">
        <f>IF(AND('Mapa final'!$AC$39="Muy Baja",'Mapa final'!$AE$39="Leve"),CONCATENATE("R9C",'Mapa final'!$S$39),"")</f>
        <v/>
      </c>
      <c r="N54" s="74" t="str">
        <f>IF(AND('Mapa final'!$AC$40="Muy Baja",'Mapa final'!$AE$40="Leve"),CONCATENATE("R9C",'Mapa final'!$S$40),"")</f>
        <v/>
      </c>
      <c r="O54" s="75" t="str">
        <f>IF(AND('Mapa final'!$AC$41="Muy Baja",'Mapa final'!$AE$41="Leve"),CONCATENATE("R9C",'Mapa final'!$S$41),"")</f>
        <v/>
      </c>
      <c r="P54" s="73" t="str">
        <f>IF(AND('Mapa final'!$AC$36="Muy Baja",'Mapa final'!$AE$36="Menor"),CONCATENATE("R9C",'Mapa final'!$S$36),"")</f>
        <v/>
      </c>
      <c r="Q54" s="74" t="str">
        <f>IF(AND('Mapa final'!$AC$37="Muy Baja",'Mapa final'!$AE$37="Menor"),CONCATENATE("R9C",'Mapa final'!$S$37),"")</f>
        <v/>
      </c>
      <c r="R54" s="74" t="str">
        <f>IF(AND('Mapa final'!$AC$38="Muy Baja",'Mapa final'!$AE$38="Menor"),CONCATENATE("R9C",'Mapa final'!$S$38),"")</f>
        <v/>
      </c>
      <c r="S54" s="74" t="str">
        <f>IF(AND('Mapa final'!$AC$39="Muy Baja",'Mapa final'!$AE$39="Menor"),CONCATENATE("R9C",'Mapa final'!$S$39),"")</f>
        <v/>
      </c>
      <c r="T54" s="74" t="str">
        <f>IF(AND('Mapa final'!$AC$40="Muy Baja",'Mapa final'!$AE$40="Menor"),CONCATENATE("R9C",'Mapa final'!$S$40),"")</f>
        <v/>
      </c>
      <c r="U54" s="75" t="str">
        <f>IF(AND('Mapa final'!$AC$41="Muy Baja",'Mapa final'!$AE$41="Menor"),CONCATENATE("R9C",'Mapa final'!$S$41),"")</f>
        <v/>
      </c>
      <c r="V54" s="64" t="str">
        <f>IF(AND('Mapa final'!$AC$36="Muy Baja",'Mapa final'!$AE$36="Moderado"),CONCATENATE("R9C",'Mapa final'!$S$36),"")</f>
        <v/>
      </c>
      <c r="W54" s="65" t="str">
        <f>IF(AND('Mapa final'!$AC$37="Muy Baja",'Mapa final'!$AE$37="Moderado"),CONCATENATE("R9C",'Mapa final'!$S$37),"")</f>
        <v/>
      </c>
      <c r="X54" s="65" t="str">
        <f>IF(AND('Mapa final'!$AC$38="Muy Baja",'Mapa final'!$AE$38="Moderado"),CONCATENATE("R9C",'Mapa final'!$S$38),"")</f>
        <v/>
      </c>
      <c r="Y54" s="65" t="str">
        <f>IF(AND('Mapa final'!$AC$39="Muy Baja",'Mapa final'!$AE$39="Moderado"),CONCATENATE("R9C",'Mapa final'!$S$39),"")</f>
        <v/>
      </c>
      <c r="Z54" s="65" t="str">
        <f>IF(AND('Mapa final'!$AC$40="Muy Baja",'Mapa final'!$AE$40="Moderado"),CONCATENATE("R9C",'Mapa final'!$S$40),"")</f>
        <v/>
      </c>
      <c r="AA54" s="66" t="str">
        <f>IF(AND('Mapa final'!$AC$41="Muy Baja",'Mapa final'!$AE$41="Moderado"),CONCATENATE("R9C",'Mapa final'!$S$41),"")</f>
        <v/>
      </c>
      <c r="AB54" s="49" t="str">
        <f>IF(AND('Mapa final'!$AC$36="Muy Baja",'Mapa final'!$AE$36="Mayor"),CONCATENATE("R9C",'Mapa final'!$S$36),"")</f>
        <v/>
      </c>
      <c r="AC54" s="50" t="str">
        <f>IF(AND('Mapa final'!$AC$37="Muy Baja",'Mapa final'!$AE$37="Mayor"),CONCATENATE("R9C",'Mapa final'!$S$37),"")</f>
        <v/>
      </c>
      <c r="AD54" s="50" t="str">
        <f>IF(AND('Mapa final'!$AC$38="Muy Baja",'Mapa final'!$AE$38="Mayor"),CONCATENATE("R9C",'Mapa final'!$S$38),"")</f>
        <v/>
      </c>
      <c r="AE54" s="50" t="str">
        <f>IF(AND('Mapa final'!$AC$39="Muy Baja",'Mapa final'!$AE$39="Mayor"),CONCATENATE("R9C",'Mapa final'!$S$39),"")</f>
        <v/>
      </c>
      <c r="AF54" s="50" t="str">
        <f>IF(AND('Mapa final'!$AC$40="Muy Baja",'Mapa final'!$AE$40="Mayor"),CONCATENATE("R9C",'Mapa final'!$S$40),"")</f>
        <v/>
      </c>
      <c r="AG54" s="51" t="str">
        <f>IF(AND('Mapa final'!$AC$41="Muy Baja",'Mapa final'!$AE$41="Mayor"),CONCATENATE("R9C",'Mapa final'!$S$41),"")</f>
        <v/>
      </c>
      <c r="AH54" s="52" t="str">
        <f>IF(AND('Mapa final'!$AC$36="Muy Baja",'Mapa final'!$AE$36="Catastrófico"),CONCATENATE("R9C",'Mapa final'!$S$36),"")</f>
        <v/>
      </c>
      <c r="AI54" s="53" t="str">
        <f>IF(AND('Mapa final'!$AC$37="Muy Baja",'Mapa final'!$AE$37="Catastrófico"),CONCATENATE("R9C",'Mapa final'!$S$37),"")</f>
        <v/>
      </c>
      <c r="AJ54" s="53" t="str">
        <f>IF(AND('Mapa final'!$AC$38="Muy Baja",'Mapa final'!$AE$38="Catastrófico"),CONCATENATE("R9C",'Mapa final'!$S$38),"")</f>
        <v/>
      </c>
      <c r="AK54" s="53" t="str">
        <f>IF(AND('Mapa final'!$AC$39="Muy Baja",'Mapa final'!$AE$39="Catastrófico"),CONCATENATE("R9C",'Mapa final'!$S$39),"")</f>
        <v/>
      </c>
      <c r="AL54" s="53" t="str">
        <f>IF(AND('Mapa final'!$AC$40="Muy Baja",'Mapa final'!$AE$40="Catastrófico"),CONCATENATE("R9C",'Mapa final'!$S$40),"")</f>
        <v/>
      </c>
      <c r="AM54" s="54" t="str">
        <f>IF(AND('Mapa final'!$AC$41="Muy Baja",'Mapa final'!$AE$41="Catastrófico"),CONCATENATE("R9C",'Mapa final'!$S$41),"")</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48"/>
      <c r="C55" s="348"/>
      <c r="D55" s="349"/>
      <c r="E55" s="448"/>
      <c r="F55" s="449"/>
      <c r="G55" s="449"/>
      <c r="H55" s="449"/>
      <c r="I55" s="463"/>
      <c r="J55" s="76" t="str">
        <f>IF(AND('Mapa final'!$AC$42="Muy Baja",'Mapa final'!$AE$42="Leve"),CONCATENATE("R10C",'Mapa final'!$S$42),"")</f>
        <v/>
      </c>
      <c r="K55" s="77" t="str">
        <f>IF(AND('Mapa final'!$AC$43="Muy Baja",'Mapa final'!$AE$43="Leve"),CONCATENATE("R10C",'Mapa final'!$S$43),"")</f>
        <v/>
      </c>
      <c r="L55" s="77" t="str">
        <f>IF(AND('Mapa final'!$AC$44="Muy Baja",'Mapa final'!$AE$44="Leve"),CONCATENATE("R10C",'Mapa final'!$S$44),"")</f>
        <v/>
      </c>
      <c r="M55" s="77" t="str">
        <f>IF(AND('Mapa final'!$AC$45="Muy Baja",'Mapa final'!$AE$45="Leve"),CONCATENATE("R10C",'Mapa final'!$S$45),"")</f>
        <v/>
      </c>
      <c r="N55" s="77" t="str">
        <f>IF(AND('Mapa final'!$AC$46="Muy Baja",'Mapa final'!$AE$46="Leve"),CONCATENATE("R10C",'Mapa final'!$S$46),"")</f>
        <v/>
      </c>
      <c r="O55" s="78" t="str">
        <f>IF(AND('Mapa final'!$AC$47="Muy Baja",'Mapa final'!$AE$47="Leve"),CONCATENATE("R10C",'Mapa final'!$S$47),"")</f>
        <v/>
      </c>
      <c r="P55" s="76" t="str">
        <f>IF(AND('Mapa final'!$AC$42="Muy Baja",'Mapa final'!$AE$42="Menor"),CONCATENATE("R10C",'Mapa final'!$S$42),"")</f>
        <v/>
      </c>
      <c r="Q55" s="77" t="str">
        <f>IF(AND('Mapa final'!$AC$43="Muy Baja",'Mapa final'!$AE$43="Menor"),CONCATENATE("R10C",'Mapa final'!$S$43),"")</f>
        <v/>
      </c>
      <c r="R55" s="77" t="str">
        <f>IF(AND('Mapa final'!$AC$44="Muy Baja",'Mapa final'!$AE$44="Menor"),CONCATENATE("R10C",'Mapa final'!$S$44),"")</f>
        <v/>
      </c>
      <c r="S55" s="77" t="str">
        <f>IF(AND('Mapa final'!$AC$45="Muy Baja",'Mapa final'!$AE$45="Menor"),CONCATENATE("R10C",'Mapa final'!$S$45),"")</f>
        <v/>
      </c>
      <c r="T55" s="77" t="str">
        <f>IF(AND('Mapa final'!$AC$46="Muy Baja",'Mapa final'!$AE$46="Menor"),CONCATENATE("R10C",'Mapa final'!$S$46),"")</f>
        <v/>
      </c>
      <c r="U55" s="78" t="str">
        <f>IF(AND('Mapa final'!$AC$47="Muy Baja",'Mapa final'!$AE$47="Menor"),CONCATENATE("R10C",'Mapa final'!$S$47),"")</f>
        <v/>
      </c>
      <c r="V55" s="67" t="str">
        <f>IF(AND('Mapa final'!$AC$42="Muy Baja",'Mapa final'!$AE$42="Moderado"),CONCATENATE("R10C",'Mapa final'!$S$42),"")</f>
        <v/>
      </c>
      <c r="W55" s="68" t="str">
        <f>IF(AND('Mapa final'!$AC$43="Muy Baja",'Mapa final'!$AE$43="Moderado"),CONCATENATE("R10C",'Mapa final'!$S$43),"")</f>
        <v/>
      </c>
      <c r="X55" s="68" t="str">
        <f>IF(AND('Mapa final'!$AC$44="Muy Baja",'Mapa final'!$AE$44="Moderado"),CONCATENATE("R10C",'Mapa final'!$S$44),"")</f>
        <v/>
      </c>
      <c r="Y55" s="68" t="str">
        <f>IF(AND('Mapa final'!$AC$45="Muy Baja",'Mapa final'!$AE$45="Moderado"),CONCATENATE("R10C",'Mapa final'!$S$45),"")</f>
        <v/>
      </c>
      <c r="Z55" s="68" t="str">
        <f>IF(AND('Mapa final'!$AC$46="Muy Baja",'Mapa final'!$AE$46="Moderado"),CONCATENATE("R10C",'Mapa final'!$S$46),"")</f>
        <v/>
      </c>
      <c r="AA55" s="69" t="str">
        <f>IF(AND('Mapa final'!$AC$47="Muy Baja",'Mapa final'!$AE$47="Moderado"),CONCATENATE("R10C",'Mapa final'!$S$47),"")</f>
        <v/>
      </c>
      <c r="AB55" s="55" t="str">
        <f>IF(AND('Mapa final'!$AC$42="Muy Baja",'Mapa final'!$AE$42="Mayor"),CONCATENATE("R10C",'Mapa final'!$S$42),"")</f>
        <v/>
      </c>
      <c r="AC55" s="56" t="str">
        <f>IF(AND('Mapa final'!$AC$43="Muy Baja",'Mapa final'!$AE$43="Mayor"),CONCATENATE("R10C",'Mapa final'!$S$43),"")</f>
        <v/>
      </c>
      <c r="AD55" s="56" t="str">
        <f>IF(AND('Mapa final'!$AC$44="Muy Baja",'Mapa final'!$AE$44="Mayor"),CONCATENATE("R10C",'Mapa final'!$S$44),"")</f>
        <v/>
      </c>
      <c r="AE55" s="56" t="str">
        <f>IF(AND('Mapa final'!$AC$45="Muy Baja",'Mapa final'!$AE$45="Mayor"),CONCATENATE("R10C",'Mapa final'!$S$45),"")</f>
        <v/>
      </c>
      <c r="AF55" s="56" t="str">
        <f>IF(AND('Mapa final'!$AC$46="Muy Baja",'Mapa final'!$AE$46="Mayor"),CONCATENATE("R10C",'Mapa final'!$S$46),"")</f>
        <v/>
      </c>
      <c r="AG55" s="57" t="str">
        <f>IF(AND('Mapa final'!$AC$47="Muy Baja",'Mapa final'!$AE$47="Mayor"),CONCATENATE("R10C",'Mapa final'!$S$47),"")</f>
        <v/>
      </c>
      <c r="AH55" s="58" t="str">
        <f>IF(AND('Mapa final'!$AC$42="Muy Baja",'Mapa final'!$AE$42="Catastrófico"),CONCATENATE("R10C",'Mapa final'!$S$42),"")</f>
        <v/>
      </c>
      <c r="AI55" s="59" t="str">
        <f>IF(AND('Mapa final'!$AC$43="Muy Baja",'Mapa final'!$AE$43="Catastrófico"),CONCATENATE("R10C",'Mapa final'!$S$43),"")</f>
        <v/>
      </c>
      <c r="AJ55" s="59" t="str">
        <f>IF(AND('Mapa final'!$AC$44="Muy Baja",'Mapa final'!$AE$44="Catastrófico"),CONCATENATE("R10C",'Mapa final'!$S$44),"")</f>
        <v/>
      </c>
      <c r="AK55" s="59" t="str">
        <f>IF(AND('Mapa final'!$AC$45="Muy Baja",'Mapa final'!$AE$45="Catastrófico"),CONCATENATE("R10C",'Mapa final'!$S$45),"")</f>
        <v/>
      </c>
      <c r="AL55" s="59" t="str">
        <f>IF(AND('Mapa final'!$AC$46="Muy Baja",'Mapa final'!$AE$46="Catastrófico"),CONCATENATE("R10C",'Mapa final'!$S$46),"")</f>
        <v/>
      </c>
      <c r="AM55" s="60" t="str">
        <f>IF(AND('Mapa final'!$AC$47="Muy Baja",'Mapa final'!$AE$47="Catastrófico"),CONCATENATE("R10C",'Mapa final'!$S$47),"")</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43" t="s">
        <v>112</v>
      </c>
      <c r="K56" s="444"/>
      <c r="L56" s="444"/>
      <c r="M56" s="444"/>
      <c r="N56" s="444"/>
      <c r="O56" s="461"/>
      <c r="P56" s="443" t="s">
        <v>111</v>
      </c>
      <c r="Q56" s="444"/>
      <c r="R56" s="444"/>
      <c r="S56" s="444"/>
      <c r="T56" s="444"/>
      <c r="U56" s="461"/>
      <c r="V56" s="443" t="s">
        <v>110</v>
      </c>
      <c r="W56" s="444"/>
      <c r="X56" s="444"/>
      <c r="Y56" s="444"/>
      <c r="Z56" s="444"/>
      <c r="AA56" s="461"/>
      <c r="AB56" s="443" t="s">
        <v>109</v>
      </c>
      <c r="AC56" s="482"/>
      <c r="AD56" s="444"/>
      <c r="AE56" s="444"/>
      <c r="AF56" s="444"/>
      <c r="AG56" s="461"/>
      <c r="AH56" s="443" t="s">
        <v>108</v>
      </c>
      <c r="AI56" s="444"/>
      <c r="AJ56" s="444"/>
      <c r="AK56" s="444"/>
      <c r="AL56" s="444"/>
      <c r="AM56" s="461"/>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47"/>
      <c r="K57" s="446"/>
      <c r="L57" s="446"/>
      <c r="M57" s="446"/>
      <c r="N57" s="446"/>
      <c r="O57" s="462"/>
      <c r="P57" s="447"/>
      <c r="Q57" s="446"/>
      <c r="R57" s="446"/>
      <c r="S57" s="446"/>
      <c r="T57" s="446"/>
      <c r="U57" s="462"/>
      <c r="V57" s="447"/>
      <c r="W57" s="446"/>
      <c r="X57" s="446"/>
      <c r="Y57" s="446"/>
      <c r="Z57" s="446"/>
      <c r="AA57" s="462"/>
      <c r="AB57" s="447"/>
      <c r="AC57" s="446"/>
      <c r="AD57" s="446"/>
      <c r="AE57" s="446"/>
      <c r="AF57" s="446"/>
      <c r="AG57" s="462"/>
      <c r="AH57" s="447"/>
      <c r="AI57" s="446"/>
      <c r="AJ57" s="446"/>
      <c r="AK57" s="446"/>
      <c r="AL57" s="446"/>
      <c r="AM57" s="462"/>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47"/>
      <c r="K58" s="446"/>
      <c r="L58" s="446"/>
      <c r="M58" s="446"/>
      <c r="N58" s="446"/>
      <c r="O58" s="462"/>
      <c r="P58" s="447"/>
      <c r="Q58" s="446"/>
      <c r="R58" s="446"/>
      <c r="S58" s="446"/>
      <c r="T58" s="446"/>
      <c r="U58" s="462"/>
      <c r="V58" s="447"/>
      <c r="W58" s="446"/>
      <c r="X58" s="446"/>
      <c r="Y58" s="446"/>
      <c r="Z58" s="446"/>
      <c r="AA58" s="462"/>
      <c r="AB58" s="447"/>
      <c r="AC58" s="446"/>
      <c r="AD58" s="446"/>
      <c r="AE58" s="446"/>
      <c r="AF58" s="446"/>
      <c r="AG58" s="462"/>
      <c r="AH58" s="447"/>
      <c r="AI58" s="446"/>
      <c r="AJ58" s="446"/>
      <c r="AK58" s="446"/>
      <c r="AL58" s="446"/>
      <c r="AM58" s="462"/>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47"/>
      <c r="K59" s="446"/>
      <c r="L59" s="446"/>
      <c r="M59" s="446"/>
      <c r="N59" s="446"/>
      <c r="O59" s="462"/>
      <c r="P59" s="447"/>
      <c r="Q59" s="446"/>
      <c r="R59" s="446"/>
      <c r="S59" s="446"/>
      <c r="T59" s="446"/>
      <c r="U59" s="462"/>
      <c r="V59" s="447"/>
      <c r="W59" s="446"/>
      <c r="X59" s="446"/>
      <c r="Y59" s="446"/>
      <c r="Z59" s="446"/>
      <c r="AA59" s="462"/>
      <c r="AB59" s="447"/>
      <c r="AC59" s="446"/>
      <c r="AD59" s="446"/>
      <c r="AE59" s="446"/>
      <c r="AF59" s="446"/>
      <c r="AG59" s="462"/>
      <c r="AH59" s="447"/>
      <c r="AI59" s="446"/>
      <c r="AJ59" s="446"/>
      <c r="AK59" s="446"/>
      <c r="AL59" s="446"/>
      <c r="AM59" s="462"/>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47"/>
      <c r="K60" s="446"/>
      <c r="L60" s="446"/>
      <c r="M60" s="446"/>
      <c r="N60" s="446"/>
      <c r="O60" s="462"/>
      <c r="P60" s="447"/>
      <c r="Q60" s="446"/>
      <c r="R60" s="446"/>
      <c r="S60" s="446"/>
      <c r="T60" s="446"/>
      <c r="U60" s="462"/>
      <c r="V60" s="447"/>
      <c r="W60" s="446"/>
      <c r="X60" s="446"/>
      <c r="Y60" s="446"/>
      <c r="Z60" s="446"/>
      <c r="AA60" s="462"/>
      <c r="AB60" s="447"/>
      <c r="AC60" s="446"/>
      <c r="AD60" s="446"/>
      <c r="AE60" s="446"/>
      <c r="AF60" s="446"/>
      <c r="AG60" s="462"/>
      <c r="AH60" s="447"/>
      <c r="AI60" s="446"/>
      <c r="AJ60" s="446"/>
      <c r="AK60" s="446"/>
      <c r="AL60" s="446"/>
      <c r="AM60" s="462"/>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48"/>
      <c r="K61" s="449"/>
      <c r="L61" s="449"/>
      <c r="M61" s="449"/>
      <c r="N61" s="449"/>
      <c r="O61" s="463"/>
      <c r="P61" s="448"/>
      <c r="Q61" s="449"/>
      <c r="R61" s="449"/>
      <c r="S61" s="449"/>
      <c r="T61" s="449"/>
      <c r="U61" s="463"/>
      <c r="V61" s="448"/>
      <c r="W61" s="449"/>
      <c r="X61" s="449"/>
      <c r="Y61" s="449"/>
      <c r="Z61" s="449"/>
      <c r="AA61" s="463"/>
      <c r="AB61" s="448"/>
      <c r="AC61" s="449"/>
      <c r="AD61" s="449"/>
      <c r="AE61" s="449"/>
      <c r="AF61" s="449"/>
      <c r="AG61" s="463"/>
      <c r="AH61" s="448"/>
      <c r="AI61" s="449"/>
      <c r="AJ61" s="449"/>
      <c r="AK61" s="449"/>
      <c r="AL61" s="449"/>
      <c r="AM61" s="463"/>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RowHeight="15" x14ac:dyDescent="0.25"/>
  <cols>
    <col min="2" max="2" width="24.140625" customWidth="1"/>
    <col min="3" max="3" width="70.140625" customWidth="1"/>
    <col min="4" max="4" width="29.85546875" customWidth="1"/>
  </cols>
  <sheetData>
    <row r="1" spans="1:37" ht="23.25" x14ac:dyDescent="0.25">
      <c r="A1" s="80"/>
      <c r="B1" s="483" t="s">
        <v>55</v>
      </c>
      <c r="C1" s="483"/>
      <c r="D1" s="483"/>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52</v>
      </c>
      <c r="D3" s="12" t="s">
        <v>4</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51</v>
      </c>
      <c r="C4" s="14" t="s">
        <v>102</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53</v>
      </c>
      <c r="C5" s="17" t="s">
        <v>103</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107</v>
      </c>
      <c r="C6" s="17" t="s">
        <v>104</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6</v>
      </c>
      <c r="C7" s="17" t="s">
        <v>105</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54</v>
      </c>
      <c r="C8" s="17" t="s">
        <v>106</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84" t="s">
        <v>63</v>
      </c>
      <c r="C1" s="484"/>
      <c r="D1" s="484"/>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56</v>
      </c>
      <c r="D3" s="33" t="s">
        <v>57</v>
      </c>
      <c r="E3" s="80"/>
      <c r="F3" s="80"/>
      <c r="G3" s="80"/>
      <c r="H3" s="80"/>
      <c r="I3" s="80"/>
      <c r="J3" s="80"/>
      <c r="K3" s="80"/>
      <c r="L3" s="80"/>
      <c r="M3" s="80"/>
      <c r="N3" s="80"/>
      <c r="O3" s="80"/>
      <c r="P3" s="80"/>
      <c r="Q3" s="80"/>
      <c r="R3" s="80"/>
      <c r="S3" s="80"/>
      <c r="T3" s="80"/>
      <c r="U3" s="80"/>
    </row>
    <row r="4" spans="1:21" ht="33.75" x14ac:dyDescent="0.25">
      <c r="A4" s="100" t="s">
        <v>83</v>
      </c>
      <c r="B4" s="36" t="s">
        <v>101</v>
      </c>
      <c r="C4" s="41" t="s">
        <v>156</v>
      </c>
      <c r="D4" s="34" t="s">
        <v>97</v>
      </c>
      <c r="E4" s="80"/>
      <c r="F4" s="80"/>
      <c r="G4" s="80"/>
      <c r="H4" s="80"/>
      <c r="I4" s="80"/>
      <c r="J4" s="80"/>
      <c r="K4" s="80"/>
      <c r="L4" s="80"/>
      <c r="M4" s="80"/>
      <c r="N4" s="80"/>
      <c r="O4" s="80"/>
      <c r="P4" s="80"/>
      <c r="Q4" s="80"/>
      <c r="R4" s="80"/>
      <c r="S4" s="80"/>
      <c r="T4" s="80"/>
      <c r="U4" s="80"/>
    </row>
    <row r="5" spans="1:21" ht="101.25" x14ac:dyDescent="0.25">
      <c r="A5" s="100" t="s">
        <v>84</v>
      </c>
      <c r="B5" s="37" t="s">
        <v>59</v>
      </c>
      <c r="C5" s="42" t="s">
        <v>93</v>
      </c>
      <c r="D5" s="35" t="s">
        <v>98</v>
      </c>
      <c r="E5" s="80"/>
      <c r="F5" s="80"/>
      <c r="G5" s="80"/>
      <c r="H5" s="80"/>
      <c r="I5" s="80"/>
      <c r="J5" s="80"/>
      <c r="K5" s="80"/>
      <c r="L5" s="80"/>
      <c r="M5" s="80"/>
      <c r="N5" s="80"/>
      <c r="O5" s="80"/>
      <c r="P5" s="80"/>
      <c r="Q5" s="80"/>
      <c r="R5" s="80"/>
      <c r="S5" s="80"/>
      <c r="T5" s="80"/>
      <c r="U5" s="80"/>
    </row>
    <row r="6" spans="1:21" ht="67.5" x14ac:dyDescent="0.25">
      <c r="A6" s="100" t="s">
        <v>81</v>
      </c>
      <c r="B6" s="38" t="s">
        <v>60</v>
      </c>
      <c r="C6" s="42" t="s">
        <v>94</v>
      </c>
      <c r="D6" s="35" t="s">
        <v>100</v>
      </c>
      <c r="E6" s="80"/>
      <c r="F6" s="80"/>
      <c r="G6" s="80"/>
      <c r="H6" s="80"/>
      <c r="I6" s="80"/>
      <c r="J6" s="80"/>
      <c r="K6" s="80"/>
      <c r="L6" s="80"/>
      <c r="M6" s="80"/>
      <c r="N6" s="80"/>
      <c r="O6" s="80"/>
      <c r="P6" s="80"/>
      <c r="Q6" s="80"/>
      <c r="R6" s="80"/>
      <c r="S6" s="80"/>
      <c r="T6" s="80"/>
      <c r="U6" s="80"/>
    </row>
    <row r="7" spans="1:21" ht="101.25" x14ac:dyDescent="0.25">
      <c r="A7" s="100" t="s">
        <v>7</v>
      </c>
      <c r="B7" s="39" t="s">
        <v>61</v>
      </c>
      <c r="C7" s="42" t="s">
        <v>95</v>
      </c>
      <c r="D7" s="35" t="s">
        <v>99</v>
      </c>
      <c r="E7" s="80"/>
      <c r="F7" s="80"/>
      <c r="G7" s="80"/>
      <c r="H7" s="80"/>
      <c r="I7" s="80"/>
      <c r="J7" s="80"/>
      <c r="K7" s="80"/>
      <c r="L7" s="80"/>
      <c r="M7" s="80"/>
      <c r="N7" s="80"/>
      <c r="O7" s="80"/>
      <c r="P7" s="80"/>
      <c r="Q7" s="80"/>
      <c r="R7" s="80"/>
      <c r="S7" s="80"/>
      <c r="T7" s="80"/>
      <c r="U7" s="80"/>
    </row>
    <row r="8" spans="1:21" ht="67.5" x14ac:dyDescent="0.25">
      <c r="A8" s="100" t="s">
        <v>85</v>
      </c>
      <c r="B8" s="40" t="s">
        <v>62</v>
      </c>
      <c r="C8" s="42" t="s">
        <v>96</v>
      </c>
      <c r="D8" s="35" t="s">
        <v>118</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91</v>
      </c>
      <c r="C11" s="100" t="s">
        <v>144</v>
      </c>
      <c r="D11" s="100" t="s">
        <v>151</v>
      </c>
      <c r="E11" s="80"/>
      <c r="F11" s="80"/>
      <c r="G11" s="80"/>
      <c r="H11" s="80"/>
      <c r="I11" s="80"/>
      <c r="J11" s="80"/>
      <c r="K11" s="80"/>
      <c r="L11" s="80"/>
      <c r="M11" s="80"/>
      <c r="N11" s="80"/>
      <c r="O11" s="80"/>
      <c r="P11" s="80"/>
      <c r="Q11" s="80"/>
      <c r="R11" s="80"/>
      <c r="S11" s="80"/>
      <c r="T11" s="80"/>
      <c r="U11" s="80"/>
    </row>
    <row r="12" spans="1:21" x14ac:dyDescent="0.25">
      <c r="A12" s="100"/>
      <c r="B12" s="100" t="s">
        <v>89</v>
      </c>
      <c r="C12" s="100" t="s">
        <v>148</v>
      </c>
      <c r="D12" s="100" t="s">
        <v>152</v>
      </c>
      <c r="E12" s="80"/>
      <c r="F12" s="80"/>
      <c r="G12" s="80"/>
      <c r="H12" s="80"/>
      <c r="I12" s="80"/>
      <c r="J12" s="80"/>
      <c r="K12" s="80"/>
      <c r="L12" s="80"/>
      <c r="M12" s="80"/>
      <c r="N12" s="80"/>
      <c r="O12" s="80"/>
      <c r="P12" s="80"/>
      <c r="Q12" s="80"/>
      <c r="R12" s="80"/>
      <c r="S12" s="80"/>
      <c r="T12" s="80"/>
      <c r="U12" s="80"/>
    </row>
    <row r="13" spans="1:21" x14ac:dyDescent="0.25">
      <c r="A13" s="100"/>
      <c r="B13" s="100"/>
      <c r="C13" s="100" t="s">
        <v>147</v>
      </c>
      <c r="D13" s="100" t="s">
        <v>153</v>
      </c>
      <c r="E13" s="80"/>
      <c r="F13" s="80"/>
      <c r="G13" s="80"/>
      <c r="H13" s="80"/>
      <c r="I13" s="80"/>
      <c r="J13" s="80"/>
      <c r="K13" s="80"/>
      <c r="L13" s="80"/>
      <c r="M13" s="80"/>
      <c r="N13" s="80"/>
      <c r="O13" s="80"/>
      <c r="P13" s="80"/>
      <c r="Q13" s="80"/>
      <c r="R13" s="80"/>
      <c r="S13" s="80"/>
      <c r="T13" s="80"/>
      <c r="U13" s="80"/>
    </row>
    <row r="14" spans="1:21" x14ac:dyDescent="0.25">
      <c r="A14" s="100"/>
      <c r="B14" s="100"/>
      <c r="C14" s="100" t="s">
        <v>149</v>
      </c>
      <c r="D14" s="100" t="s">
        <v>154</v>
      </c>
      <c r="E14" s="80"/>
      <c r="F14" s="80"/>
      <c r="G14" s="80"/>
      <c r="H14" s="80"/>
      <c r="I14" s="80"/>
      <c r="J14" s="80"/>
      <c r="K14" s="80"/>
      <c r="L14" s="80"/>
      <c r="M14" s="80"/>
      <c r="N14" s="80"/>
      <c r="O14" s="80"/>
      <c r="P14" s="80"/>
      <c r="Q14" s="80"/>
      <c r="R14" s="80"/>
      <c r="S14" s="80"/>
      <c r="T14" s="80"/>
      <c r="U14" s="80"/>
    </row>
    <row r="15" spans="1:21" x14ac:dyDescent="0.25">
      <c r="A15" s="100"/>
      <c r="B15" s="100"/>
      <c r="C15" s="100" t="s">
        <v>150</v>
      </c>
      <c r="D15" s="100" t="s">
        <v>155</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88</v>
      </c>
      <c r="C209" s="27" t="s">
        <v>143</v>
      </c>
      <c r="D209" s="30" t="s">
        <v>88</v>
      </c>
      <c r="E209" s="30" t="s">
        <v>143</v>
      </c>
    </row>
    <row r="210" spans="1:8" ht="21" x14ac:dyDescent="0.35">
      <c r="A210" s="80"/>
      <c r="B210" s="28" t="s">
        <v>90</v>
      </c>
      <c r="C210" s="28" t="s">
        <v>58</v>
      </c>
      <c r="D210" t="s">
        <v>90</v>
      </c>
      <c r="F210" t="str">
        <f>IF(NOT(ISBLANK(D210)),D210,IF(NOT(ISBLANK(E210)),"     "&amp;E210,FALSE))</f>
        <v>Afectación Económica o presupuestal</v>
      </c>
      <c r="G210" t="s">
        <v>90</v>
      </c>
      <c r="H210" t="str">
        <f>IF(NOT(ISERROR(MATCH(G210,_xlfn.ANCHORARRAY(B221),0))),F223&amp;"Por favor no seleccionar los criterios de impacto",G210)</f>
        <v>❌Por favor no seleccionar los criterios de impacto</v>
      </c>
    </row>
    <row r="211" spans="1:8" ht="21" x14ac:dyDescent="0.35">
      <c r="A211" s="80"/>
      <c r="B211" s="28" t="s">
        <v>90</v>
      </c>
      <c r="C211" s="28" t="s">
        <v>93</v>
      </c>
      <c r="E211" t="s">
        <v>58</v>
      </c>
      <c r="F211" t="str">
        <f t="shared" ref="F211:F221" si="0">IF(NOT(ISBLANK(D211)),D211,IF(NOT(ISBLANK(E211)),"     "&amp;E211,FALSE))</f>
        <v xml:space="preserve">     Afectación menor a 10 SMLMV .</v>
      </c>
    </row>
    <row r="212" spans="1:8" ht="21" x14ac:dyDescent="0.35">
      <c r="A212" s="80"/>
      <c r="B212" s="28" t="s">
        <v>90</v>
      </c>
      <c r="C212" s="28" t="s">
        <v>94</v>
      </c>
      <c r="E212" t="s">
        <v>93</v>
      </c>
      <c r="F212" t="str">
        <f t="shared" si="0"/>
        <v xml:space="preserve">     Entre 10 y 50 SMLMV </v>
      </c>
    </row>
    <row r="213" spans="1:8" ht="21" x14ac:dyDescent="0.35">
      <c r="A213" s="80"/>
      <c r="B213" s="28" t="s">
        <v>90</v>
      </c>
      <c r="C213" s="28" t="s">
        <v>95</v>
      </c>
      <c r="E213" t="s">
        <v>94</v>
      </c>
      <c r="F213" t="str">
        <f t="shared" si="0"/>
        <v xml:space="preserve">     Entre 50 y 100 SMLMV </v>
      </c>
    </row>
    <row r="214" spans="1:8" ht="21" x14ac:dyDescent="0.35">
      <c r="A214" s="80"/>
      <c r="B214" s="28" t="s">
        <v>90</v>
      </c>
      <c r="C214" s="28" t="s">
        <v>96</v>
      </c>
      <c r="E214" t="s">
        <v>95</v>
      </c>
      <c r="F214" t="str">
        <f t="shared" si="0"/>
        <v xml:space="preserve">     Entre 100 y 500 SMLMV </v>
      </c>
    </row>
    <row r="215" spans="1:8" ht="21" x14ac:dyDescent="0.35">
      <c r="A215" s="80"/>
      <c r="B215" s="28" t="s">
        <v>57</v>
      </c>
      <c r="C215" s="28" t="s">
        <v>97</v>
      </c>
      <c r="E215" t="s">
        <v>96</v>
      </c>
      <c r="F215" t="str">
        <f t="shared" si="0"/>
        <v xml:space="preserve">     Mayor a 500 SMLMV </v>
      </c>
    </row>
    <row r="216" spans="1:8" ht="21" x14ac:dyDescent="0.35">
      <c r="A216" s="80"/>
      <c r="B216" s="28" t="s">
        <v>57</v>
      </c>
      <c r="C216" s="28" t="s">
        <v>98</v>
      </c>
      <c r="D216" t="s">
        <v>57</v>
      </c>
      <c r="F216" t="str">
        <f t="shared" si="0"/>
        <v>Pérdida Reputacional</v>
      </c>
    </row>
    <row r="217" spans="1:8" ht="21" x14ac:dyDescent="0.35">
      <c r="A217" s="80"/>
      <c r="B217" s="28" t="s">
        <v>57</v>
      </c>
      <c r="C217" s="28" t="s">
        <v>100</v>
      </c>
      <c r="E217" t="s">
        <v>97</v>
      </c>
      <c r="F217" t="str">
        <f t="shared" si="0"/>
        <v xml:space="preserve">     El riesgo afecta la imagen de alguna área de la organización</v>
      </c>
    </row>
    <row r="218" spans="1:8" ht="21" x14ac:dyDescent="0.35">
      <c r="A218" s="80"/>
      <c r="B218" s="28" t="s">
        <v>57</v>
      </c>
      <c r="C218" s="28" t="s">
        <v>99</v>
      </c>
      <c r="E218" t="s">
        <v>98</v>
      </c>
      <c r="F218" t="str">
        <f t="shared" si="0"/>
        <v xml:space="preserve">     El riesgo afecta la imagen de la entidad internamente, de conocimiento general, nivel interno, de junta dircetiva y accionistas y/o de provedores</v>
      </c>
    </row>
    <row r="219" spans="1:8" ht="21" x14ac:dyDescent="0.35">
      <c r="A219" s="80"/>
      <c r="B219" s="28" t="s">
        <v>57</v>
      </c>
      <c r="C219" s="28" t="s">
        <v>118</v>
      </c>
      <c r="E219" t="s">
        <v>100</v>
      </c>
      <c r="F219" t="str">
        <f t="shared" si="0"/>
        <v xml:space="preserve">     El riesgo afecta la imagen de la entidad con algunos usuarios de relevancia frente al logro de los objetivos</v>
      </c>
    </row>
    <row r="220" spans="1:8" x14ac:dyDescent="0.25">
      <c r="A220" s="80"/>
      <c r="B220" s="29"/>
      <c r="C220" s="29"/>
      <c r="E220" t="s">
        <v>99</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118</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145</v>
      </c>
    </row>
    <row r="224" spans="1:8" x14ac:dyDescent="0.25">
      <c r="B224" s="22"/>
      <c r="C224" s="22"/>
      <c r="F224" s="32" t="s">
        <v>146</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85" t="s">
        <v>78</v>
      </c>
      <c r="C1" s="486"/>
      <c r="D1" s="486"/>
      <c r="E1" s="486"/>
      <c r="F1" s="487"/>
    </row>
    <row r="2" spans="2:6" ht="16.5" thickBot="1" x14ac:dyDescent="0.3">
      <c r="B2" s="86"/>
      <c r="C2" s="86"/>
      <c r="D2" s="86"/>
      <c r="E2" s="86"/>
      <c r="F2" s="86"/>
    </row>
    <row r="3" spans="2:6" ht="16.5" thickBot="1" x14ac:dyDescent="0.25">
      <c r="B3" s="489" t="s">
        <v>64</v>
      </c>
      <c r="C3" s="490"/>
      <c r="D3" s="490"/>
      <c r="E3" s="98" t="s">
        <v>65</v>
      </c>
      <c r="F3" s="99" t="s">
        <v>66</v>
      </c>
    </row>
    <row r="4" spans="2:6" ht="31.5" x14ac:dyDescent="0.2">
      <c r="B4" s="491" t="s">
        <v>67</v>
      </c>
      <c r="C4" s="493" t="s">
        <v>13</v>
      </c>
      <c r="D4" s="87" t="s">
        <v>14</v>
      </c>
      <c r="E4" s="88" t="s">
        <v>68</v>
      </c>
      <c r="F4" s="89">
        <v>0.25</v>
      </c>
    </row>
    <row r="5" spans="2:6" ht="47.25" x14ac:dyDescent="0.2">
      <c r="B5" s="492"/>
      <c r="C5" s="494"/>
      <c r="D5" s="90" t="s">
        <v>15</v>
      </c>
      <c r="E5" s="91" t="s">
        <v>69</v>
      </c>
      <c r="F5" s="92">
        <v>0.15</v>
      </c>
    </row>
    <row r="6" spans="2:6" ht="47.25" x14ac:dyDescent="0.2">
      <c r="B6" s="492"/>
      <c r="C6" s="494"/>
      <c r="D6" s="90" t="s">
        <v>16</v>
      </c>
      <c r="E6" s="91" t="s">
        <v>70</v>
      </c>
      <c r="F6" s="92">
        <v>0.1</v>
      </c>
    </row>
    <row r="7" spans="2:6" ht="63" x14ac:dyDescent="0.2">
      <c r="B7" s="492"/>
      <c r="C7" s="494" t="s">
        <v>17</v>
      </c>
      <c r="D7" s="90" t="s">
        <v>10</v>
      </c>
      <c r="E7" s="91" t="s">
        <v>71</v>
      </c>
      <c r="F7" s="92">
        <v>0.25</v>
      </c>
    </row>
    <row r="8" spans="2:6" ht="31.5" x14ac:dyDescent="0.2">
      <c r="B8" s="492"/>
      <c r="C8" s="494"/>
      <c r="D8" s="90" t="s">
        <v>9</v>
      </c>
      <c r="E8" s="91" t="s">
        <v>72</v>
      </c>
      <c r="F8" s="92">
        <v>0.15</v>
      </c>
    </row>
    <row r="9" spans="2:6" ht="47.25" x14ac:dyDescent="0.2">
      <c r="B9" s="492" t="s">
        <v>160</v>
      </c>
      <c r="C9" s="494" t="s">
        <v>18</v>
      </c>
      <c r="D9" s="90" t="s">
        <v>19</v>
      </c>
      <c r="E9" s="91" t="s">
        <v>73</v>
      </c>
      <c r="F9" s="93" t="s">
        <v>74</v>
      </c>
    </row>
    <row r="10" spans="2:6" ht="63" x14ac:dyDescent="0.2">
      <c r="B10" s="492"/>
      <c r="C10" s="494"/>
      <c r="D10" s="90" t="s">
        <v>20</v>
      </c>
      <c r="E10" s="91" t="s">
        <v>75</v>
      </c>
      <c r="F10" s="93" t="s">
        <v>74</v>
      </c>
    </row>
    <row r="11" spans="2:6" ht="47.25" x14ac:dyDescent="0.2">
      <c r="B11" s="492"/>
      <c r="C11" s="494" t="s">
        <v>21</v>
      </c>
      <c r="D11" s="90" t="s">
        <v>22</v>
      </c>
      <c r="E11" s="91" t="s">
        <v>76</v>
      </c>
      <c r="F11" s="93" t="s">
        <v>74</v>
      </c>
    </row>
    <row r="12" spans="2:6" ht="47.25" x14ac:dyDescent="0.2">
      <c r="B12" s="492"/>
      <c r="C12" s="494"/>
      <c r="D12" s="90" t="s">
        <v>23</v>
      </c>
      <c r="E12" s="91" t="s">
        <v>77</v>
      </c>
      <c r="F12" s="93" t="s">
        <v>74</v>
      </c>
    </row>
    <row r="13" spans="2:6" ht="31.5" x14ac:dyDescent="0.2">
      <c r="B13" s="492"/>
      <c r="C13" s="494" t="s">
        <v>24</v>
      </c>
      <c r="D13" s="90" t="s">
        <v>119</v>
      </c>
      <c r="E13" s="91" t="s">
        <v>122</v>
      </c>
      <c r="F13" s="93" t="s">
        <v>74</v>
      </c>
    </row>
    <row r="14" spans="2:6" ht="32.25" thickBot="1" x14ac:dyDescent="0.25">
      <c r="B14" s="495"/>
      <c r="C14" s="496"/>
      <c r="D14" s="94" t="s">
        <v>120</v>
      </c>
      <c r="E14" s="95" t="s">
        <v>121</v>
      </c>
      <c r="F14" s="96" t="s">
        <v>74</v>
      </c>
    </row>
    <row r="15" spans="2:6" ht="49.5" customHeight="1" x14ac:dyDescent="0.2">
      <c r="B15" s="488" t="s">
        <v>157</v>
      </c>
      <c r="C15" s="488"/>
      <c r="D15" s="488"/>
      <c r="E15" s="488"/>
      <c r="F15" s="488"/>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211" customWidth="1"/>
    <col min="2" max="2" width="19.7109375" style="211" customWidth="1"/>
    <col min="3" max="3" width="50" style="211" customWidth="1"/>
    <col min="4" max="4" width="16.42578125" style="211" customWidth="1"/>
    <col min="5" max="5" width="2.42578125" style="186" customWidth="1"/>
    <col min="6" max="16384" width="10.85546875" style="186"/>
  </cols>
  <sheetData>
    <row r="1" spans="1:5" ht="16.5" thickBot="1" x14ac:dyDescent="0.3">
      <c r="A1" s="183"/>
      <c r="B1" s="184"/>
      <c r="C1" s="184"/>
      <c r="D1" s="184"/>
      <c r="E1" s="185"/>
    </row>
    <row r="2" spans="1:5" ht="24" customHeight="1" thickBot="1" x14ac:dyDescent="0.3">
      <c r="A2" s="187"/>
      <c r="B2" s="503" t="s">
        <v>266</v>
      </c>
      <c r="C2" s="504"/>
      <c r="D2" s="505"/>
      <c r="E2" s="188"/>
    </row>
    <row r="3" spans="1:5" ht="96.75" customHeight="1" thickBot="1" x14ac:dyDescent="0.3">
      <c r="A3" s="189"/>
      <c r="B3" s="506" t="s">
        <v>291</v>
      </c>
      <c r="C3" s="506"/>
      <c r="D3" s="506"/>
      <c r="E3" s="188"/>
    </row>
    <row r="4" spans="1:5" ht="24.75" customHeight="1" thickBot="1" x14ac:dyDescent="0.3">
      <c r="A4" s="189"/>
      <c r="B4" s="507" t="s">
        <v>267</v>
      </c>
      <c r="C4" s="508"/>
      <c r="D4" s="509"/>
      <c r="E4" s="188"/>
    </row>
    <row r="5" spans="1:5" ht="46.5" customHeight="1" x14ac:dyDescent="0.25">
      <c r="A5" s="189"/>
      <c r="B5" s="510" t="s">
        <v>292</v>
      </c>
      <c r="C5" s="510"/>
      <c r="D5" s="510"/>
      <c r="E5" s="188"/>
    </row>
    <row r="6" spans="1:5" ht="24" customHeight="1" x14ac:dyDescent="0.25">
      <c r="A6" s="189"/>
      <c r="B6" s="190"/>
      <c r="C6" s="191"/>
      <c r="D6" s="192"/>
      <c r="E6" s="188"/>
    </row>
    <row r="7" spans="1:5" ht="24" customHeight="1" x14ac:dyDescent="0.25">
      <c r="A7" s="189"/>
      <c r="B7" s="511" t="s">
        <v>268</v>
      </c>
      <c r="C7" s="511"/>
      <c r="D7" s="511"/>
      <c r="E7" s="188"/>
    </row>
    <row r="8" spans="1:5" ht="63.75" customHeight="1" x14ac:dyDescent="0.25">
      <c r="A8" s="189"/>
      <c r="B8" s="193" t="s">
        <v>269</v>
      </c>
      <c r="C8" s="194" t="s">
        <v>270</v>
      </c>
      <c r="D8" s="194" t="s">
        <v>271</v>
      </c>
      <c r="E8" s="188"/>
    </row>
    <row r="9" spans="1:5" ht="90" customHeight="1" x14ac:dyDescent="0.25">
      <c r="A9" s="189"/>
      <c r="B9" s="195" t="s">
        <v>272</v>
      </c>
      <c r="C9" s="196" t="s">
        <v>293</v>
      </c>
      <c r="D9" s="197" t="s">
        <v>273</v>
      </c>
      <c r="E9" s="188"/>
    </row>
    <row r="10" spans="1:5" ht="75" customHeight="1" x14ac:dyDescent="0.25">
      <c r="A10" s="189"/>
      <c r="B10" s="198" t="s">
        <v>274</v>
      </c>
      <c r="C10" s="199" t="s">
        <v>294</v>
      </c>
      <c r="D10" s="199" t="s">
        <v>275</v>
      </c>
      <c r="E10" s="188"/>
    </row>
    <row r="11" spans="1:5" ht="63.75" customHeight="1" x14ac:dyDescent="0.25">
      <c r="A11" s="189"/>
      <c r="B11" s="200" t="s">
        <v>82</v>
      </c>
      <c r="C11" s="201" t="s">
        <v>295</v>
      </c>
      <c r="D11" s="201" t="s">
        <v>276</v>
      </c>
      <c r="E11" s="188"/>
    </row>
    <row r="12" spans="1:5" ht="29.25" customHeight="1" x14ac:dyDescent="0.25">
      <c r="A12" s="189"/>
      <c r="B12" s="202"/>
      <c r="C12" s="202"/>
      <c r="D12" s="202"/>
      <c r="E12" s="188"/>
    </row>
    <row r="13" spans="1:5" ht="29.25" customHeight="1" x14ac:dyDescent="0.25">
      <c r="A13" s="189"/>
      <c r="B13" s="512" t="s">
        <v>277</v>
      </c>
      <c r="C13" s="513"/>
      <c r="D13" s="513"/>
      <c r="E13" s="188"/>
    </row>
    <row r="14" spans="1:5" ht="32.25" customHeight="1" x14ac:dyDescent="0.25">
      <c r="A14" s="189"/>
      <c r="B14" s="203" t="s">
        <v>278</v>
      </c>
      <c r="C14" s="204" t="s">
        <v>65</v>
      </c>
      <c r="D14" s="204" t="s">
        <v>279</v>
      </c>
      <c r="E14" s="188"/>
    </row>
    <row r="15" spans="1:5" ht="56.25" customHeight="1" x14ac:dyDescent="0.25">
      <c r="A15" s="189"/>
      <c r="B15" s="205" t="s">
        <v>280</v>
      </c>
      <c r="C15" s="206" t="s">
        <v>281</v>
      </c>
      <c r="D15" s="205" t="s">
        <v>282</v>
      </c>
      <c r="E15" s="188"/>
    </row>
    <row r="16" spans="1:5" ht="48" customHeight="1" x14ac:dyDescent="0.25">
      <c r="A16" s="189"/>
      <c r="B16" s="207" t="s">
        <v>283</v>
      </c>
      <c r="C16" s="208" t="s">
        <v>284</v>
      </c>
      <c r="D16" s="207" t="s">
        <v>285</v>
      </c>
      <c r="E16" s="188"/>
    </row>
    <row r="17" spans="1:5" ht="49.5" customHeight="1" x14ac:dyDescent="0.25">
      <c r="A17" s="189"/>
      <c r="B17" s="209" t="s">
        <v>286</v>
      </c>
      <c r="C17" s="210" t="s">
        <v>287</v>
      </c>
      <c r="D17" s="209" t="s">
        <v>288</v>
      </c>
      <c r="E17" s="188"/>
    </row>
    <row r="18" spans="1:5" x14ac:dyDescent="0.25">
      <c r="A18" s="189"/>
      <c r="B18" s="202"/>
      <c r="C18" s="202"/>
      <c r="D18" s="202"/>
      <c r="E18" s="188"/>
    </row>
    <row r="19" spans="1:5" ht="16.5" thickBot="1" x14ac:dyDescent="0.3">
      <c r="A19" s="189"/>
      <c r="B19" s="202"/>
      <c r="D19" s="202"/>
      <c r="E19" s="188"/>
    </row>
    <row r="20" spans="1:5" ht="16.5" thickBot="1" x14ac:dyDescent="0.3">
      <c r="A20" s="189"/>
      <c r="B20" s="497" t="s">
        <v>289</v>
      </c>
      <c r="C20" s="498"/>
      <c r="D20" s="499"/>
      <c r="E20" s="188"/>
    </row>
    <row r="21" spans="1:5" ht="62.25" customHeight="1" x14ac:dyDescent="0.25">
      <c r="A21" s="189"/>
      <c r="B21" s="500" t="s">
        <v>290</v>
      </c>
      <c r="C21" s="501"/>
      <c r="D21" s="502"/>
      <c r="E21" s="188"/>
    </row>
    <row r="22" spans="1:5" ht="16.5" thickBot="1" x14ac:dyDescent="0.3">
      <c r="A22" s="212"/>
      <c r="B22" s="213"/>
      <c r="C22" s="213"/>
      <c r="D22" s="213"/>
      <c r="E22" s="214"/>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RowHeight="15" x14ac:dyDescent="0.25"/>
  <sheetData>
    <row r="2" spans="2:5" x14ac:dyDescent="0.25">
      <c r="B2" t="s">
        <v>31</v>
      </c>
      <c r="E2" t="s">
        <v>133</v>
      </c>
    </row>
    <row r="3" spans="2:5" x14ac:dyDescent="0.25">
      <c r="B3" t="s">
        <v>32</v>
      </c>
      <c r="E3" t="s">
        <v>132</v>
      </c>
    </row>
    <row r="4" spans="2:5" x14ac:dyDescent="0.25">
      <c r="B4" t="s">
        <v>137</v>
      </c>
      <c r="E4" t="s">
        <v>134</v>
      </c>
    </row>
    <row r="5" spans="2:5" x14ac:dyDescent="0.25">
      <c r="B5" t="s">
        <v>136</v>
      </c>
    </row>
    <row r="8" spans="2:5" x14ac:dyDescent="0.25">
      <c r="B8" t="s">
        <v>86</v>
      </c>
    </row>
    <row r="9" spans="2:5" x14ac:dyDescent="0.25">
      <c r="B9" t="s">
        <v>40</v>
      </c>
    </row>
    <row r="10" spans="2:5" x14ac:dyDescent="0.25">
      <c r="B10" t="s">
        <v>41</v>
      </c>
    </row>
    <row r="13" spans="2:5" x14ac:dyDescent="0.25">
      <c r="B13" t="s">
        <v>129</v>
      </c>
    </row>
    <row r="14" spans="2:5" x14ac:dyDescent="0.25">
      <c r="B14" t="s">
        <v>123</v>
      </c>
    </row>
    <row r="15" spans="2:5" x14ac:dyDescent="0.25">
      <c r="B15" t="s">
        <v>126</v>
      </c>
    </row>
    <row r="16" spans="2:5" x14ac:dyDescent="0.25">
      <c r="B16" t="s">
        <v>124</v>
      </c>
    </row>
    <row r="17" spans="2:2" x14ac:dyDescent="0.25">
      <c r="B17" t="s">
        <v>125</v>
      </c>
    </row>
    <row r="18" spans="2:2" x14ac:dyDescent="0.25">
      <c r="B18" t="s">
        <v>127</v>
      </c>
    </row>
    <row r="19" spans="2:2" x14ac:dyDescent="0.25">
      <c r="B19" t="s">
        <v>128</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14</v>
      </c>
    </row>
    <row r="4" spans="1:1" x14ac:dyDescent="0.2">
      <c r="A4" s="10" t="s">
        <v>15</v>
      </c>
    </row>
    <row r="5" spans="1:1" x14ac:dyDescent="0.2">
      <c r="A5" s="10" t="s">
        <v>16</v>
      </c>
    </row>
    <row r="6" spans="1:1" x14ac:dyDescent="0.2">
      <c r="A6" s="10" t="s">
        <v>10</v>
      </c>
    </row>
    <row r="7" spans="1:1" x14ac:dyDescent="0.2">
      <c r="A7" s="10" t="s">
        <v>9</v>
      </c>
    </row>
    <row r="8" spans="1:1" x14ac:dyDescent="0.2">
      <c r="A8" s="10" t="s">
        <v>19</v>
      </c>
    </row>
    <row r="9" spans="1:1" x14ac:dyDescent="0.2">
      <c r="A9" s="10" t="s">
        <v>20</v>
      </c>
    </row>
    <row r="10" spans="1:1" x14ac:dyDescent="0.2">
      <c r="A10" s="10" t="s">
        <v>22</v>
      </c>
    </row>
    <row r="11" spans="1:1" x14ac:dyDescent="0.2">
      <c r="A11" s="10" t="s">
        <v>23</v>
      </c>
    </row>
    <row r="12" spans="1:1" x14ac:dyDescent="0.2">
      <c r="A12" s="10" t="s">
        <v>25</v>
      </c>
    </row>
    <row r="13" spans="1:1" x14ac:dyDescent="0.2">
      <c r="A13" s="10" t="s">
        <v>26</v>
      </c>
    </row>
    <row r="14" spans="1:1" x14ac:dyDescent="0.2">
      <c r="A14" s="10" t="s">
        <v>27</v>
      </c>
    </row>
    <row r="16" spans="1:1" x14ac:dyDescent="0.2">
      <c r="A16" s="10" t="s">
        <v>30</v>
      </c>
    </row>
    <row r="17" spans="1:1" x14ac:dyDescent="0.2">
      <c r="A17" s="10" t="s">
        <v>31</v>
      </c>
    </row>
    <row r="18" spans="1:1" x14ac:dyDescent="0.2">
      <c r="A18" s="10" t="s">
        <v>32</v>
      </c>
    </row>
    <row r="20" spans="1:1" x14ac:dyDescent="0.2">
      <c r="A20" s="10" t="s">
        <v>40</v>
      </c>
    </row>
    <row r="21" spans="1:1" x14ac:dyDescent="0.2">
      <c r="A21" s="1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Planeación Corpocesar</cp:lastModifiedBy>
  <cp:lastPrinted>2020-05-13T01:12:22Z</cp:lastPrinted>
  <dcterms:created xsi:type="dcterms:W3CDTF">2020-03-24T23:12:47Z</dcterms:created>
  <dcterms:modified xsi:type="dcterms:W3CDTF">2026-04-09T16:39:43Z</dcterms:modified>
</cp:coreProperties>
</file>