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ivotTables/pivotTable1.xml" ContentType="application/vnd.openxmlformats-officedocument.spreadsheetml.pivotTable+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7E77AF1F-A0E4-416D-B47E-41D1921DE1EA}"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externalReferences>
    <externalReference r:id="rId11"/>
  </externalReferences>
  <calcPr calcId="191029"/>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2" i="1" l="1"/>
  <c r="AD12" i="1"/>
  <c r="AR28" i="1"/>
  <c r="AS28" i="1" s="1"/>
  <c r="AT28" i="1" s="1"/>
  <c r="AP28" i="1"/>
  <c r="AR27" i="1"/>
  <c r="AS27" i="1" s="1"/>
  <c r="AT27" i="1" s="1"/>
  <c r="AP27" i="1"/>
  <c r="AR26" i="1"/>
  <c r="AS26" i="1" s="1"/>
  <c r="AT26" i="1" s="1"/>
  <c r="AP26" i="1"/>
  <c r="AR25" i="1"/>
  <c r="AS25" i="1" s="1"/>
  <c r="AT25" i="1" s="1"/>
  <c r="AP25" i="1"/>
  <c r="AR24" i="1"/>
  <c r="AS24" i="1" s="1"/>
  <c r="AT24" i="1" s="1"/>
  <c r="AP24" i="1"/>
  <c r="AR23" i="1"/>
  <c r="AS23" i="1" s="1"/>
  <c r="AT23" i="1" s="1"/>
  <c r="AP23" i="1"/>
  <c r="AR22" i="1"/>
  <c r="AS22" i="1" s="1"/>
  <c r="AT22" i="1" s="1"/>
  <c r="AP22" i="1"/>
  <c r="AR21" i="1"/>
  <c r="AS21" i="1" s="1"/>
  <c r="AT21" i="1" s="1"/>
  <c r="AP21" i="1"/>
  <c r="AR20" i="1"/>
  <c r="AS20" i="1" s="1"/>
  <c r="AT20" i="1" s="1"/>
  <c r="AP20" i="1"/>
  <c r="AR19" i="1"/>
  <c r="AS19" i="1" s="1"/>
  <c r="AT19" i="1" s="1"/>
  <c r="AP19" i="1"/>
  <c r="AR18" i="1"/>
  <c r="AS18" i="1" s="1"/>
  <c r="AT18" i="1" s="1"/>
  <c r="AP18" i="1"/>
  <c r="AR17" i="1"/>
  <c r="AS17" i="1" s="1"/>
  <c r="AT17" i="1" s="1"/>
  <c r="AP17" i="1"/>
  <c r="AR16" i="1"/>
  <c r="AS16" i="1" s="1"/>
  <c r="AT16" i="1" s="1"/>
  <c r="AP16" i="1"/>
  <c r="AR15" i="1"/>
  <c r="AS15" i="1" s="1"/>
  <c r="AT15" i="1" s="1"/>
  <c r="AP15" i="1"/>
  <c r="AR14" i="1"/>
  <c r="AS14" i="1" s="1"/>
  <c r="AT14" i="1" s="1"/>
  <c r="AP14" i="1"/>
  <c r="AR13" i="1"/>
  <c r="AS13" i="1" s="1"/>
  <c r="AT13" i="1" s="1"/>
  <c r="AP13" i="1"/>
  <c r="V56" i="1"/>
  <c r="W56" i="1" s="1"/>
  <c r="X56" i="1" s="1"/>
  <c r="T56" i="1"/>
  <c r="V55" i="1"/>
  <c r="W55" i="1" s="1"/>
  <c r="X55" i="1" s="1"/>
  <c r="T55" i="1"/>
  <c r="V54" i="1"/>
  <c r="W54" i="1" s="1"/>
  <c r="X54" i="1" s="1"/>
  <c r="T54" i="1"/>
  <c r="V53" i="1"/>
  <c r="W53" i="1" s="1"/>
  <c r="X53" i="1" s="1"/>
  <c r="T53" i="1"/>
  <c r="V52" i="1"/>
  <c r="W52" i="1" s="1"/>
  <c r="X52" i="1" s="1"/>
  <c r="T52" i="1"/>
  <c r="V51" i="1"/>
  <c r="W51" i="1" s="1"/>
  <c r="X51" i="1" s="1"/>
  <c r="T51" i="1"/>
  <c r="V50" i="1"/>
  <c r="W50" i="1" s="1"/>
  <c r="X50" i="1" s="1"/>
  <c r="T50" i="1"/>
  <c r="V49" i="1"/>
  <c r="W49" i="1" s="1"/>
  <c r="X49" i="1" s="1"/>
  <c r="T49" i="1"/>
  <c r="V48" i="1"/>
  <c r="W48" i="1" s="1"/>
  <c r="X48" i="1" s="1"/>
  <c r="T48" i="1"/>
  <c r="V47" i="1"/>
  <c r="W47" i="1" s="1"/>
  <c r="X47" i="1" s="1"/>
  <c r="T47" i="1"/>
  <c r="V46" i="1"/>
  <c r="W46" i="1" s="1"/>
  <c r="X46" i="1" s="1"/>
  <c r="T46" i="1"/>
  <c r="V45" i="1"/>
  <c r="W45" i="1" s="1"/>
  <c r="X45" i="1" s="1"/>
  <c r="T45" i="1"/>
  <c r="V44" i="1"/>
  <c r="W44" i="1" s="1"/>
  <c r="X44" i="1" s="1"/>
  <c r="T44" i="1"/>
  <c r="V43" i="1"/>
  <c r="W43" i="1" s="1"/>
  <c r="X43" i="1" s="1"/>
  <c r="T43" i="1"/>
  <c r="V42" i="1"/>
  <c r="W42" i="1" s="1"/>
  <c r="X42" i="1" s="1"/>
  <c r="T42" i="1"/>
  <c r="V41" i="1"/>
  <c r="W41" i="1" s="1"/>
  <c r="X41" i="1" s="1"/>
  <c r="T41" i="1"/>
  <c r="V40" i="1"/>
  <c r="W40" i="1" s="1"/>
  <c r="X40" i="1" s="1"/>
  <c r="T40" i="1"/>
  <c r="V39" i="1"/>
  <c r="W39" i="1" s="1"/>
  <c r="X39" i="1" s="1"/>
  <c r="T39" i="1"/>
  <c r="V38" i="1"/>
  <c r="W38" i="1" s="1"/>
  <c r="X38" i="1" s="1"/>
  <c r="T38" i="1"/>
  <c r="V37" i="1"/>
  <c r="W37" i="1" s="1"/>
  <c r="X37" i="1" s="1"/>
  <c r="T37" i="1"/>
  <c r="V36" i="1"/>
  <c r="W36" i="1" s="1"/>
  <c r="X36" i="1" s="1"/>
  <c r="T36" i="1"/>
  <c r="V35" i="1"/>
  <c r="W35" i="1" s="1"/>
  <c r="X35" i="1" s="1"/>
  <c r="T35" i="1"/>
  <c r="V34" i="1"/>
  <c r="W34" i="1" s="1"/>
  <c r="X34" i="1" s="1"/>
  <c r="T34" i="1"/>
  <c r="V33" i="1"/>
  <c r="W33" i="1" s="1"/>
  <c r="X33" i="1" s="1"/>
  <c r="T33" i="1"/>
  <c r="V32" i="1"/>
  <c r="W32" i="1" s="1"/>
  <c r="X32" i="1" s="1"/>
  <c r="T32" i="1"/>
  <c r="V31" i="1"/>
  <c r="W31" i="1" s="1"/>
  <c r="X31" i="1" s="1"/>
  <c r="T31" i="1"/>
  <c r="V30" i="1"/>
  <c r="W30" i="1" s="1"/>
  <c r="X30" i="1" s="1"/>
  <c r="T30" i="1"/>
  <c r="V29" i="1"/>
  <c r="W29" i="1" s="1"/>
  <c r="X29" i="1" s="1"/>
  <c r="T29" i="1"/>
  <c r="V28" i="1"/>
  <c r="W28" i="1" s="1"/>
  <c r="X28" i="1" s="1"/>
  <c r="T28" i="1"/>
  <c r="V27" i="1"/>
  <c r="W27" i="1" s="1"/>
  <c r="X27" i="1" s="1"/>
  <c r="T27" i="1"/>
  <c r="V26" i="1"/>
  <c r="W26" i="1" s="1"/>
  <c r="X26" i="1" s="1"/>
  <c r="T26" i="1"/>
  <c r="V25" i="1"/>
  <c r="W25" i="1" s="1"/>
  <c r="X25" i="1" s="1"/>
  <c r="T25" i="1"/>
  <c r="V24" i="1"/>
  <c r="W24" i="1" s="1"/>
  <c r="X24" i="1" s="1"/>
  <c r="T24" i="1"/>
  <c r="V23" i="1"/>
  <c r="W23" i="1" s="1"/>
  <c r="X23" i="1" s="1"/>
  <c r="T23" i="1"/>
  <c r="V22" i="1"/>
  <c r="W22" i="1" s="1"/>
  <c r="X22" i="1" s="1"/>
  <c r="T22" i="1"/>
  <c r="V21" i="1"/>
  <c r="W21" i="1" s="1"/>
  <c r="X21" i="1" s="1"/>
  <c r="T21" i="1"/>
  <c r="V20" i="1"/>
  <c r="W20" i="1" s="1"/>
  <c r="X20" i="1" s="1"/>
  <c r="T20" i="1"/>
  <c r="V19" i="1"/>
  <c r="W19" i="1" s="1"/>
  <c r="X19" i="1" s="1"/>
  <c r="T19" i="1"/>
  <c r="V18" i="1"/>
  <c r="W18" i="1" s="1"/>
  <c r="X18" i="1" s="1"/>
  <c r="T18" i="1"/>
  <c r="V17" i="1"/>
  <c r="W17" i="1" s="1"/>
  <c r="X17" i="1" s="1"/>
  <c r="T17" i="1"/>
  <c r="V16" i="1"/>
  <c r="W16" i="1" s="1"/>
  <c r="X16" i="1" s="1"/>
  <c r="T16" i="1"/>
  <c r="V15" i="1"/>
  <c r="W15" i="1" s="1"/>
  <c r="X15" i="1" s="1"/>
  <c r="T15" i="1"/>
  <c r="V14" i="1"/>
  <c r="W14" i="1" s="1"/>
  <c r="X14" i="1" s="1"/>
  <c r="T14" i="1"/>
  <c r="V13" i="1"/>
  <c r="W13" i="1" s="1"/>
  <c r="X13" i="1" s="1"/>
  <c r="T13" i="1"/>
  <c r="V11" i="1"/>
  <c r="W11" i="1" s="1"/>
  <c r="X11" i="1" s="1"/>
  <c r="T11" i="1"/>
  <c r="AI13" i="1" l="1"/>
  <c r="AL13" i="1"/>
  <c r="AK13" i="1" s="1"/>
  <c r="AD22" i="1"/>
  <c r="AM13" i="1" l="1"/>
  <c r="AD11" i="1" l="1"/>
  <c r="AA11" i="1"/>
  <c r="L11" i="1"/>
  <c r="M11" i="1" s="1"/>
  <c r="O42" i="1"/>
  <c r="O53" i="1"/>
  <c r="O44" i="1"/>
  <c r="O40" i="1"/>
  <c r="O36" i="1"/>
  <c r="O29" i="1"/>
  <c r="O59" i="1"/>
  <c r="O54" i="1"/>
  <c r="O58" i="1"/>
  <c r="O61" i="1"/>
  <c r="O34" i="1"/>
  <c r="O41" i="1"/>
  <c r="O68" i="1"/>
  <c r="O23" i="1"/>
  <c r="O16" i="1"/>
  <c r="O48" i="1"/>
  <c r="O28" i="1"/>
  <c r="O20" i="1"/>
  <c r="O52" i="1"/>
  <c r="O49" i="1"/>
  <c r="O60" i="1"/>
  <c r="O25" i="1"/>
  <c r="O19" i="1"/>
  <c r="O56" i="1"/>
  <c r="O24" i="1"/>
  <c r="O43" i="1"/>
  <c r="O38" i="1"/>
  <c r="O65" i="1"/>
  <c r="O66" i="1"/>
  <c r="O35" i="1"/>
  <c r="O50" i="1"/>
  <c r="O47" i="1"/>
  <c r="O67" i="1"/>
  <c r="O37" i="1"/>
  <c r="O31" i="1"/>
  <c r="O32" i="1"/>
  <c r="O30" i="1"/>
  <c r="O55" i="1"/>
  <c r="O46" i="1"/>
  <c r="O18" i="1"/>
  <c r="O22" i="1"/>
  <c r="O26" i="1"/>
  <c r="O64" i="1"/>
  <c r="O62" i="1"/>
  <c r="O17" i="1"/>
  <c r="F221" i="13" l="1"/>
  <c r="F211" i="13"/>
  <c r="F212" i="13"/>
  <c r="F213" i="13"/>
  <c r="F214" i="13"/>
  <c r="F215" i="13"/>
  <c r="F216" i="13"/>
  <c r="F217" i="13"/>
  <c r="F218" i="13"/>
  <c r="F219" i="13"/>
  <c r="F220" i="13"/>
  <c r="F210" i="13"/>
  <c r="O13" i="1"/>
  <c r="O12" i="1"/>
  <c r="O14" i="1"/>
  <c r="B221" i="13" a="1"/>
  <c r="B221" i="13" l="1"/>
  <c r="AA51" i="1"/>
  <c r="AA46" i="1"/>
  <c r="AA40"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AD68" i="1" l="1"/>
  <c r="AA68" i="1"/>
  <c r="AD67" i="1"/>
  <c r="AA67" i="1"/>
  <c r="AD66" i="1"/>
  <c r="AA66" i="1"/>
  <c r="AD65" i="1"/>
  <c r="AA65" i="1"/>
  <c r="AD64" i="1"/>
  <c r="AA64" i="1"/>
  <c r="AD63" i="1"/>
  <c r="AA63" i="1"/>
  <c r="AL64" i="1" s="1"/>
  <c r="L63" i="1"/>
  <c r="M63" i="1" s="1"/>
  <c r="AD62" i="1"/>
  <c r="AA62" i="1"/>
  <c r="AD61" i="1"/>
  <c r="AA61" i="1"/>
  <c r="AD60" i="1"/>
  <c r="AA60" i="1"/>
  <c r="AD59" i="1"/>
  <c r="AA59" i="1"/>
  <c r="AD58" i="1"/>
  <c r="AA58" i="1"/>
  <c r="AD57" i="1"/>
  <c r="AA57" i="1"/>
  <c r="L57" i="1"/>
  <c r="M57" i="1" s="1"/>
  <c r="AD56" i="1"/>
  <c r="AA56" i="1"/>
  <c r="AD55" i="1"/>
  <c r="AA55" i="1"/>
  <c r="AD54" i="1"/>
  <c r="AA54" i="1"/>
  <c r="AD53" i="1"/>
  <c r="AA53" i="1"/>
  <c r="AD52" i="1"/>
  <c r="AA52" i="1"/>
  <c r="AL52" i="1" s="1"/>
  <c r="AD51" i="1"/>
  <c r="L51" i="1"/>
  <c r="M51" i="1" s="1"/>
  <c r="AD50" i="1"/>
  <c r="AA50" i="1"/>
  <c r="AD49" i="1"/>
  <c r="AA49" i="1"/>
  <c r="AD48" i="1"/>
  <c r="AA48" i="1"/>
  <c r="AD47" i="1"/>
  <c r="AA47" i="1"/>
  <c r="AD46" i="1"/>
  <c r="AD45" i="1"/>
  <c r="AA45" i="1"/>
  <c r="AL46" i="1" s="1"/>
  <c r="L45" i="1"/>
  <c r="M45" i="1" s="1"/>
  <c r="AD44" i="1"/>
  <c r="AA44" i="1"/>
  <c r="AD43" i="1"/>
  <c r="AA43" i="1"/>
  <c r="AD42" i="1"/>
  <c r="AA42" i="1"/>
  <c r="AD41" i="1"/>
  <c r="AA41" i="1"/>
  <c r="AD40" i="1"/>
  <c r="AD39" i="1"/>
  <c r="AA39" i="1"/>
  <c r="AL40" i="1" s="1"/>
  <c r="L39" i="1"/>
  <c r="M39" i="1" s="1"/>
  <c r="AD38" i="1"/>
  <c r="AA38" i="1"/>
  <c r="AD37" i="1"/>
  <c r="AA37" i="1"/>
  <c r="AD36" i="1"/>
  <c r="AA36" i="1"/>
  <c r="AD35" i="1"/>
  <c r="AA35" i="1"/>
  <c r="AD34" i="1"/>
  <c r="AA34" i="1"/>
  <c r="AD33" i="1"/>
  <c r="AA33" i="1"/>
  <c r="L33" i="1"/>
  <c r="M33" i="1" s="1"/>
  <c r="AD32" i="1"/>
  <c r="AA32" i="1"/>
  <c r="AD31" i="1"/>
  <c r="AA31" i="1"/>
  <c r="AD30" i="1"/>
  <c r="AA30" i="1"/>
  <c r="AD29" i="1"/>
  <c r="AA29" i="1"/>
  <c r="AD28" i="1"/>
  <c r="AA28" i="1"/>
  <c r="AD27" i="1"/>
  <c r="AA27" i="1"/>
  <c r="L27" i="1"/>
  <c r="M27" i="1" s="1"/>
  <c r="AD26" i="1"/>
  <c r="AA26" i="1"/>
  <c r="AD25" i="1"/>
  <c r="AA25" i="1"/>
  <c r="AD24" i="1"/>
  <c r="AA24" i="1"/>
  <c r="AD23" i="1"/>
  <c r="AA23" i="1"/>
  <c r="AD21" i="1"/>
  <c r="M21" i="1"/>
  <c r="L15" i="1"/>
  <c r="AA14" i="1"/>
  <c r="AD15" i="1"/>
  <c r="AA15" i="1"/>
  <c r="AL28" i="1" l="1"/>
  <c r="AL34" i="1"/>
  <c r="AL58" i="1"/>
  <c r="AL49" i="1"/>
  <c r="AK49" i="1" s="1"/>
  <c r="AL50" i="1"/>
  <c r="AK50" i="1" s="1"/>
  <c r="M15" i="1"/>
  <c r="AH15" i="1" s="1"/>
  <c r="AH63" i="1"/>
  <c r="AH57" i="1"/>
  <c r="AH51" i="1"/>
  <c r="AH45" i="1"/>
  <c r="AH49" i="1"/>
  <c r="AH50" i="1"/>
  <c r="AH39" i="1"/>
  <c r="AH33" i="1"/>
  <c r="AH27" i="1"/>
  <c r="AH21" i="1"/>
  <c r="AI63" i="1" l="1"/>
  <c r="AJ63" i="1"/>
  <c r="AH64" i="1" s="1"/>
  <c r="AI64" i="1" s="1"/>
  <c r="AI57" i="1"/>
  <c r="AJ57" i="1"/>
  <c r="AH58" i="1" s="1"/>
  <c r="AJ58" i="1" s="1"/>
  <c r="AH59" i="1" s="1"/>
  <c r="AI51" i="1"/>
  <c r="AJ51" i="1"/>
  <c r="AH52" i="1" s="1"/>
  <c r="AJ52" i="1" s="1"/>
  <c r="AH53" i="1" s="1"/>
  <c r="AI50" i="1"/>
  <c r="AJ50" i="1"/>
  <c r="AI49" i="1"/>
  <c r="AJ49" i="1"/>
  <c r="AI45" i="1"/>
  <c r="AJ45" i="1"/>
  <c r="AI39" i="1"/>
  <c r="AJ39" i="1"/>
  <c r="AH40" i="1" s="1"/>
  <c r="AJ40" i="1" s="1"/>
  <c r="AH41" i="1" s="1"/>
  <c r="AI33" i="1"/>
  <c r="AJ33" i="1"/>
  <c r="AI27" i="1"/>
  <c r="AJ27" i="1"/>
  <c r="AH28" i="1" s="1"/>
  <c r="AJ28" i="1" s="1"/>
  <c r="AH29" i="1" s="1"/>
  <c r="AI29" i="1" s="1"/>
  <c r="AI21" i="1"/>
  <c r="AJ21" i="1"/>
  <c r="AH22" i="1" s="1"/>
  <c r="AI22" i="1" s="1"/>
  <c r="AI15" i="1"/>
  <c r="AJ15" i="1"/>
  <c r="AI58" i="1" l="1"/>
  <c r="AI52" i="1"/>
  <c r="AJ22" i="1"/>
  <c r="AH23" i="1" s="1"/>
  <c r="AI23" i="1" s="1"/>
  <c r="AI40" i="1"/>
  <c r="AI28" i="1"/>
  <c r="AI41" i="1"/>
  <c r="AJ41" i="1"/>
  <c r="AJ59" i="1"/>
  <c r="AH60" i="1" s="1"/>
  <c r="AI59" i="1"/>
  <c r="AJ53" i="1"/>
  <c r="AH54" i="1" s="1"/>
  <c r="AI53" i="1"/>
  <c r="AJ64" i="1"/>
  <c r="AH65" i="1" s="1"/>
  <c r="AH34" i="1"/>
  <c r="AH46" i="1"/>
  <c r="AH47" i="1"/>
  <c r="AJ29"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M49" i="1"/>
  <c r="AM50" i="1"/>
  <c r="AD14" i="1"/>
  <c r="AI60" i="1" l="1"/>
  <c r="AJ60" i="1"/>
  <c r="AI54" i="1"/>
  <c r="AJ54" i="1"/>
  <c r="AH55" i="1" s="1"/>
  <c r="AJ23" i="1"/>
  <c r="AH24" i="1" s="1"/>
  <c r="AJ24" i="1" s="1"/>
  <c r="AI47" i="1"/>
  <c r="AJ47" i="1"/>
  <c r="AH48" i="1" s="1"/>
  <c r="AI65" i="1"/>
  <c r="AJ65" i="1"/>
  <c r="AH66" i="1" s="1"/>
  <c r="AI46" i="1"/>
  <c r="AJ46" i="1"/>
  <c r="AH42" i="1"/>
  <c r="AI34" i="1"/>
  <c r="AJ34" i="1"/>
  <c r="AH35" i="1" s="1"/>
  <c r="AI35" i="1" s="1"/>
  <c r="AH31" i="1"/>
  <c r="AI31" i="1" s="1"/>
  <c r="AH30" i="1"/>
  <c r="AJ35" i="1" l="1"/>
  <c r="AH36" i="1" s="1"/>
  <c r="AJ36" i="1" s="1"/>
  <c r="AH37" i="1" s="1"/>
  <c r="AI55" i="1"/>
  <c r="AJ55" i="1"/>
  <c r="AH56" i="1" s="1"/>
  <c r="AH61" i="1"/>
  <c r="AH62" i="1"/>
  <c r="AI24" i="1"/>
  <c r="AI42" i="1"/>
  <c r="AJ42" i="1"/>
  <c r="AH43" i="1" s="1"/>
  <c r="AI43" i="1" s="1"/>
  <c r="AI36" i="1"/>
  <c r="AI48" i="1"/>
  <c r="AJ48" i="1"/>
  <c r="AH25" i="1"/>
  <c r="AJ66" i="1"/>
  <c r="AI66" i="1"/>
  <c r="AI30" i="1"/>
  <c r="AJ30" i="1"/>
  <c r="AJ31" i="1"/>
  <c r="AH32" i="1" s="1"/>
  <c r="AI62" i="1" l="1"/>
  <c r="AJ62" i="1"/>
  <c r="AI61" i="1"/>
  <c r="AJ61" i="1"/>
  <c r="AI56" i="1"/>
  <c r="AJ56" i="1"/>
  <c r="AH67" i="1"/>
  <c r="AH68" i="1"/>
  <c r="AJ43" i="1"/>
  <c r="AH44" i="1" s="1"/>
  <c r="AI44" i="1" s="1"/>
  <c r="AJ37" i="1"/>
  <c r="AH38" i="1" s="1"/>
  <c r="AI37" i="1"/>
  <c r="AI25" i="1"/>
  <c r="AJ25" i="1"/>
  <c r="AH26" i="1" s="1"/>
  <c r="AI26" i="1" s="1"/>
  <c r="AI32" i="1"/>
  <c r="AJ32" i="1"/>
  <c r="AH11" i="1"/>
  <c r="AI11" i="1" s="1"/>
  <c r="AI68" i="1" l="1"/>
  <c r="AJ68" i="1"/>
  <c r="AI67" i="1"/>
  <c r="AJ67" i="1"/>
  <c r="AI38" i="1"/>
  <c r="AJ38" i="1"/>
  <c r="AJ44" i="1"/>
  <c r="AJ26" i="1"/>
  <c r="AJ11" i="1" l="1"/>
  <c r="AH12" i="1" s="1"/>
  <c r="AI12" i="1" l="1"/>
  <c r="AJ12" i="1"/>
  <c r="AH14" i="1"/>
  <c r="AJ14" i="1" l="1"/>
  <c r="AI14" i="1" l="1"/>
  <c r="AL27" i="1" l="1"/>
  <c r="AK27" i="1" s="1"/>
  <c r="AL65" i="1"/>
  <c r="AL57" i="1"/>
  <c r="AL39" i="1"/>
  <c r="AK39" i="1" s="1"/>
  <c r="AL51" i="1"/>
  <c r="AK51" i="1" s="1"/>
  <c r="AL45" i="1"/>
  <c r="AK45" i="1" s="1"/>
  <c r="AL33" i="1"/>
  <c r="AK33" i="1" s="1"/>
  <c r="J40" i="19" l="1"/>
  <c r="V30" i="19"/>
  <c r="AH20" i="19"/>
  <c r="J30" i="19"/>
  <c r="V20" i="19"/>
  <c r="AH10" i="19"/>
  <c r="P10" i="19"/>
  <c r="AB50" i="19"/>
  <c r="J50" i="19"/>
  <c r="AB40" i="19"/>
  <c r="P30" i="19"/>
  <c r="V50" i="19"/>
  <c r="P50" i="19"/>
  <c r="AB10" i="19"/>
  <c r="AH30" i="19"/>
  <c r="AH40" i="19"/>
  <c r="J10" i="19"/>
  <c r="AB20" i="19"/>
  <c r="AH50" i="19"/>
  <c r="AM33" i="1"/>
  <c r="V10" i="19"/>
  <c r="P20" i="19"/>
  <c r="J20" i="19"/>
  <c r="P40" i="19"/>
  <c r="V40" i="19"/>
  <c r="AB30" i="19"/>
  <c r="J11" i="19"/>
  <c r="V11" i="19"/>
  <c r="AB21" i="19"/>
  <c r="P31" i="19"/>
  <c r="J31" i="19"/>
  <c r="AB41" i="19"/>
  <c r="AM39" i="1"/>
  <c r="AH41" i="19"/>
  <c r="P41" i="19"/>
  <c r="J21" i="19"/>
  <c r="AB31" i="19"/>
  <c r="AB51" i="19"/>
  <c r="P21" i="19"/>
  <c r="V41" i="19"/>
  <c r="V31" i="19"/>
  <c r="AH21" i="19"/>
  <c r="AB11" i="19"/>
  <c r="P51" i="19"/>
  <c r="V21" i="19"/>
  <c r="AH31" i="19"/>
  <c r="V51" i="19"/>
  <c r="J51" i="19"/>
  <c r="AH51" i="19"/>
  <c r="AH11" i="19"/>
  <c r="J41" i="19"/>
  <c r="P11" i="19"/>
  <c r="AL23" i="1"/>
  <c r="AM51" i="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K57" i="1"/>
  <c r="AK64" i="1"/>
  <c r="AM27" i="1"/>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K65" i="1"/>
  <c r="AL66" i="1"/>
  <c r="AL35" i="1"/>
  <c r="AK34" i="1"/>
  <c r="AK40" i="1"/>
  <c r="AL41" i="1"/>
  <c r="AK41" i="1" s="1"/>
  <c r="AL42" i="1"/>
  <c r="V32" i="19"/>
  <c r="P42" i="19"/>
  <c r="J12" i="19"/>
  <c r="J32" i="19"/>
  <c r="AB52" i="19"/>
  <c r="AM45" i="1"/>
  <c r="J22" i="19"/>
  <c r="V22" i="19"/>
  <c r="J52" i="19"/>
  <c r="AH12" i="19"/>
  <c r="J42" i="19"/>
  <c r="AH42" i="19"/>
  <c r="P32" i="19"/>
  <c r="AB12" i="19"/>
  <c r="AH32" i="19"/>
  <c r="AB32" i="19"/>
  <c r="AB42" i="19"/>
  <c r="V42" i="19"/>
  <c r="V12" i="19"/>
  <c r="V52" i="19"/>
  <c r="AB22" i="19"/>
  <c r="AH52" i="19"/>
  <c r="AH22" i="19"/>
  <c r="P22" i="19"/>
  <c r="P12" i="19"/>
  <c r="P52" i="19"/>
  <c r="AL47" i="1"/>
  <c r="AK47" i="1" s="1"/>
  <c r="AL48" i="1"/>
  <c r="AK48" i="1" s="1"/>
  <c r="AK46" i="1"/>
  <c r="AK52" i="1"/>
  <c r="AL53" i="1"/>
  <c r="AK58" i="1"/>
  <c r="AL59" i="1"/>
  <c r="AK28" i="1"/>
  <c r="AL29" i="1"/>
  <c r="AK66" i="1" l="1"/>
  <c r="AL67" i="1"/>
  <c r="K35" i="19"/>
  <c r="AC25" i="19"/>
  <c r="K45" i="19"/>
  <c r="AI45" i="19"/>
  <c r="W45" i="19"/>
  <c r="Q35" i="19"/>
  <c r="K55" i="19"/>
  <c r="AC15" i="19"/>
  <c r="Q15" i="19"/>
  <c r="AC35" i="19"/>
  <c r="AI35" i="19"/>
  <c r="Q55" i="19"/>
  <c r="AI25" i="19"/>
  <c r="AM64"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M58" i="1"/>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M40" i="1"/>
  <c r="AD55" i="19"/>
  <c r="R15" i="19"/>
  <c r="AJ35" i="19"/>
  <c r="AM65"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M57" i="1"/>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M47" i="1"/>
  <c r="AD12" i="19"/>
  <c r="AD32" i="19"/>
  <c r="AD22" i="19"/>
  <c r="X52" i="19"/>
  <c r="AD52" i="19"/>
  <c r="L42" i="19"/>
  <c r="R42" i="19"/>
  <c r="AJ21" i="19"/>
  <c r="AD31" i="19"/>
  <c r="R21" i="19"/>
  <c r="AD41" i="19"/>
  <c r="AJ11" i="19"/>
  <c r="AJ51" i="19"/>
  <c r="AM41" i="1"/>
  <c r="L41" i="19"/>
  <c r="AD11" i="19"/>
  <c r="L21" i="19"/>
  <c r="L11" i="19"/>
  <c r="X51" i="19"/>
  <c r="X21" i="19"/>
  <c r="R11" i="19"/>
  <c r="R31" i="19"/>
  <c r="AJ41" i="19"/>
  <c r="L31" i="19"/>
  <c r="R51" i="19"/>
  <c r="X31" i="19"/>
  <c r="X11" i="19"/>
  <c r="X41" i="19"/>
  <c r="AJ31" i="19"/>
  <c r="AD51" i="19"/>
  <c r="R41" i="19"/>
  <c r="AD21" i="19"/>
  <c r="L51" i="19"/>
  <c r="AK29" i="1"/>
  <c r="AL30" i="1"/>
  <c r="AK53" i="1"/>
  <c r="AL54" i="1"/>
  <c r="K42" i="19"/>
  <c r="AC32" i="19"/>
  <c r="W42" i="19"/>
  <c r="AI52" i="19"/>
  <c r="K22" i="19"/>
  <c r="Q32" i="19"/>
  <c r="AI12" i="19"/>
  <c r="AC52" i="19"/>
  <c r="Q42" i="19"/>
  <c r="AC42" i="19"/>
  <c r="K12" i="19"/>
  <c r="Q22" i="19"/>
  <c r="W52" i="19"/>
  <c r="AI42" i="19"/>
  <c r="W32" i="19"/>
  <c r="AI22" i="19"/>
  <c r="W12" i="19"/>
  <c r="AI32" i="19"/>
  <c r="AC12" i="19"/>
  <c r="Q12" i="19"/>
  <c r="Q52" i="19"/>
  <c r="AM46" i="1"/>
  <c r="K32" i="19"/>
  <c r="W22" i="19"/>
  <c r="K52" i="19"/>
  <c r="AC22" i="19"/>
  <c r="AC40" i="19"/>
  <c r="W10" i="19"/>
  <c r="AC50" i="19"/>
  <c r="Q10" i="19"/>
  <c r="Q30" i="19"/>
  <c r="W50" i="19"/>
  <c r="K40" i="19"/>
  <c r="Q50" i="19"/>
  <c r="W20" i="19"/>
  <c r="AM34" i="1"/>
  <c r="K10" i="19"/>
  <c r="Q40" i="19"/>
  <c r="K30" i="19"/>
  <c r="AI50" i="19"/>
  <c r="AI20" i="19"/>
  <c r="K50" i="19"/>
  <c r="AI40" i="19"/>
  <c r="W40" i="19"/>
  <c r="K20" i="19"/>
  <c r="AC10" i="19"/>
  <c r="AI10" i="19"/>
  <c r="AC20" i="19"/>
  <c r="AI30" i="19"/>
  <c r="AC30" i="19"/>
  <c r="W30" i="19"/>
  <c r="Q20" i="19"/>
  <c r="AL24" i="1"/>
  <c r="AK23" i="1"/>
  <c r="AK59" i="1"/>
  <c r="AL60" i="1"/>
  <c r="K39" i="19"/>
  <c r="AC39" i="19"/>
  <c r="W29" i="19"/>
  <c r="AI49" i="19"/>
  <c r="W9" i="19"/>
  <c r="AC19" i="19"/>
  <c r="Q49" i="19"/>
  <c r="W49" i="19"/>
  <c r="AC9" i="19"/>
  <c r="AI9" i="19"/>
  <c r="Q29" i="19"/>
  <c r="W39" i="19"/>
  <c r="Q39" i="19"/>
  <c r="AM28" i="1"/>
  <c r="K9" i="19"/>
  <c r="W19" i="19"/>
  <c r="AI39" i="19"/>
  <c r="K29" i="19"/>
  <c r="AC49" i="19"/>
  <c r="AI19" i="19"/>
  <c r="AC29" i="19"/>
  <c r="K19" i="19"/>
  <c r="K49" i="19"/>
  <c r="Q19" i="19"/>
  <c r="Q9" i="19"/>
  <c r="AI29" i="19"/>
  <c r="K23" i="19"/>
  <c r="AI43" i="19"/>
  <c r="AC43" i="19"/>
  <c r="AC53" i="19"/>
  <c r="W43" i="19"/>
  <c r="K13" i="19"/>
  <c r="Q53" i="19"/>
  <c r="AI53" i="19"/>
  <c r="K33" i="19"/>
  <c r="K43" i="19"/>
  <c r="AI33" i="19"/>
  <c r="AC33" i="19"/>
  <c r="AM52" i="1"/>
  <c r="Q33" i="19"/>
  <c r="AI23" i="19"/>
  <c r="K53" i="19"/>
  <c r="AC23" i="19"/>
  <c r="AC13" i="19"/>
  <c r="W23" i="19"/>
  <c r="W33" i="19"/>
  <c r="Q13" i="19"/>
  <c r="W13" i="19"/>
  <c r="AI13" i="19"/>
  <c r="Q43" i="19"/>
  <c r="Q23" i="19"/>
  <c r="W53" i="19"/>
  <c r="M12" i="19"/>
  <c r="AK42" i="19"/>
  <c r="AE32" i="19"/>
  <c r="AM48" i="1"/>
  <c r="M52" i="19"/>
  <c r="S12" i="19"/>
  <c r="M32" i="19"/>
  <c r="S52" i="19"/>
  <c r="Y52" i="19"/>
  <c r="Y42" i="19"/>
  <c r="AK12" i="19"/>
  <c r="S22" i="19"/>
  <c r="AE12" i="19"/>
  <c r="Y22" i="19"/>
  <c r="S32" i="19"/>
  <c r="AK52" i="19"/>
  <c r="M22" i="19"/>
  <c r="AK32" i="19"/>
  <c r="AE22" i="19"/>
  <c r="AE42" i="19"/>
  <c r="Y32" i="19"/>
  <c r="M42" i="19"/>
  <c r="Y12" i="19"/>
  <c r="AE52" i="19"/>
  <c r="AK22" i="19"/>
  <c r="S42" i="19"/>
  <c r="AK42" i="1"/>
  <c r="AL44" i="1"/>
  <c r="AK44" i="1" s="1"/>
  <c r="AL43" i="1"/>
  <c r="AK43" i="1" s="1"/>
  <c r="AK35" i="1"/>
  <c r="AL36" i="1"/>
  <c r="AL14" i="1"/>
  <c r="AK14" i="1" s="1"/>
  <c r="R40" i="19" l="1"/>
  <c r="AD10" i="19"/>
  <c r="X40" i="19"/>
  <c r="AJ10" i="19"/>
  <c r="R50" i="19"/>
  <c r="X10" i="19"/>
  <c r="R30" i="19"/>
  <c r="AM35" i="1"/>
  <c r="L10" i="19"/>
  <c r="L50" i="19"/>
  <c r="AJ20" i="19"/>
  <c r="AJ40" i="19"/>
  <c r="AD30" i="19"/>
  <c r="R20" i="19"/>
  <c r="AD50" i="19"/>
  <c r="AJ30" i="19"/>
  <c r="AJ50" i="19"/>
  <c r="X30" i="19"/>
  <c r="AD20" i="19"/>
  <c r="L40" i="19"/>
  <c r="X50" i="19"/>
  <c r="X20" i="19"/>
  <c r="AD40" i="19"/>
  <c r="R10" i="19"/>
  <c r="L30" i="19"/>
  <c r="L20" i="19"/>
  <c r="AK54" i="1"/>
  <c r="AL55" i="1"/>
  <c r="AK67" i="1"/>
  <c r="AL68" i="1"/>
  <c r="AK68" i="1" s="1"/>
  <c r="AL25" i="1"/>
  <c r="AK25" i="1" s="1"/>
  <c r="AK24" i="1"/>
  <c r="AL26" i="1"/>
  <c r="AK26" i="1" s="1"/>
  <c r="AJ43" i="19"/>
  <c r="AD33" i="19"/>
  <c r="X33" i="19"/>
  <c r="X13" i="19"/>
  <c r="AD43" i="19"/>
  <c r="L43" i="19"/>
  <c r="AM53" i="1"/>
  <c r="X23" i="19"/>
  <c r="R33" i="19"/>
  <c r="R43" i="19"/>
  <c r="AD53" i="19"/>
  <c r="AJ13" i="19"/>
  <c r="R23" i="19"/>
  <c r="R13" i="19"/>
  <c r="AJ53" i="19"/>
  <c r="L33" i="19"/>
  <c r="L23" i="19"/>
  <c r="X43" i="19"/>
  <c r="X53" i="19"/>
  <c r="AD13" i="19"/>
  <c r="L53" i="19"/>
  <c r="L13" i="19"/>
  <c r="AD23" i="19"/>
  <c r="AJ33" i="19"/>
  <c r="AJ23" i="19"/>
  <c r="R53" i="19"/>
  <c r="M55" i="19"/>
  <c r="AK15" i="19"/>
  <c r="AE25" i="19"/>
  <c r="AM66"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M23" i="1"/>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M43" i="1"/>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AM14" i="1"/>
  <c r="O11" i="19"/>
  <c r="O21" i="19"/>
  <c r="O51" i="19"/>
  <c r="AA31" i="19"/>
  <c r="AM31" i="19"/>
  <c r="AG51" i="19"/>
  <c r="AA41" i="19"/>
  <c r="AM11" i="19"/>
  <c r="U21" i="19"/>
  <c r="AG41" i="19"/>
  <c r="AM21" i="19"/>
  <c r="AM51" i="19"/>
  <c r="O41" i="19"/>
  <c r="U11" i="19"/>
  <c r="AG31" i="19"/>
  <c r="U41" i="19"/>
  <c r="AM44" i="1"/>
  <c r="AG11" i="19"/>
  <c r="AM41" i="19"/>
  <c r="AA21" i="19"/>
  <c r="AA51" i="19"/>
  <c r="U51" i="19"/>
  <c r="U31" i="19"/>
  <c r="AA11" i="19"/>
  <c r="AG21" i="19"/>
  <c r="O31" i="19"/>
  <c r="AK60" i="1"/>
  <c r="AL61" i="1"/>
  <c r="AK30" i="1"/>
  <c r="AL31" i="1"/>
  <c r="AK31" i="1" s="1"/>
  <c r="AL32" i="1"/>
  <c r="AK32" i="1" s="1"/>
  <c r="AJ46" i="19"/>
  <c r="AD46" i="19"/>
  <c r="L36" i="19"/>
  <c r="X16" i="19"/>
  <c r="AJ26" i="19"/>
  <c r="L46" i="19"/>
  <c r="X6" i="19"/>
  <c r="R36" i="19"/>
  <c r="X36" i="19"/>
  <c r="R6" i="19"/>
  <c r="AJ6" i="19"/>
  <c r="AD36" i="19"/>
  <c r="R46" i="19"/>
  <c r="AD26" i="19"/>
  <c r="L16" i="19"/>
  <c r="AD16" i="19"/>
  <c r="X46" i="19"/>
  <c r="X26" i="19"/>
  <c r="AJ36" i="19"/>
  <c r="R26" i="19"/>
  <c r="AD6" i="19"/>
  <c r="L6" i="19"/>
  <c r="L26" i="19"/>
  <c r="R16" i="19"/>
  <c r="AJ16" i="19"/>
  <c r="AK36" i="1"/>
  <c r="AL37" i="1"/>
  <c r="AE11" i="19"/>
  <c r="Y41" i="19"/>
  <c r="M41" i="19"/>
  <c r="Y21" i="19"/>
  <c r="AK41" i="19"/>
  <c r="S31" i="19"/>
  <c r="M31" i="19"/>
  <c r="M51" i="19"/>
  <c r="Y51" i="19"/>
  <c r="AK21" i="19"/>
  <c r="AK31" i="19"/>
  <c r="Y11" i="19"/>
  <c r="AE41" i="19"/>
  <c r="AE21" i="19"/>
  <c r="S51" i="19"/>
  <c r="AE51" i="19"/>
  <c r="AK51" i="19"/>
  <c r="M21" i="19"/>
  <c r="AE31" i="19"/>
  <c r="AM42" i="1"/>
  <c r="S41" i="19"/>
  <c r="AK11" i="19"/>
  <c r="S11" i="19"/>
  <c r="Y31" i="19"/>
  <c r="S21" i="19"/>
  <c r="M11" i="19"/>
  <c r="L54" i="19"/>
  <c r="AJ14" i="19"/>
  <c r="AD44" i="19"/>
  <c r="X54" i="19"/>
  <c r="R14" i="19"/>
  <c r="AD24" i="19"/>
  <c r="AD34" i="19"/>
  <c r="R54" i="19"/>
  <c r="L34" i="19"/>
  <c r="AJ34" i="19"/>
  <c r="X24" i="19"/>
  <c r="AJ24" i="19"/>
  <c r="X44" i="19"/>
  <c r="R24" i="19"/>
  <c r="AM59" i="1"/>
  <c r="X34" i="19"/>
  <c r="L14" i="19"/>
  <c r="AD14" i="19"/>
  <c r="L44" i="19"/>
  <c r="R44" i="19"/>
  <c r="AD54" i="19"/>
  <c r="X14" i="19"/>
  <c r="AJ44" i="19"/>
  <c r="R34" i="19"/>
  <c r="AJ54" i="19"/>
  <c r="L24" i="19"/>
  <c r="AD29" i="19"/>
  <c r="AD19" i="19"/>
  <c r="R39" i="19"/>
  <c r="R9" i="19"/>
  <c r="X49" i="19"/>
  <c r="X9" i="19"/>
  <c r="AD39" i="19"/>
  <c r="R29" i="19"/>
  <c r="L49" i="19"/>
  <c r="X19" i="19"/>
  <c r="X29" i="19"/>
  <c r="X39" i="19"/>
  <c r="L9" i="19"/>
  <c r="AM29" i="1"/>
  <c r="AD9" i="19"/>
  <c r="AJ49" i="19"/>
  <c r="L39" i="19"/>
  <c r="R19" i="19"/>
  <c r="AJ39" i="19"/>
  <c r="AJ29" i="19"/>
  <c r="AJ19" i="19"/>
  <c r="AJ9" i="19"/>
  <c r="AD49" i="19"/>
  <c r="L19" i="19"/>
  <c r="L29" i="19"/>
  <c r="R49" i="19"/>
  <c r="AK37" i="1" l="1"/>
  <c r="AL38" i="1"/>
  <c r="AK38" i="1" s="1"/>
  <c r="AG39" i="19"/>
  <c r="AG29" i="19"/>
  <c r="AM19" i="19"/>
  <c r="O39" i="19"/>
  <c r="AM32" i="1"/>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M60" i="1"/>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M24" i="1"/>
  <c r="AE28" i="19"/>
  <c r="AA55" i="19"/>
  <c r="O45" i="19"/>
  <c r="AA15" i="19"/>
  <c r="AM55" i="19"/>
  <c r="O55" i="19"/>
  <c r="AG35" i="19"/>
  <c r="AM25" i="19"/>
  <c r="AM35" i="19"/>
  <c r="AA25" i="19"/>
  <c r="AM45" i="19"/>
  <c r="AG25" i="19"/>
  <c r="AA35" i="19"/>
  <c r="O25" i="19"/>
  <c r="U25" i="19"/>
  <c r="AG45" i="19"/>
  <c r="U35" i="19"/>
  <c r="AA45" i="19"/>
  <c r="AM15" i="19"/>
  <c r="U45" i="19"/>
  <c r="O35" i="19"/>
  <c r="O15" i="19"/>
  <c r="AM68" i="1"/>
  <c r="AG15" i="19"/>
  <c r="U15" i="19"/>
  <c r="AG55" i="19"/>
  <c r="U55" i="19"/>
  <c r="AE40" i="19"/>
  <c r="Y30" i="19"/>
  <c r="M20" i="19"/>
  <c r="AM36" i="1"/>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AM31" i="1"/>
  <c r="T19" i="19"/>
  <c r="AL49" i="19"/>
  <c r="T29" i="19"/>
  <c r="AF29" i="19"/>
  <c r="T18" i="19"/>
  <c r="N48" i="19"/>
  <c r="N8" i="19"/>
  <c r="T28" i="19"/>
  <c r="AF38" i="19"/>
  <c r="Z28" i="19"/>
  <c r="Z18" i="19"/>
  <c r="AF8" i="19"/>
  <c r="AM25" i="1"/>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M67"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AM30" i="1"/>
  <c r="M9" i="19"/>
  <c r="Y29" i="19"/>
  <c r="AK55" i="1"/>
  <c r="AL56" i="1"/>
  <c r="AK56" i="1" s="1"/>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AK61" i="1"/>
  <c r="AL62" i="1"/>
  <c r="AK62" i="1" s="1"/>
  <c r="O8" i="19"/>
  <c r="AA48" i="19"/>
  <c r="AM38" i="19"/>
  <c r="U48" i="19"/>
  <c r="AA18" i="19"/>
  <c r="AG18" i="19"/>
  <c r="AG48" i="19"/>
  <c r="AM18" i="19"/>
  <c r="AA28" i="19"/>
  <c r="AG28" i="19"/>
  <c r="AA8" i="19"/>
  <c r="U18" i="19"/>
  <c r="AG38" i="19"/>
  <c r="U38" i="19"/>
  <c r="AM8" i="19"/>
  <c r="AA38" i="19"/>
  <c r="AM48" i="19"/>
  <c r="U28" i="19"/>
  <c r="O38" i="19"/>
  <c r="U8" i="19"/>
  <c r="AG8" i="19"/>
  <c r="AM26" i="1"/>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M54" i="1"/>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M62" i="1"/>
  <c r="AA14" i="19"/>
  <c r="O54" i="19"/>
  <c r="U44" i="19"/>
  <c r="U43" i="19"/>
  <c r="U13" i="19"/>
  <c r="AM53" i="19"/>
  <c r="AA53" i="19"/>
  <c r="AA43" i="19"/>
  <c r="O53" i="19"/>
  <c r="O23" i="19"/>
  <c r="O13" i="19"/>
  <c r="AG43" i="19"/>
  <c r="U33" i="19"/>
  <c r="U23" i="19"/>
  <c r="AM13" i="19"/>
  <c r="AM23" i="19"/>
  <c r="AG13" i="19"/>
  <c r="AA23" i="19"/>
  <c r="AG33" i="19"/>
  <c r="AA33" i="19"/>
  <c r="AM33" i="19"/>
  <c r="AA13" i="19"/>
  <c r="AM56"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M61" i="1"/>
  <c r="AF53" i="19"/>
  <c r="T43" i="19"/>
  <c r="Z53" i="19"/>
  <c r="N43" i="19"/>
  <c r="T23" i="19"/>
  <c r="AF43" i="19"/>
  <c r="Z13" i="19"/>
  <c r="Z43" i="19"/>
  <c r="AF23" i="19"/>
  <c r="AL13" i="19"/>
  <c r="Z23" i="19"/>
  <c r="AL43" i="19"/>
  <c r="AF13" i="19"/>
  <c r="AL23" i="19"/>
  <c r="N13" i="19"/>
  <c r="T33" i="19"/>
  <c r="AL53" i="19"/>
  <c r="N23" i="19"/>
  <c r="N53" i="19"/>
  <c r="AF33" i="19"/>
  <c r="N33" i="19"/>
  <c r="AM55" i="1"/>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M38" i="1"/>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AM37" i="1"/>
  <c r="T10" i="19"/>
  <c r="AF10" i="19"/>
  <c r="T20" i="19"/>
  <c r="N30" i="19"/>
  <c r="Z20" i="19"/>
  <c r="AF50" i="19"/>
  <c r="T50" i="19"/>
  <c r="AL30" i="19"/>
  <c r="T40" i="19"/>
  <c r="AF40" i="19"/>
  <c r="AF30" i="19"/>
  <c r="N50" i="19"/>
  <c r="AL40" i="19"/>
  <c r="AL20" i="19"/>
  <c r="Z10" i="19"/>
  <c r="AF20" i="19"/>
  <c r="N10" i="19"/>
  <c r="Z50" i="19"/>
  <c r="AL50" i="19"/>
  <c r="N40" i="19"/>
  <c r="T30" i="19"/>
  <c r="Z30" i="19"/>
  <c r="AL10" i="19"/>
  <c r="N20" i="19"/>
  <c r="AL22" i="1" l="1"/>
  <c r="AK22" i="1" s="1"/>
  <c r="K18" i="19" l="1"/>
  <c r="AC28" i="19"/>
  <c r="K28" i="19"/>
  <c r="AI38" i="19"/>
  <c r="AC8" i="19"/>
  <c r="AI8" i="19"/>
  <c r="AC38" i="19"/>
  <c r="W48" i="19"/>
  <c r="AI48" i="19"/>
  <c r="Q8" i="19"/>
  <c r="AC48" i="19"/>
  <c r="AI18" i="19"/>
  <c r="AI28" i="19"/>
  <c r="K38" i="19"/>
  <c r="K8" i="19"/>
  <c r="Q18" i="19"/>
  <c r="AC18" i="19"/>
  <c r="W18" i="19"/>
  <c r="Q48" i="19"/>
  <c r="Q28" i="19"/>
  <c r="Q38" i="19"/>
  <c r="W28" i="19"/>
  <c r="W8" i="19"/>
  <c r="K48" i="19"/>
  <c r="AM22" i="1"/>
  <c r="W38" i="19"/>
  <c r="O39" i="1" l="1"/>
  <c r="P39" i="1" s="1"/>
  <c r="O27" i="1"/>
  <c r="P27" i="1" s="1"/>
  <c r="O51" i="1"/>
  <c r="P51" i="1" s="1"/>
  <c r="O33" i="1"/>
  <c r="P33" i="1" s="1"/>
  <c r="O63" i="1"/>
  <c r="P63" i="1" s="1"/>
  <c r="O57" i="1"/>
  <c r="P57" i="1" s="1"/>
  <c r="O11" i="1"/>
  <c r="P11" i="1" s="1"/>
  <c r="O21" i="1"/>
  <c r="P21" i="1" s="1"/>
  <c r="O45" i="1"/>
  <c r="P45" i="1" s="1"/>
  <c r="O15" i="1"/>
  <c r="P15" i="1" s="1"/>
  <c r="X6" i="18" l="1"/>
  <c r="R22" i="18"/>
  <c r="R30" i="18"/>
  <c r="X38" i="18"/>
  <c r="R15" i="1"/>
  <c r="Q15" i="1"/>
  <c r="L30" i="18"/>
  <c r="AJ14" i="18"/>
  <c r="AD6" i="18"/>
  <c r="AJ38" i="18"/>
  <c r="X30" i="18"/>
  <c r="L22" i="18"/>
  <c r="L38" i="18"/>
  <c r="R6" i="18"/>
  <c r="AJ30" i="18"/>
  <c r="L6" i="18"/>
  <c r="X22" i="18"/>
  <c r="AD38" i="18"/>
  <c r="AD22" i="18"/>
  <c r="X14" i="18"/>
  <c r="R38" i="18"/>
  <c r="R14" i="18"/>
  <c r="AD30" i="18"/>
  <c r="AJ22" i="18"/>
  <c r="L14" i="18"/>
  <c r="AJ6" i="18"/>
  <c r="AD14" i="18"/>
  <c r="T14" i="18"/>
  <c r="N14" i="18"/>
  <c r="T38" i="18"/>
  <c r="AL14" i="18"/>
  <c r="R21" i="1"/>
  <c r="N6" i="18"/>
  <c r="AF38" i="18"/>
  <c r="N38" i="18"/>
  <c r="AL22" i="18"/>
  <c r="AF14" i="18"/>
  <c r="Z22" i="18"/>
  <c r="Z30" i="18"/>
  <c r="Z14" i="18"/>
  <c r="N30" i="18"/>
  <c r="AL38" i="18"/>
  <c r="Z6" i="18"/>
  <c r="T22" i="18"/>
  <c r="N22" i="18"/>
  <c r="AF22" i="18"/>
  <c r="AF6" i="18"/>
  <c r="Q21" i="1"/>
  <c r="AL21" i="1" s="1"/>
  <c r="AK21" i="1" s="1"/>
  <c r="AL30" i="18"/>
  <c r="T6" i="18"/>
  <c r="AF30" i="18"/>
  <c r="T30" i="18"/>
  <c r="AL6" i="18"/>
  <c r="Z38" i="18"/>
  <c r="Z42" i="18"/>
  <c r="AF34" i="18"/>
  <c r="N42" i="18"/>
  <c r="AL10" i="18"/>
  <c r="T18" i="18"/>
  <c r="AF42" i="18"/>
  <c r="Z18" i="18"/>
  <c r="AL26" i="18"/>
  <c r="Z10" i="18"/>
  <c r="T26" i="18"/>
  <c r="T34" i="18"/>
  <c r="AL18" i="18"/>
  <c r="AF18" i="18"/>
  <c r="AL34" i="18"/>
  <c r="Z34" i="18"/>
  <c r="R57" i="1"/>
  <c r="N34" i="18"/>
  <c r="AF26" i="18"/>
  <c r="N18" i="18"/>
  <c r="AF10" i="18"/>
  <c r="N26" i="18"/>
  <c r="N10" i="18"/>
  <c r="Z26" i="18"/>
  <c r="Q57" i="1"/>
  <c r="T10" i="18"/>
  <c r="AL42" i="18"/>
  <c r="T42" i="18"/>
  <c r="R24" i="18"/>
  <c r="R32" i="18"/>
  <c r="R8" i="18"/>
  <c r="AJ32" i="18"/>
  <c r="X40" i="18"/>
  <c r="L32" i="18"/>
  <c r="X24" i="18"/>
  <c r="Q33" i="1"/>
  <c r="L40" i="18"/>
  <c r="L24" i="18"/>
  <c r="X32" i="18"/>
  <c r="R16" i="18"/>
  <c r="AD32" i="18"/>
  <c r="L16" i="18"/>
  <c r="L8" i="18"/>
  <c r="AJ16" i="18"/>
  <c r="AD24" i="18"/>
  <c r="AD8" i="18"/>
  <c r="R33" i="1"/>
  <c r="X8" i="18"/>
  <c r="AJ8" i="18"/>
  <c r="R40" i="18"/>
  <c r="X16" i="18"/>
  <c r="AJ24" i="18"/>
  <c r="AJ40" i="18"/>
  <c r="AD40" i="18"/>
  <c r="AD16" i="18"/>
  <c r="AB40" i="18"/>
  <c r="AB24" i="18"/>
  <c r="Q27" i="1"/>
  <c r="P32" i="18"/>
  <c r="P24" i="18"/>
  <c r="P16" i="18"/>
  <c r="V32" i="18"/>
  <c r="AB16" i="18"/>
  <c r="AH24" i="18"/>
  <c r="AH40" i="18"/>
  <c r="AB32" i="18"/>
  <c r="J24" i="18"/>
  <c r="P8" i="18"/>
  <c r="J40" i="18"/>
  <c r="AH32" i="18"/>
  <c r="V16" i="18"/>
  <c r="J16" i="18"/>
  <c r="V24" i="18"/>
  <c r="V40" i="18"/>
  <c r="P40" i="18"/>
  <c r="AH16" i="18"/>
  <c r="V8" i="18"/>
  <c r="AH8" i="18"/>
  <c r="J8" i="18"/>
  <c r="AB8" i="18"/>
  <c r="J32" i="18"/>
  <c r="R27" i="1"/>
  <c r="Q45" i="1"/>
  <c r="P34" i="18"/>
  <c r="AB42" i="18"/>
  <c r="P10" i="18"/>
  <c r="P42" i="18"/>
  <c r="AH42" i="18"/>
  <c r="AH26" i="18"/>
  <c r="AB34" i="18"/>
  <c r="AH18" i="18"/>
  <c r="J10" i="18"/>
  <c r="J18" i="18"/>
  <c r="P26" i="18"/>
  <c r="AH10" i="18"/>
  <c r="V18" i="18"/>
  <c r="J42" i="18"/>
  <c r="AB18" i="18"/>
  <c r="AH34" i="18"/>
  <c r="V34" i="18"/>
  <c r="V42" i="18"/>
  <c r="AB26" i="18"/>
  <c r="V26" i="18"/>
  <c r="V10" i="18"/>
  <c r="J34" i="18"/>
  <c r="AB10" i="18"/>
  <c r="R45" i="1"/>
  <c r="J26" i="18"/>
  <c r="P18" i="18"/>
  <c r="P14" i="18"/>
  <c r="V14" i="18"/>
  <c r="V38" i="18"/>
  <c r="AH38" i="18"/>
  <c r="AB22" i="18"/>
  <c r="AB14" i="18"/>
  <c r="J30" i="18"/>
  <c r="AB6" i="18"/>
  <c r="AH30" i="18"/>
  <c r="AH6" i="18"/>
  <c r="AB30" i="18"/>
  <c r="J6" i="18"/>
  <c r="AH22" i="18"/>
  <c r="R11" i="1"/>
  <c r="V22" i="18"/>
  <c r="P22" i="18"/>
  <c r="AH14" i="18"/>
  <c r="J14" i="18"/>
  <c r="V30" i="18"/>
  <c r="AB38" i="18"/>
  <c r="P38" i="18"/>
  <c r="Q11" i="1"/>
  <c r="AL11" i="1" s="1"/>
  <c r="AL12" i="1" s="1"/>
  <c r="AK12" i="1" s="1"/>
  <c r="AM12" i="1" s="1"/>
  <c r="J38" i="18"/>
  <c r="V6" i="18"/>
  <c r="J22" i="18"/>
  <c r="P30" i="18"/>
  <c r="P6" i="18"/>
  <c r="J20" i="18"/>
  <c r="AB28" i="18"/>
  <c r="R63" i="1"/>
  <c r="AH20" i="18"/>
  <c r="AB12" i="18"/>
  <c r="J36" i="18"/>
  <c r="AB44" i="18"/>
  <c r="J28" i="18"/>
  <c r="V12" i="18"/>
  <c r="AH44" i="18"/>
  <c r="AB36" i="18"/>
  <c r="V36" i="18"/>
  <c r="Q63" i="1"/>
  <c r="AL63" i="1" s="1"/>
  <c r="AK63" i="1" s="1"/>
  <c r="AH12" i="18"/>
  <c r="J44" i="18"/>
  <c r="P28" i="18"/>
  <c r="P12" i="18"/>
  <c r="P44" i="18"/>
  <c r="P20" i="18"/>
  <c r="P36" i="18"/>
  <c r="V44" i="18"/>
  <c r="AH36" i="18"/>
  <c r="V28" i="18"/>
  <c r="AB20" i="18"/>
  <c r="AH28" i="18"/>
  <c r="V20" i="18"/>
  <c r="J12" i="18"/>
  <c r="AD34" i="18"/>
  <c r="AD26" i="18"/>
  <c r="L42" i="18"/>
  <c r="X18" i="18"/>
  <c r="X10" i="18"/>
  <c r="AJ10" i="18"/>
  <c r="AJ34" i="18"/>
  <c r="Q51" i="1"/>
  <c r="AJ26" i="18"/>
  <c r="R34" i="18"/>
  <c r="AJ42" i="18"/>
  <c r="R42" i="18"/>
  <c r="AJ18" i="18"/>
  <c r="X42" i="18"/>
  <c r="AD10" i="18"/>
  <c r="L10" i="18"/>
  <c r="L26" i="18"/>
  <c r="X34" i="18"/>
  <c r="R18" i="18"/>
  <c r="AD42" i="18"/>
  <c r="R26" i="18"/>
  <c r="L18" i="18"/>
  <c r="AD18" i="18"/>
  <c r="L34" i="18"/>
  <c r="R10" i="18"/>
  <c r="X26" i="18"/>
  <c r="R51" i="1"/>
  <c r="AF24" i="18"/>
  <c r="T40" i="18"/>
  <c r="Z40" i="18"/>
  <c r="AF8" i="18"/>
  <c r="Z16" i="18"/>
  <c r="AL24" i="18"/>
  <c r="N32" i="18"/>
  <c r="Z8" i="18"/>
  <c r="N8" i="18"/>
  <c r="T32" i="18"/>
  <c r="AF40" i="18"/>
  <c r="AL32" i="18"/>
  <c r="Z24" i="18"/>
  <c r="R39" i="1"/>
  <c r="AF16" i="18"/>
  <c r="AL16" i="18"/>
  <c r="AF32" i="18"/>
  <c r="Q39" i="1"/>
  <c r="AL8" i="18"/>
  <c r="T8" i="18"/>
  <c r="T24" i="18"/>
  <c r="Z32" i="18"/>
  <c r="N16" i="18"/>
  <c r="AL40" i="18"/>
  <c r="N24" i="18"/>
  <c r="T16" i="18"/>
  <c r="N40" i="18"/>
  <c r="P38" i="19" l="1"/>
  <c r="AH8" i="19"/>
  <c r="J8" i="19"/>
  <c r="P28" i="19"/>
  <c r="AH38" i="19"/>
  <c r="J38" i="19"/>
  <c r="J28" i="19"/>
  <c r="V38" i="19"/>
  <c r="AB28" i="19"/>
  <c r="AB18" i="19"/>
  <c r="AH28" i="19"/>
  <c r="V48" i="19"/>
  <c r="AH48" i="19"/>
  <c r="AB8" i="19"/>
  <c r="AB38" i="19"/>
  <c r="J48" i="19"/>
  <c r="P18" i="19"/>
  <c r="V28" i="19"/>
  <c r="P8" i="19"/>
  <c r="AH18" i="19"/>
  <c r="V18" i="19"/>
  <c r="J18" i="19"/>
  <c r="V8" i="19"/>
  <c r="AB48" i="19"/>
  <c r="AM21" i="1"/>
  <c r="P48" i="19"/>
  <c r="AL15" i="1"/>
  <c r="AK15" i="1" s="1"/>
  <c r="V25" i="19"/>
  <c r="J15" i="19"/>
  <c r="AH25" i="19"/>
  <c r="AB15" i="19"/>
  <c r="P45" i="19"/>
  <c r="J35" i="19"/>
  <c r="J25" i="19"/>
  <c r="AH15" i="19"/>
  <c r="J55" i="19"/>
  <c r="AM63" i="1"/>
  <c r="AH35" i="19"/>
  <c r="J45" i="19"/>
  <c r="P35" i="19"/>
  <c r="AB45" i="19"/>
  <c r="P15" i="19"/>
  <c r="AB35" i="19"/>
  <c r="AB55" i="19"/>
  <c r="P55" i="19"/>
  <c r="V55" i="19"/>
  <c r="V45" i="19"/>
  <c r="AH55" i="19"/>
  <c r="V15" i="19"/>
  <c r="AH45" i="19"/>
  <c r="V35" i="19"/>
  <c r="AB25" i="19"/>
  <c r="P25" i="19"/>
  <c r="AK11" i="1"/>
  <c r="K36" i="19" l="1"/>
  <c r="K6" i="19"/>
  <c r="AI6" i="19"/>
  <c r="Q36" i="19"/>
  <c r="W36" i="19"/>
  <c r="K16" i="19"/>
  <c r="W6" i="19"/>
  <c r="K46" i="19"/>
  <c r="AC46" i="19"/>
  <c r="AC16" i="19"/>
  <c r="W46" i="19"/>
  <c r="AC6" i="19"/>
  <c r="W16" i="19"/>
  <c r="Q26" i="19"/>
  <c r="Q6" i="19"/>
  <c r="Q16" i="19"/>
  <c r="AI16" i="19"/>
  <c r="AI26" i="19"/>
  <c r="AC36" i="19"/>
  <c r="AC26" i="19"/>
  <c r="K26" i="19"/>
  <c r="AI46" i="19"/>
  <c r="Q46" i="19"/>
  <c r="W26" i="19"/>
  <c r="AI36" i="19"/>
  <c r="P16" i="19"/>
  <c r="J26" i="19"/>
  <c r="AH46" i="19"/>
  <c r="J6" i="19"/>
  <c r="V16" i="19"/>
  <c r="P36" i="19"/>
  <c r="J46" i="19"/>
  <c r="AH6" i="19"/>
  <c r="AH26" i="19"/>
  <c r="AB6" i="19"/>
  <c r="V46" i="19"/>
  <c r="J16" i="19"/>
  <c r="AB16" i="19"/>
  <c r="AB26" i="19"/>
  <c r="J36" i="19"/>
  <c r="AM11" i="1"/>
  <c r="AB46" i="19"/>
  <c r="P26" i="19"/>
  <c r="AH36" i="19"/>
  <c r="P46" i="19"/>
  <c r="V6" i="19"/>
  <c r="P6" i="19"/>
  <c r="V26" i="19"/>
  <c r="AB36" i="19"/>
  <c r="AH16" i="19"/>
  <c r="V36" i="19"/>
  <c r="AH7" i="19"/>
  <c r="AB17" i="19"/>
  <c r="AB7" i="19"/>
  <c r="P47" i="19"/>
  <c r="V47" i="19"/>
  <c r="AH47" i="19"/>
  <c r="V7" i="19"/>
  <c r="AB27" i="19"/>
  <c r="AB37" i="19"/>
  <c r="V37" i="19"/>
  <c r="J27" i="19"/>
  <c r="AB47" i="19"/>
  <c r="J47" i="19"/>
  <c r="P27" i="19"/>
  <c r="J37" i="19"/>
  <c r="AM15" i="1"/>
  <c r="AH17" i="19"/>
  <c r="J7" i="19"/>
  <c r="J17" i="19"/>
  <c r="V17" i="19"/>
  <c r="P37" i="19"/>
  <c r="P7" i="19"/>
  <c r="V27" i="19"/>
  <c r="AH37" i="19"/>
  <c r="P17" i="19"/>
  <c r="AH27" i="19"/>
  <c r="AD47" i="19" l="1"/>
  <c r="R7" i="19"/>
  <c r="AJ7" i="19"/>
  <c r="AJ17" i="19"/>
  <c r="AD37" i="19"/>
  <c r="AD27" i="19"/>
  <c r="AJ47" i="19"/>
  <c r="L27" i="19"/>
  <c r="L7" i="19"/>
  <c r="AD7" i="19"/>
  <c r="AD17" i="19"/>
  <c r="X37" i="19"/>
  <c r="X27" i="19"/>
  <c r="R17" i="19"/>
  <c r="R47" i="19"/>
  <c r="AJ27" i="19"/>
  <c r="X17" i="19"/>
  <c r="X47" i="19"/>
  <c r="X7" i="19"/>
  <c r="L47" i="19"/>
  <c r="AJ37" i="19"/>
  <c r="R37" i="19"/>
  <c r="L17" i="19"/>
  <c r="R27" i="19"/>
  <c r="L37" i="19"/>
  <c r="W37" i="19"/>
  <c r="K37" i="19"/>
  <c r="AI7" i="19"/>
  <c r="AC7" i="19"/>
  <c r="W17" i="19"/>
  <c r="W47" i="19"/>
  <c r="AC47" i="19"/>
  <c r="Q47" i="19"/>
  <c r="AI27" i="19"/>
  <c r="AI37" i="19"/>
  <c r="AI17" i="19"/>
  <c r="K27" i="19"/>
  <c r="AC17" i="19"/>
  <c r="K7" i="19"/>
  <c r="Q17" i="19"/>
  <c r="W27" i="19"/>
  <c r="AC37" i="19"/>
  <c r="Q7" i="19"/>
  <c r="K47" i="19"/>
  <c r="K17" i="19"/>
  <c r="AI47" i="19"/>
  <c r="Q27" i="19"/>
  <c r="AC27" i="19"/>
  <c r="Q37" i="19"/>
  <c r="W7"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tc={AE4D6729-74D4-4DE3-A820-E64F8B97BF93}</author>
    <author>tc={0B61E386-A036-4EC1-A1C5-7065EC9B7D0D}</author>
    <author>tc={4EB2EBA9-E629-48FD-9EF6-F45782CC591E}</author>
    <author>tc={951C29D5-BC83-4B11-8DA5-4DC10FA8BA92}</author>
  </authors>
  <commentList>
    <comment ref="AZ11"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adjunta Formato de Planificación de visitas</t>
      </text>
    </comment>
    <comment ref="AZ12" authorId="1" shapeId="0" xr:uid="{00000000-0006-0000-01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adjunta Formato Planificación de visitas con seguimiento</t>
      </text>
    </comment>
    <comment ref="AZ13" authorId="2" shapeId="0" xr:uid="{4EB2EBA9-E629-48FD-9EF6-F45782CC591E}">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adjunta Formato Planificación de visitas con seguimiento</t>
      </text>
    </comment>
    <comment ref="AZ15" authorId="3" shapeId="0" xr:uid="{00000000-0006-0000-0100-000003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adjuntan Acta de visita, y control de seguimiento</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<sst xmlns="http://schemas.openxmlformats.org/spreadsheetml/2006/main" count="434" uniqueCount="306">
  <si>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</si>
  <si>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</si>
  <si>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</si>
  <si>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</si>
  <si>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</si>
  <si>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</si>
  <si>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</si>
  <si>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</si>
  <si>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</si>
  <si>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</si>
  <si>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</si>
  <si>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</si>
  <si>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</si>
  <si>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</si>
  <si>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</si>
  <si>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</si>
  <si>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</si>
  <si>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</si>
  <si>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</si>
  <si>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</si>
  <si>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</si>
  <si>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</si>
  <si>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</si>
  <si>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</si>
  <si>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</si>
  <si>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</si>
  <si>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</si>
  <si>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</si>
  <si>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</si>
  <si>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</si>
  <si>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</si>
  <si>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</si>
  <si>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</si>
  <si>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</si>
  <si>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</si>
  <si>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</si>
  <si>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</si>
  <si>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</si>
  <si>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</si>
  <si>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</si>
  <si>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</si>
  <si>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</si>
  <si>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</si>
  <si>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</si>
  <si>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</si>
  <si>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</si>
  <si>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</si>
  <si>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</si>
  <si>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</si>
  <si>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</si>
  <si>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</si>
  <si>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</si>
  <si>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</si>
  <si>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</si>
  <si>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</si>
  <si>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</si>
  <si>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</si>
  <si>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</si>
  <si>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</si>
  <si>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</si>
  <si>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t>Proceso:</t>
  </si>
  <si>
    <t>GESTION DE EVALUACIÓN, CONTROL Y SEGUIMIENTO AMBIENTAL.</t>
  </si>
  <si>
    <t>Objetivo:</t>
  </si>
  <si>
    <t>Ejercer las funciones rectoras  de la gestión ambiental para  la  evaluación, seguimiento  y control ambiental de los usos del agua, el suelo, el aire y los demás recursos naturales renovables, así como de otras actividades, proyectos  o  factores que generen o puedan generar deterioro ambiental.</t>
  </si>
  <si>
    <t>Alcance:</t>
  </si>
  <si>
    <r>
      <rPr>
        <sz val="14"/>
        <color theme="1"/>
        <rFont val="Arial Narrow"/>
        <family val="2"/>
      </rPr>
      <t xml:space="preserve">Comprende desde la identificación de una  necesidad  y/o atención de una solicitud interna o externa para el uso y/o afectación de los recursos naturales, Hasta el otorgamiento o negacion del instrumento de control y/o verificacion del cumplimiento de las obligaciones impuestas.  </t>
    </r>
    <r>
      <rPr>
        <sz val="18"/>
        <color theme="1"/>
        <rFont val="Arial Narrow"/>
        <family val="2"/>
      </rPr>
      <t xml:space="preserve"> 
   </t>
    </r>
  </si>
  <si>
    <t>Análisis del riesgo inherente</t>
  </si>
  <si>
    <t>Evaluación del riesgo - Valoración de los controles</t>
  </si>
  <si>
    <t>Evaluación del riesgo - Nivel del riesgo residual</t>
  </si>
  <si>
    <t>Plan de Acción</t>
  </si>
  <si>
    <t xml:space="preserve">Referencia </t>
  </si>
  <si>
    <t xml:space="preserve">Causa </t>
  </si>
  <si>
    <t>Riesgo</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</si>
  <si>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</si>
  <si>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</si>
  <si>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</si>
  <si>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</si>
  <si>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</si>
  <si>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</si>
  <si>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</si>
  <si>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</si>
  <si>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</si>
  <si>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</si>
  <si>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</si>
  <si>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</si>
  <si>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</si>
  <si>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</si>
  <si>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</si>
  <si>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t>
  </si>
  <si>
    <t>objetivo estragtegico</t>
  </si>
  <si>
    <t>Contexto Estrategico Interno-Externo-Proceso</t>
  </si>
  <si>
    <t>consecuencia</t>
  </si>
  <si>
    <t>Tipo</t>
  </si>
  <si>
    <t>Implementación</t>
  </si>
  <si>
    <t>Calificación</t>
  </si>
  <si>
    <t>Documentación</t>
  </si>
  <si>
    <t>Frecuencia</t>
  </si>
  <si>
    <t>Evidencia</t>
  </si>
  <si>
    <t>Administrar los recursos naturales renovables y el ambiente en el área de su jurisdicción, generando conocimiento y adelantando procesos de sensibilización que permitan su conservación, recuperación, manejo y uso sostenible.</t>
  </si>
  <si>
    <t>Económico y Reputacional</t>
  </si>
  <si>
    <t>Legal</t>
  </si>
  <si>
    <t>Probabilidad de no realización de las actividades  de evaluación, seguimiento y control ambiental,  por la deficiencia en el personal de planta, contratistas, perfiles específicos y recursos económicos, o por factores externos que restringen el acceso a las zonas, no se pueden desarrollar  de manera oportuna las actividades de evaluación, seguimiento y control ambiental.</t>
  </si>
  <si>
    <t>Usuarios, productos y practicas , organizacionales</t>
  </si>
  <si>
    <t xml:space="preserve">     El riesgo afecta la imagen de de la entidad con efecto publicitario sostenido a nivel de sector administrativo, nivel departamental o municipal</t>
  </si>
  <si>
    <t>Preventivo</t>
  </si>
  <si>
    <t>Manual</t>
  </si>
  <si>
    <t>Documentado</t>
  </si>
  <si>
    <t>Continua</t>
  </si>
  <si>
    <t>Con Registro</t>
  </si>
  <si>
    <t>Reducir (mitigar)</t>
  </si>
  <si>
    <t xml:space="preserve">Subdirección   General área de gestión ambiental  </t>
  </si>
  <si>
    <t xml:space="preserve">Estrategico </t>
  </si>
  <si>
    <t xml:space="preserve">Perdida de la confianza en la institución por parte  de la comunidad </t>
  </si>
  <si>
    <t xml:space="preserve"> economico</t>
  </si>
  <si>
    <t>Reputacional</t>
  </si>
  <si>
    <t>Personal</t>
  </si>
  <si>
    <t>Ejecucion y Administracion de procesos</t>
  </si>
  <si>
    <t>Detectivo</t>
  </si>
  <si>
    <t>Permanente</t>
  </si>
  <si>
    <t>Operativa</t>
  </si>
  <si>
    <t>Correctivo</t>
  </si>
  <si>
    <t>En curso</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</si>
  <si>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</si>
  <si>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</si>
  <si>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</si>
  <si>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</si>
  <si>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</si>
  <si>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</si>
  <si>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</si>
  <si>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</si>
  <si>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</si>
  <si>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</si>
  <si>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</si>
  <si>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</si>
  <si>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</si>
  <si>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</si>
  <si>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</si>
  <si>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</si>
  <si>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</si>
  <si>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</si>
  <si>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</si>
  <si>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</si>
  <si>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</si>
  <si>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</si>
  <si>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</si>
  <si>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</si>
  <si>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</si>
  <si>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</si>
  <si>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</si>
  <si>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</si>
  <si>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</si>
  <si>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</si>
  <si>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</si>
  <si>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</si>
  <si>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</si>
  <si>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</si>
  <si>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</si>
  <si>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</si>
  <si>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</si>
  <si>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</si>
  <si>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</si>
  <si>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</si>
  <si>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</si>
  <si>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</si>
  <si>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</si>
  <si>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</si>
  <si>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</si>
  <si>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</si>
  <si>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</si>
  <si>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</si>
  <si>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</si>
  <si>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</si>
  <si>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</si>
  <si>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</si>
  <si>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</si>
  <si>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</si>
  <si>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</si>
  <si>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</si>
  <si>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</si>
  <si>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</si>
  <si>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</si>
  <si>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</si>
  <si>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El riesgo afecta la imagen de la entidad con algunos usuarios de relevancia frente al logro de los objetivos</t>
  </si>
  <si>
    <t xml:space="preserve">     Entre 100 y 500 SMLMV </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</si>
  <si>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</si>
  <si>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</si>
  <si>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</si>
  <si>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</si>
  <si>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</si>
  <si>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</si>
  <si>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</si>
  <si>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</si>
  <si>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</si>
  <si>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</si>
  <si>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</si>
  <si>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</si>
  <si>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</si>
  <si>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</si>
  <si>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</si>
  <si>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</si>
  <si>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</si>
  <si>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</si>
  <si>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</si>
  <si>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</si>
  <si>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</si>
  <si>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</si>
  <si>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</si>
  <si>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</si>
  <si>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</si>
  <si>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</si>
  <si>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</si>
  <si>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</si>
  <si>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</si>
  <si>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</si>
  <si>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</si>
  <si>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</si>
  <si>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</si>
  <si>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</si>
  <si>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Reducir (compartir)</t>
  </si>
  <si>
    <t>Plan de accion (solo para la opción reducir)</t>
  </si>
  <si>
    <t>Finalizado</t>
  </si>
  <si>
    <t>Daños Activos Fisicos</t>
  </si>
  <si>
    <t>Fallas Tecnologicas</t>
  </si>
  <si>
    <t>Fraude Externo</t>
  </si>
  <si>
    <t>Fraude Interno</t>
  </si>
  <si>
    <t>Relaciones Laborales</t>
  </si>
  <si>
    <t>Registro Sustancial</t>
  </si>
  <si>
    <t>Registro Material</t>
  </si>
  <si>
    <t>Sin registro</t>
  </si>
  <si>
    <t>Reducir</t>
  </si>
  <si>
    <t xml:space="preserve">1. Dificultad en el proceso de asignación de los recursos para las actividades de  evaluación, seguimiento y control ambiental.
2. Recursos logísticos insuficientes (vehículos, avances, viáticos etc.).
3. Perfiles del personal (Falta de personal idoneo para la realización de las labores).
4. Cantidad de personal contratado (Personal de apoyo insuficiente para cumplir con la labores).
5. Tipo de vinculación del personal  (Interrupciones en la labor por terminación de contratos  por el personal de apoyo en la entidad). 
6. Dificultad de acceso a las zonas de interés ambiental por  alteración del  orden público  e infraestructura de la zona
</t>
  </si>
  <si>
    <t xml:space="preserve">
1.Falta de compromiso de los usuarios para el cumplimiento de las obligaciones.
2. Debilidades en la aplicación de los mecanismos sancionatarios a los usuarios por no cumplimiento de las obligaciones Ambientales.
3. demoras en los tiempos de entrega por parte de los usuarios de los soportes documentales que acreditan el cumplimiento de las obligaciones .</t>
  </si>
  <si>
    <t>Deficiencia en la administración de los recursos naturales del departammento.</t>
  </si>
  <si>
    <t>Congestion administrativa por incumplimiento de los usuarios.
Afectacion en la actividad de control de la administración de recursos naturales pro falta de entrega de información reelevante para el cumplimiento de las obligaciones ambientales.</t>
  </si>
  <si>
    <t>Sanciones disciplinarias, fiscales y penales por parte de los entes de control</t>
  </si>
  <si>
    <t xml:space="preserve">Fallas en la realización de las actividades de evaluación, seguimiento y control ambiental. </t>
  </si>
  <si>
    <t>Tener un plan de seguimiento para priorizar los instrumento de control ambiental de aquellos que presenten mayor conflictividad e impacto ambiental. (Formato Planilla Planificación de Visitas de Control y Seguimiento Ambiental PCM-01-F-04)</t>
  </si>
  <si>
    <t>Subdirección   General área de gestión ambiental - Coordinación resepctiva.</t>
  </si>
  <si>
    <t>Semestral</t>
  </si>
  <si>
    <t>Aumento  en la ocurrencia de impactos ambientales no deseados</t>
  </si>
  <si>
    <t>Incumplimiento  de las obligaciones Ambientales impuesta en los actos administrativos por parte de los usuarios .</t>
  </si>
  <si>
    <t>Probabilidad de que los usuarios incumplan con las obligaciones  establecidas en los instrumentos de control ambiental, por la no entrega de soportes documentales y por las Debilidades en la aplicación de los mecanismos sancionatarios a los usuarios por no cumplimiento de las obligaciones Ambientales</t>
  </si>
  <si>
    <t xml:space="preserve">Afectación en la  conservación de los recursos naturales </t>
  </si>
  <si>
    <t>Dismunución del recaudo por este concepto</t>
  </si>
  <si>
    <t>Orientar al usuario en el cumplimiento de las obligaciones</t>
  </si>
  <si>
    <t>SISTEMA INTEGRADO DE GESTIÓN
PLANEACIÓN ESTRATEGICA
MAPA DE RIESGOS Y OPORTUNIDADES POR PROCESOS</t>
  </si>
  <si>
    <t>Identificación del riesgo y/o Oportunidad (es)</t>
  </si>
  <si>
    <t>Oportunidad(es)</t>
  </si>
  <si>
    <t xml:space="preserve">Aumento gradual de la concienciacion de las comunidades acerca de la importancia de la gestión ambiental  </t>
  </si>
  <si>
    <r>
      <rPr>
        <b/>
        <sz val="13"/>
        <color theme="1"/>
        <rFont val="Arial Narrow"/>
        <family val="2"/>
      </rPr>
      <t xml:space="preserve">CODIGO: </t>
    </r>
    <r>
      <rPr>
        <sz val="13"/>
        <color theme="1"/>
        <rFont val="Arial Narrow"/>
        <family val="2"/>
      </rPr>
      <t>PCE-01-F-02</t>
    </r>
  </si>
  <si>
    <r>
      <t xml:space="preserve">Versión: </t>
    </r>
    <r>
      <rPr>
        <sz val="13"/>
        <color theme="1"/>
        <rFont val="Arial Narrow"/>
        <family val="2"/>
      </rPr>
      <t>4.0</t>
    </r>
  </si>
  <si>
    <r>
      <t xml:space="preserve">FECHA: </t>
    </r>
    <r>
      <rPr>
        <sz val="13"/>
        <color theme="1"/>
        <rFont val="Arial Narrow"/>
        <family val="2"/>
      </rPr>
      <t>27/12/2024</t>
    </r>
  </si>
  <si>
    <t>Análisis de Oportunidades</t>
  </si>
  <si>
    <t>Evaluación</t>
  </si>
  <si>
    <t>Nivel de la Oportunidad</t>
  </si>
  <si>
    <t>Zona de Oportunidad</t>
  </si>
  <si>
    <t>Descripción del Control para Riesgos/Oportunidades</t>
  </si>
  <si>
    <t>Análisis de Oportunidades con Tratamiento</t>
  </si>
  <si>
    <t>Nivel de la oportunidad</t>
  </si>
  <si>
    <t>Zona de la Oportunidad con Tratamiento</t>
  </si>
  <si>
    <t>01 febrero 2025 al 30 de noviembre de 2025</t>
  </si>
  <si>
    <t>Realizar seguimiento al cumplimiento de lo establecido en la planificación de visitas</t>
  </si>
  <si>
    <t>CRITERIOS DE EVALUACIÓN DE OPORTUNIDADES DEL SIG</t>
  </si>
  <si>
    <t>ALCANCE</t>
  </si>
  <si>
    <t>TABLA 1: Análisis de Oportunidades</t>
  </si>
  <si>
    <t>CLASIFICACION 
(De acuerdo a la probabilidad y el impacto)</t>
  </si>
  <si>
    <t>Criterio</t>
  </si>
  <si>
    <t>Evaluación (Valor)</t>
  </si>
  <si>
    <t xml:space="preserve">Alto </t>
  </si>
  <si>
    <t>≥10</t>
  </si>
  <si>
    <t xml:space="preserve">Medio </t>
  </si>
  <si>
    <t>≥4
≤9</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</si>
  <si>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</si>
  <si>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</si>
  <si>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</si>
  <si>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</si>
  <si>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</si>
  <si>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</si>
  <si>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</si>
  <si>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</si>
  <si>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</si>
  <si>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</si>
  <si>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</si>
  <si>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</si>
  <si>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</si>
  <si>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</si>
  <si>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</si>
  <si>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</si>
  <si>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Esta matriz será aplicable para el análisis de las oportunidades identificadas en la matriz de Contexto Interno y Externo y/o las identificadas en el proceso de autoevaluación y/o auditorías al sistema.</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</si>
  <si>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</si>
  <si>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Oportunidad cuyo aprovechamiento requiere recursos (Talento Humano, logísticos, tecnológicos, económicos), o que puede ameritar una mediana inversión, y afectar de forma importante el presupuesto.</t>
  </si>
  <si>
    <t>Oportunidad cuyo aprovechamiento requiere recursos con los que cuenta la entidad (Talento Humano, logísticos, tecnológicos, económicos), o que puede ameritar una inversión que genera afectaciones mínimas al presupuesto.</t>
  </si>
  <si>
    <t xml:space="preserve">Realizar la planificación para la priorización de las visitas de control y seguimiento ambiental, teniendo en cuenta la cobertura jurisdiccional de la entidad, ubicación geografica, tipo de proyecto y cantidad de profesionales disponibles. 
</t>
  </si>
  <si>
    <t>Coordinación GIT para la Gestión Ambiental en Territorios y Comunidades Etnicas.</t>
  </si>
  <si>
    <t>Para la Oportunidad: Espacios de Concientización con los diferentes actores y/o comunidades, como fundamento para la construcción de la paz y la gobernanza ambiental.</t>
  </si>
  <si>
    <t>Para el Riesgo: Revisión documental de los expendientes de los instrumentos otorgados, a los que no se logró realizar visita de control ambiental. (Resolución 0059 del 27 de enero de 2012)</t>
  </si>
  <si>
    <t xml:space="preserve">Realizar socialización a los usuarios dentro de las labores de control y seguimiento ambiental para la concientización del cumplimiento de sus obligaciones como fundamento para la gobernanza ambiental que contribuya a la construcción de la paz </t>
  </si>
  <si>
    <t>Se viene realizando esta actividad durante las visitas de seguimiento realizadas dentro del formato acta de diligencia</t>
  </si>
  <si>
    <t>01 julio 2025 al 30 de noviembre de 2025</t>
  </si>
  <si>
    <t>Se realizó la planificación para priorización de labores de control y seguimiento ambiental Formato PCM-01-F-04</t>
  </si>
  <si>
    <t>1 de mayo al 31 de diciembre de 2025</t>
  </si>
  <si>
    <t>Procedimiento PCM-01-P-19
Seguimiento y Control Ambiental</t>
  </si>
  <si>
    <t>Se incluyó en el Formato PCM-01-F-24 FORMATO ACTA DILIGENCIA_VISITA CONTROL Y SGTO AMB_V3_01_10_2025, la nota: Se deja constancia que durante la labor de seguimiento y control ambiental se socializó al usuario en la concientización del cumplimiento de sus obligaciones como fundamento para la gobernanza ambiental la cual contribuye a la construcción de la paz</t>
  </si>
  <si>
    <t>30 de noviembre de 2025</t>
  </si>
  <si>
    <r>
      <t xml:space="preserve">Fecha Actualización: </t>
    </r>
    <r>
      <rPr>
        <sz val="12"/>
        <color theme="1"/>
        <rFont val="Arial Narrow"/>
        <family val="2"/>
      </rPr>
      <t>31/12/2025</t>
    </r>
  </si>
  <si>
    <t>Durante el segundo semestre de la vigencia 2025, se realizó el seguimiento a la planificación establecida para la priorización de las visitas de control y seguimiento ambiental, verificando que esta se ejecute conforme a los criterios definidos por la entidad. Se evidenció la aplicación de variables como la cobertura jurisdiccional, la ubicación geográfica de los proyectos, el tipo de actividad o proyecto a evaluar, así como la disponibilidad de profesionales para la ejecución de las visitas.
Como resultado, a través de acta de reunión de las coordinaciones, se dejó constancia del cumplimiento de la acción, garantizando una adecuada priorización de las actividades de control y seguimiento ambiental, optimizando el uso de los recursos disponibles y asegurando la atención oportuna en las áreas de mayor relevancia dentro de la jurisdicción de CORPOCESAR.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</si>
</sst>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0"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2"/>
      <color theme="1"/>
      <name val="Arial Narrow"/>
      <family val="2"/>
    </font>
    <font>
      <sz val="13"/>
      <color theme="1"/>
      <name val="Arial Narrow"/>
      <family val="2"/>
    </font>
    <font>
      <b/>
      <sz val="13"/>
      <color theme="1"/>
      <name val="Arial Narrow"/>
      <family val="2"/>
    </font>
    <font>
      <b/>
      <sz val="10"/>
      <color theme="1"/>
      <name val="Arial Narrow"/>
      <family val="2"/>
    </font>
    <font>
      <sz val="11"/>
      <color theme="1"/>
      <name val="Arial"/>
      <family val="2"/>
    </font>
    <font>
      <b/>
      <sz val="12"/>
      <color theme="0"/>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93">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ashed">
        <color theme="9" tint="-0.24994659260841701"/>
      </left>
      <right/>
      <top style="dashed">
        <color theme="9" tint="-0.24994659260841701"/>
      </top>
      <bottom style="thin">
        <color indexed="64"/>
      </bottom>
      <diagonal/>
    </border>
    <border>
      <left/>
      <right/>
      <top style="dashed">
        <color theme="9" tint="-0.24994659260841701"/>
      </top>
      <bottom style="thin">
        <color indexed="64"/>
      </bottom>
      <diagonal/>
    </border>
    <border>
      <left/>
      <right style="dashed">
        <color theme="9" tint="-0.24994659260841701"/>
      </right>
      <top style="dashed">
        <color theme="9" tint="-0.24994659260841701"/>
      </top>
      <bottom style="thin">
        <color indexed="64"/>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
      <left style="dashed">
        <color theme="9" tint="-0.24994659260841701"/>
      </left>
      <right style="dashed">
        <color theme="9" tint="-0.24994659260841701"/>
      </right>
      <top style="thin">
        <color theme="9"/>
      </top>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5" fillId="0" borderId="0"/>
  </cellStyleXfs>
  <cellXfs count="508">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4" fillId="2" borderId="2" xfId="0" applyFont="1" applyFill="1" applyBorder="1" applyAlignment="1">
      <alignment horizontal="center" vertical="center" wrapText="1"/>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xf>
    <xf numFmtId="0" fontId="27" fillId="2" borderId="8" xfId="0" applyFont="1" applyFill="1" applyBorder="1" applyAlignment="1">
      <alignment horizontal="center" vertical="center" textRotation="90"/>
    </xf>
    <xf numFmtId="0" fontId="1" fillId="0" borderId="6" xfId="0" applyFont="1" applyBorder="1" applyAlignment="1">
      <alignment horizontal="center" vertical="center"/>
    </xf>
    <xf numFmtId="0" fontId="4" fillId="2" borderId="8" xfId="0" applyFont="1" applyFill="1" applyBorder="1" applyAlignment="1">
      <alignment horizontal="center" vertical="center"/>
    </xf>
    <xf numFmtId="0" fontId="26" fillId="3" borderId="0" xfId="0" applyFont="1" applyFill="1" applyAlignment="1">
      <alignment vertical="center"/>
    </xf>
    <xf numFmtId="0" fontId="26" fillId="3" borderId="0" xfId="0" applyFont="1" applyFill="1" applyAlignment="1">
      <alignment horizontal="center" vertical="center"/>
    </xf>
    <xf numFmtId="0" fontId="6" fillId="0" borderId="2" xfId="0" applyFont="1" applyBorder="1" applyAlignment="1" applyProtection="1">
      <alignment horizontal="justify" vertical="center" wrapText="1"/>
      <protection locked="0"/>
    </xf>
    <xf numFmtId="0" fontId="1"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14" fontId="1" fillId="0" borderId="2" xfId="0" applyNumberFormat="1" applyFont="1" applyBorder="1" applyAlignment="1" applyProtection="1">
      <alignment horizontal="center" vertical="center"/>
      <protection locked="0"/>
    </xf>
    <xf numFmtId="0" fontId="1" fillId="3" borderId="0" xfId="0" applyFont="1" applyFill="1" applyAlignment="1">
      <alignment horizontal="center" vertical="center"/>
    </xf>
    <xf numFmtId="0" fontId="4" fillId="0" borderId="4" xfId="0" applyFont="1" applyBorder="1" applyAlignment="1" applyProtection="1">
      <alignment horizontal="center" vertical="top"/>
      <protection hidden="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6"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164" fontId="1" fillId="3" borderId="2" xfId="1" applyNumberFormat="1" applyFont="1" applyFill="1" applyBorder="1" applyAlignment="1">
      <alignment horizontal="center" vertical="center"/>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wrapText="1"/>
      <protection locked="0"/>
    </xf>
    <xf numFmtId="0" fontId="26" fillId="2" borderId="29" xfId="0" applyFont="1" applyFill="1" applyBorder="1" applyAlignment="1">
      <alignment vertical="center"/>
    </xf>
    <xf numFmtId="0" fontId="26" fillId="2" borderId="0" xfId="0" applyFont="1" applyFill="1" applyAlignment="1">
      <alignment vertical="center"/>
    </xf>
    <xf numFmtId="0" fontId="4" fillId="0" borderId="4" xfId="0" applyFont="1" applyBorder="1" applyAlignment="1" applyProtection="1">
      <alignment horizontal="center" vertical="center"/>
      <protection hidden="1"/>
    </xf>
    <xf numFmtId="0" fontId="4" fillId="2" borderId="32"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36" fillId="3" borderId="12" xfId="5" applyFont="1" applyFill="1" applyBorder="1" applyAlignment="1">
      <alignment vertical="center"/>
    </xf>
    <xf numFmtId="0" fontId="36" fillId="3" borderId="19" xfId="5" applyFont="1" applyFill="1" applyBorder="1" applyAlignment="1">
      <alignment vertical="center"/>
    </xf>
    <xf numFmtId="0" fontId="63" fillId="3" borderId="13" xfId="5" applyFont="1" applyFill="1" applyBorder="1" applyAlignment="1">
      <alignment vertical="center"/>
    </xf>
    <xf numFmtId="0" fontId="63" fillId="3" borderId="0" xfId="5" applyFont="1" applyFill="1" applyAlignment="1">
      <alignment vertical="center"/>
    </xf>
    <xf numFmtId="0" fontId="64" fillId="3" borderId="14" xfId="5" applyFont="1" applyFill="1" applyBorder="1" applyAlignment="1">
      <alignment vertical="center"/>
    </xf>
    <xf numFmtId="0" fontId="63" fillId="3" borderId="15" xfId="5" applyFont="1" applyFill="1" applyBorder="1" applyAlignment="1">
      <alignment vertical="center"/>
    </xf>
    <xf numFmtId="0" fontId="36" fillId="3" borderId="14" xfId="5" applyFont="1" applyFill="1" applyBorder="1" applyAlignment="1">
      <alignment vertical="center"/>
    </xf>
    <xf numFmtId="0" fontId="66" fillId="3" borderId="0" xfId="6" applyFont="1" applyFill="1" applyAlignment="1">
      <alignment horizontal="center" vertical="center"/>
    </xf>
    <xf numFmtId="0" fontId="67" fillId="3" borderId="0" xfId="6" applyFont="1" applyFill="1" applyAlignment="1">
      <alignment horizontal="center" vertical="center" wrapText="1"/>
    </xf>
    <xf numFmtId="0" fontId="67" fillId="3" borderId="0" xfId="6" applyFont="1" applyFill="1" applyAlignment="1">
      <alignment horizontal="center" vertical="center"/>
    </xf>
    <xf numFmtId="0" fontId="68" fillId="17" borderId="33" xfId="6" applyFont="1" applyFill="1" applyBorder="1" applyAlignment="1">
      <alignment horizontal="center" vertical="center" wrapText="1"/>
    </xf>
    <xf numFmtId="0" fontId="68" fillId="17" borderId="33" xfId="6" applyFont="1" applyFill="1" applyBorder="1" applyAlignment="1">
      <alignment horizontal="center" vertical="center"/>
    </xf>
    <xf numFmtId="0" fontId="68" fillId="9" borderId="33" xfId="6" applyFont="1" applyFill="1" applyBorder="1" applyAlignment="1">
      <alignment horizontal="center" vertical="center"/>
    </xf>
    <xf numFmtId="0" fontId="69" fillId="9" borderId="33" xfId="6" applyFont="1" applyFill="1" applyBorder="1" applyAlignment="1">
      <alignment horizontal="center" vertical="center" wrapText="1"/>
    </xf>
    <xf numFmtId="0" fontId="69" fillId="9" borderId="33" xfId="6" applyFont="1" applyFill="1" applyBorder="1" applyAlignment="1">
      <alignment horizontal="center" vertical="center"/>
    </xf>
    <xf numFmtId="0" fontId="68" fillId="18" borderId="33" xfId="6" applyFont="1" applyFill="1" applyBorder="1" applyAlignment="1">
      <alignment horizontal="center" vertical="center"/>
    </xf>
    <xf numFmtId="0" fontId="69" fillId="18" borderId="33" xfId="6" applyFont="1" applyFill="1" applyBorder="1" applyAlignment="1">
      <alignment horizontal="center" vertical="center" wrapText="1"/>
    </xf>
    <xf numFmtId="0" fontId="68" fillId="5" borderId="33" xfId="6" applyFont="1" applyFill="1" applyBorder="1" applyAlignment="1">
      <alignment horizontal="center" vertical="center"/>
    </xf>
    <xf numFmtId="0" fontId="69" fillId="5" borderId="33"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3" xfId="0" applyFont="1" applyFill="1" applyBorder="1" applyAlignment="1">
      <alignment horizontal="center" vertical="center" wrapText="1"/>
    </xf>
    <xf numFmtId="0" fontId="38" fillId="20" borderId="33" xfId="0" applyFont="1" applyFill="1" applyBorder="1" applyAlignment="1">
      <alignment horizontal="center" vertical="center"/>
    </xf>
    <xf numFmtId="0" fontId="38" fillId="21" borderId="33" xfId="0" applyFont="1" applyFill="1" applyBorder="1" applyAlignment="1">
      <alignment horizontal="center" vertical="center" wrapText="1"/>
    </xf>
    <xf numFmtId="0" fontId="67" fillId="4" borderId="33" xfId="6" applyFont="1" applyFill="1" applyBorder="1" applyAlignment="1">
      <alignment horizontal="center" vertical="center" wrapText="1"/>
    </xf>
    <xf numFmtId="0" fontId="38" fillId="22" borderId="33" xfId="0" applyFont="1" applyFill="1" applyBorder="1" applyAlignment="1">
      <alignment horizontal="center" vertical="center" wrapText="1"/>
    </xf>
    <xf numFmtId="0" fontId="67" fillId="8" borderId="33" xfId="6" applyFont="1" applyFill="1" applyBorder="1" applyAlignment="1">
      <alignment horizontal="center" vertical="center" wrapText="1"/>
    </xf>
    <xf numFmtId="0" fontId="38" fillId="23" borderId="33" xfId="0" applyFont="1" applyFill="1" applyBorder="1" applyAlignment="1">
      <alignment horizontal="center" vertical="center" wrapText="1"/>
    </xf>
    <xf numFmtId="0" fontId="67" fillId="5" borderId="33"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3" fillId="3" borderId="17" xfId="5" applyFont="1" applyFill="1" applyBorder="1" applyAlignment="1">
      <alignment vertical="center"/>
    </xf>
    <xf numFmtId="0" fontId="1" fillId="0" borderId="2" xfId="0" applyFont="1" applyBorder="1" applyAlignment="1" applyProtection="1">
      <alignment horizontal="justify" vertical="center" wrapText="1"/>
      <protection locked="0"/>
    </xf>
    <xf numFmtId="0" fontId="62" fillId="0" borderId="92" xfId="0" applyFont="1" applyBorder="1" applyAlignment="1" applyProtection="1">
      <alignment vertical="center"/>
      <protection hidden="1"/>
    </xf>
    <xf numFmtId="0" fontId="62" fillId="0" borderId="5" xfId="0" applyFont="1" applyBorder="1" applyAlignment="1" applyProtection="1">
      <alignment vertical="center"/>
      <protection hidden="1"/>
    </xf>
    <xf numFmtId="0" fontId="62" fillId="0" borderId="92" xfId="0" applyFont="1" applyBorder="1" applyAlignment="1" applyProtection="1">
      <alignment vertical="center" textRotation="90"/>
      <protection hidden="1"/>
    </xf>
    <xf numFmtId="0" fontId="62" fillId="0" borderId="5" xfId="0" applyFont="1" applyBorder="1" applyAlignment="1" applyProtection="1">
      <alignment vertical="center" textRotation="90"/>
      <protection hidden="1"/>
    </xf>
    <xf numFmtId="0" fontId="62" fillId="0" borderId="4" xfId="0" applyFont="1" applyBorder="1" applyAlignment="1" applyProtection="1">
      <alignment vertical="center"/>
      <protection hidden="1"/>
    </xf>
    <xf numFmtId="0" fontId="62" fillId="0" borderId="4" xfId="0" applyFont="1" applyBorder="1" applyAlignment="1" applyProtection="1">
      <alignment vertical="center" textRotation="90"/>
      <protection hidden="1"/>
    </xf>
    <xf numFmtId="15" fontId="1" fillId="0" borderId="2" xfId="0" applyNumberFormat="1"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62" fillId="0" borderId="4" xfId="0" applyFont="1" applyBorder="1" applyAlignment="1" applyProtection="1">
      <alignment horizontal="center" vertical="center"/>
      <protection hidden="1"/>
    </xf>
    <xf numFmtId="0" fontId="62" fillId="0" borderId="5" xfId="0" applyFont="1" applyBorder="1" applyAlignment="1" applyProtection="1">
      <alignment horizontal="center" vertical="center"/>
      <protection hidden="1"/>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5"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0" fontId="4" fillId="0" borderId="5" xfId="0" applyFont="1" applyBorder="1" applyAlignment="1" applyProtection="1">
      <alignment horizontal="center" vertical="top"/>
      <protection hidden="1"/>
    </xf>
    <xf numFmtId="0" fontId="1" fillId="0" borderId="5" xfId="0" applyFont="1" applyBorder="1" applyAlignment="1" applyProtection="1">
      <alignment horizontal="center" vertical="top"/>
      <protection locked="0"/>
    </xf>
    <xf numFmtId="9" fontId="1" fillId="0" borderId="5" xfId="0" applyNumberFormat="1" applyFont="1" applyBorder="1" applyAlignment="1" applyProtection="1">
      <alignment horizontal="center" vertical="top" wrapText="1"/>
      <protection locked="0"/>
    </xf>
    <xf numFmtId="0" fontId="1" fillId="0" borderId="5" xfId="0" applyFont="1" applyBorder="1" applyAlignment="1">
      <alignment horizontal="center" vertical="top"/>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25" fillId="2" borderId="3"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32"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30" xfId="0" applyFont="1" applyFill="1" applyBorder="1" applyAlignment="1">
      <alignment horizontal="left" vertical="center"/>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1" fillId="3" borderId="0" xfId="0" applyFont="1" applyFill="1" applyAlignment="1">
      <alignment horizontal="left" vertical="center"/>
    </xf>
    <xf numFmtId="0" fontId="4" fillId="2" borderId="33" xfId="0" applyFont="1" applyFill="1" applyBorder="1" applyAlignment="1">
      <alignment horizontal="center" vertical="center"/>
    </xf>
    <xf numFmtId="0" fontId="1" fillId="0" borderId="5" xfId="0" applyFont="1" applyBorder="1" applyAlignment="1" applyProtection="1">
      <alignment horizontal="center" vertical="center" wrapText="1"/>
      <protection locked="0"/>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8" fillId="3" borderId="78" xfId="0" applyFont="1" applyFill="1" applyBorder="1" applyAlignment="1" applyProtection="1">
      <alignment horizontal="left" vertical="center"/>
      <protection locked="0"/>
    </xf>
    <xf numFmtId="0" fontId="8" fillId="3" borderId="79" xfId="0" applyFont="1" applyFill="1" applyBorder="1" applyAlignment="1" applyProtection="1">
      <alignment horizontal="left" vertical="center"/>
      <protection locked="0"/>
    </xf>
    <xf numFmtId="0" fontId="8" fillId="3" borderId="80"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23" fillId="3" borderId="81" xfId="0" applyFont="1" applyFill="1" applyBorder="1" applyAlignment="1">
      <alignment horizontal="left" vertical="center" wrapText="1"/>
    </xf>
    <xf numFmtId="0" fontId="23" fillId="3" borderId="82" xfId="0" applyFont="1" applyFill="1" applyBorder="1" applyAlignment="1">
      <alignment horizontal="left" vertical="center"/>
    </xf>
    <xf numFmtId="0" fontId="23" fillId="3" borderId="83" xfId="0" applyFont="1" applyFill="1" applyBorder="1" applyAlignment="1">
      <alignment horizontal="left" vertical="center"/>
    </xf>
    <xf numFmtId="0" fontId="26" fillId="3" borderId="33" xfId="0" applyFont="1" applyFill="1" applyBorder="1" applyAlignment="1">
      <alignment horizontal="center" vertical="center"/>
    </xf>
    <xf numFmtId="0" fontId="25" fillId="3" borderId="33" xfId="0" applyFont="1" applyFill="1" applyBorder="1" applyAlignment="1">
      <alignment horizontal="center" vertical="center" wrapText="1"/>
    </xf>
    <xf numFmtId="0" fontId="25" fillId="3" borderId="33" xfId="0" applyFont="1" applyFill="1" applyBorder="1" applyAlignment="1">
      <alignment horizontal="center" vertical="center"/>
    </xf>
    <xf numFmtId="0" fontId="60" fillId="3" borderId="76" xfId="0" applyFont="1" applyFill="1" applyBorder="1" applyAlignment="1">
      <alignment horizontal="left"/>
    </xf>
    <xf numFmtId="0" fontId="60" fillId="3" borderId="77" xfId="0" applyFont="1" applyFill="1" applyBorder="1" applyAlignment="1">
      <alignment horizontal="left"/>
    </xf>
    <xf numFmtId="0" fontId="60" fillId="3" borderId="75" xfId="0" applyFont="1" applyFill="1" applyBorder="1" applyAlignment="1">
      <alignment horizontal="left"/>
    </xf>
    <xf numFmtId="0" fontId="61" fillId="3" borderId="76" xfId="0" applyFont="1" applyFill="1" applyBorder="1" applyAlignment="1">
      <alignment horizontal="left" vertical="center"/>
    </xf>
    <xf numFmtId="0" fontId="61" fillId="3" borderId="77" xfId="0" applyFont="1" applyFill="1" applyBorder="1" applyAlignment="1">
      <alignment horizontal="left" vertical="center"/>
    </xf>
    <xf numFmtId="0" fontId="61" fillId="3" borderId="75" xfId="0" applyFont="1" applyFill="1" applyBorder="1" applyAlignment="1">
      <alignment horizontal="left" vertical="center"/>
    </xf>
    <xf numFmtId="0" fontId="59" fillId="3" borderId="76" xfId="0" applyFont="1" applyFill="1" applyBorder="1" applyAlignment="1">
      <alignment horizontal="left"/>
    </xf>
    <xf numFmtId="0" fontId="59" fillId="3" borderId="77" xfId="0" applyFont="1" applyFill="1" applyBorder="1" applyAlignment="1">
      <alignment horizontal="left"/>
    </xf>
    <xf numFmtId="0" fontId="59" fillId="3" borderId="75" xfId="0" applyFont="1" applyFill="1" applyBorder="1" applyAlignment="1">
      <alignment horizontal="left"/>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84" xfId="0" applyFont="1" applyFill="1" applyBorder="1" applyAlignment="1">
      <alignment horizontal="center" vertical="center" wrapText="1"/>
    </xf>
    <xf numFmtId="0" fontId="4" fillId="2" borderId="85"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84" xfId="0" applyFont="1" applyFill="1" applyBorder="1" applyAlignment="1">
      <alignment horizontal="center" vertical="center"/>
    </xf>
    <xf numFmtId="0" fontId="4" fillId="2" borderId="87"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88" xfId="0" applyFont="1" applyFill="1" applyBorder="1" applyAlignment="1">
      <alignment horizontal="center" vertical="center" textRotation="90" wrapText="1"/>
    </xf>
    <xf numFmtId="0" fontId="4" fillId="2" borderId="89" xfId="0" applyFont="1" applyFill="1" applyBorder="1" applyAlignment="1">
      <alignment horizontal="center" vertical="center" textRotation="90" wrapText="1"/>
    </xf>
    <xf numFmtId="0" fontId="4" fillId="2" borderId="4" xfId="0" applyFont="1" applyFill="1" applyBorder="1" applyAlignment="1">
      <alignment horizontal="center"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26" fillId="0" borderId="0" xfId="0" applyFont="1" applyAlignment="1">
      <alignment horizontal="center" vertical="center" wrapText="1"/>
    </xf>
    <xf numFmtId="0" fontId="21" fillId="5" borderId="14"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44" fillId="0" borderId="0" xfId="0" applyFont="1" applyAlignment="1">
      <alignment horizontal="center" vertical="center"/>
    </xf>
    <xf numFmtId="0" fontId="44" fillId="0" borderId="15"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17" xfId="0" applyFont="1" applyBorder="1" applyAlignment="1">
      <alignment horizontal="center" vertical="center"/>
    </xf>
    <xf numFmtId="0" fontId="44" fillId="0" borderId="19" xfId="0" applyFont="1" applyBorder="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4" xfId="0" applyFont="1" applyBorder="1" applyAlignment="1">
      <alignment horizontal="center" vertical="center" wrapText="1"/>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59" fillId="14" borderId="35" xfId="5" applyFont="1" applyFill="1" applyBorder="1" applyAlignment="1">
      <alignment horizontal="center" vertical="center"/>
    </xf>
    <xf numFmtId="0" fontId="59" fillId="14" borderId="36" xfId="5" applyFont="1" applyFill="1" applyBorder="1" applyAlignment="1">
      <alignment horizontal="center" vertical="center"/>
    </xf>
    <xf numFmtId="0" fontId="59" fillId="14" borderId="47" xfId="5" applyFont="1" applyFill="1" applyBorder="1" applyAlignment="1">
      <alignment horizontal="center" vertical="center"/>
    </xf>
    <xf numFmtId="0" fontId="36" fillId="3" borderId="90" xfId="5" applyFont="1" applyFill="1" applyBorder="1" applyAlignment="1">
      <alignment horizontal="center" vertical="center" wrapText="1"/>
    </xf>
    <xf numFmtId="0" fontId="36" fillId="3" borderId="69" xfId="5" applyFont="1" applyFill="1" applyBorder="1" applyAlignment="1">
      <alignment horizontal="center" vertical="center" wrapText="1"/>
    </xf>
    <xf numFmtId="0" fontId="36" fillId="3" borderId="91" xfId="5" applyFont="1" applyFill="1" applyBorder="1" applyAlignment="1">
      <alignment horizontal="center" vertical="center" wrapText="1"/>
    </xf>
    <xf numFmtId="0" fontId="64" fillId="16" borderId="35" xfId="5" applyFont="1" applyFill="1" applyBorder="1" applyAlignment="1">
      <alignment horizontal="center" vertical="center"/>
    </xf>
    <xf numFmtId="0" fontId="64" fillId="16" borderId="36" xfId="5" applyFont="1" applyFill="1" applyBorder="1" applyAlignment="1">
      <alignment horizontal="center" vertical="center"/>
    </xf>
    <xf numFmtId="0" fontId="64" fillId="16" borderId="47" xfId="5" applyFont="1" applyFill="1" applyBorder="1" applyAlignment="1">
      <alignment horizontal="center" vertical="center"/>
    </xf>
    <xf numFmtId="0" fontId="36" fillId="3" borderId="36" xfId="5" applyFont="1" applyFill="1" applyBorder="1" applyAlignment="1">
      <alignment horizontal="center" vertical="center" wrapText="1"/>
    </xf>
    <xf numFmtId="0" fontId="59" fillId="8" borderId="44" xfId="5" applyFont="1" applyFill="1" applyBorder="1" applyAlignment="1">
      <alignment horizontal="center" vertical="center" wrapText="1"/>
    </xf>
    <xf numFmtId="0" fontId="59" fillId="8" borderId="45" xfId="5" applyFont="1" applyFill="1" applyBorder="1" applyAlignment="1">
      <alignment horizontal="center" vertical="center" wrapText="1"/>
    </xf>
    <xf numFmtId="0" fontId="59" fillId="8" borderId="46" xfId="5" applyFont="1" applyFill="1" applyBorder="1" applyAlignment="1">
      <alignment horizontal="center" vertical="center" wrapText="1"/>
    </xf>
    <xf numFmtId="0" fontId="36" fillId="3" borderId="34" xfId="5" applyFont="1" applyFill="1" applyBorder="1" applyAlignment="1">
      <alignment horizontal="center" vertical="center" wrapText="1"/>
    </xf>
    <xf numFmtId="0" fontId="66" fillId="8" borderId="33" xfId="6" applyFont="1" applyFill="1" applyBorder="1" applyAlignment="1">
      <alignment horizontal="center" vertical="center"/>
    </xf>
    <xf numFmtId="0" fontId="38" fillId="19" borderId="33" xfId="0" applyFont="1" applyFill="1" applyBorder="1" applyAlignment="1">
      <alignment horizontal="center" vertical="center" wrapText="1"/>
    </xf>
    <xf numFmtId="0" fontId="38" fillId="19" borderId="33" xfId="0" applyFont="1" applyFill="1" applyBorder="1" applyAlignment="1">
      <alignment horizontal="center" vertical="center"/>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99">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948170</xdr:colOff>
      <xdr:row>0</xdr:row>
      <xdr:rowOff>127288</xdr:rowOff>
    </xdr:from>
    <xdr:to>
      <xdr:col>4</xdr:col>
      <xdr:colOff>224293</xdr:colOff>
      <xdr:row>3</xdr:row>
      <xdr:rowOff>240850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14870" y="127288"/>
          <a:ext cx="2200298" cy="10660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apas%20de%20riesgos_2025\2025_%20PCE_3_Mapa%20de%20Riesgos%20y%20Oportunidades_%20Proceso%20Gesti&#243;n%20y%20Mejora%20del%20Siste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Valoración_Evaluación Oportunid"/>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rtha Araque Barros" id="{70E5A975-5F35-4AA4-88F0-53290CA84FE4}" userId="9df8bd3d7b4122f7" providerId="Windows Live"/>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9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98" dataDxfId="97">
  <autoFilter ref="B209:C219" xr:uid="{00000000-0009-0000-0100-000001000000}"/>
  <tableColumns count="2">
    <tableColumn id="1" xr3:uid="{00000000-0010-0000-0000-000001000000}" name="Criterios" dataDxfId="96"/>
    <tableColumn id="2" xr3:uid="{00000000-0010-0000-0000-000002000000}" name="Subcriterios" dataDxfId="9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Z11" dT="2024-12-30T23:47:47.64" personId="{70E5A975-5F35-4AA4-88F0-53290CA84FE4}" id="{AE4D6729-74D4-4DE3-A820-E64F8B97BF93}">
    <text>Se adjunta Formato de Planificación de visitas</text>
  </threadedComment>
  <threadedComment ref="AZ12" dT="2024-12-30T23:48:28.08" personId="{70E5A975-5F35-4AA4-88F0-53290CA84FE4}" id="{0B61E386-A036-4EC1-A1C5-7065EC9B7D0D}">
    <text>Se adjunta Formato Planificación de visitas con seguimiento</text>
  </threadedComment>
  <threadedComment ref="AZ13" dT="2024-12-30T23:48:28.08" personId="{70E5A975-5F35-4AA4-88F0-53290CA84FE4}" id="{4EB2EBA9-E629-48FD-9EF6-F45782CC591E}">
    <text>Se adjunta Formato Planificación de visitas con seguimiento</text>
  </threadedComment>
  <threadedComment ref="AZ15" dT="2024-12-30T23:48:58.01" personId="{70E5A975-5F35-4AA4-88F0-53290CA84FE4}" id="{951C29D5-BC83-4B11-8DA5-4DC10FA8BA92}">
    <text>Se adjuntan Acta de visita, y control de seguimiento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topLeftCell="A44" zoomScale="110" zoomScaleNormal="110" workbookViewId="0">
      <selection activeCell="E22" sqref="E22:F22"/>
    </sheetView>
  </sheetViews>
  <sheetFormatPr baseColWidth="10" defaultColWidth="11.42578125" defaultRowHeight="15" x14ac:dyDescent="0.25"/>
  <cols>
    <col min="1" max="1" width="2.85546875" style="80" customWidth="1"/>
    <col min="2" max="3" width="24.7109375" style="80" customWidth="1"/>
    <col min="4" max="4" width="16" style="80" customWidth="1"/>
    <col min="5" max="5" width="24.7109375" style="80" customWidth="1"/>
    <col min="6" max="6" width="27.7109375" style="80" customWidth="1"/>
    <col min="7" max="8" width="24.7109375" style="80" customWidth="1"/>
    <col min="9" max="16384" width="11.42578125" style="80"/>
  </cols>
  <sheetData>
    <row r="1" spans="2:8" ht="15.75" thickBot="1" x14ac:dyDescent="0.3"/>
    <row r="2" spans="2:8" ht="18" x14ac:dyDescent="0.25">
      <c r="B2" s="303" t="s">
        <v>0</v>
      </c>
      <c r="C2" s="304"/>
      <c r="D2" s="304"/>
      <c r="E2" s="304"/>
      <c r="F2" s="304"/>
      <c r="G2" s="304"/>
      <c r="H2" s="305"/>
    </row>
    <row r="3" spans="2:8" x14ac:dyDescent="0.25">
      <c r="B3" s="81"/>
      <c r="C3" s="82"/>
      <c r="D3" s="82"/>
      <c r="E3" s="82"/>
      <c r="F3" s="82"/>
      <c r="G3" s="82"/>
      <c r="H3" s="83"/>
    </row>
    <row r="4" spans="2:8" ht="63" customHeight="1" x14ac:dyDescent="0.25">
      <c r="B4" s="306" t="s">
        <v>1</v>
      </c>
      <c r="C4" s="307"/>
      <c r="D4" s="307"/>
      <c r="E4" s="307"/>
      <c r="F4" s="307"/>
      <c r="G4" s="307"/>
      <c r="H4" s="308"/>
    </row>
    <row r="5" spans="2:8" ht="63" customHeight="1" x14ac:dyDescent="0.25">
      <c r="B5" s="309"/>
      <c r="C5" s="310"/>
      <c r="D5" s="310"/>
      <c r="E5" s="310"/>
      <c r="F5" s="310"/>
      <c r="G5" s="310"/>
      <c r="H5" s="311"/>
    </row>
    <row r="6" spans="2:8" ht="16.5" x14ac:dyDescent="0.25">
      <c r="B6" s="312" t="s">
        <v>2</v>
      </c>
      <c r="C6" s="313"/>
      <c r="D6" s="313"/>
      <c r="E6" s="313"/>
      <c r="F6" s="313"/>
      <c r="G6" s="313"/>
      <c r="H6" s="314"/>
    </row>
    <row r="7" spans="2:8" ht="95.25" customHeight="1" x14ac:dyDescent="0.25">
      <c r="B7" s="322" t="s">
        <v>3</v>
      </c>
      <c r="C7" s="323"/>
      <c r="D7" s="323"/>
      <c r="E7" s="323"/>
      <c r="F7" s="323"/>
      <c r="G7" s="323"/>
      <c r="H7" s="324"/>
    </row>
    <row r="8" spans="2:8" ht="16.5" x14ac:dyDescent="0.25">
      <c r="B8" s="117"/>
      <c r="C8" s="118"/>
      <c r="D8" s="118"/>
      <c r="E8" s="118"/>
      <c r="F8" s="118"/>
      <c r="G8" s="118"/>
      <c r="H8" s="119"/>
    </row>
    <row r="9" spans="2:8" ht="16.5" customHeight="1" x14ac:dyDescent="0.25">
      <c r="B9" s="315" t="s">
        <v>4</v>
      </c>
      <c r="C9" s="316"/>
      <c r="D9" s="316"/>
      <c r="E9" s="316"/>
      <c r="F9" s="316"/>
      <c r="G9" s="316"/>
      <c r="H9" s="317"/>
    </row>
    <row r="10" spans="2:8" ht="44.25" customHeight="1" x14ac:dyDescent="0.25">
      <c r="B10" s="315"/>
      <c r="C10" s="316"/>
      <c r="D10" s="316"/>
      <c r="E10" s="316"/>
      <c r="F10" s="316"/>
      <c r="G10" s="316"/>
      <c r="H10" s="317"/>
    </row>
    <row r="11" spans="2:8" ht="15.75" thickBot="1" x14ac:dyDescent="0.3">
      <c r="B11" s="106"/>
      <c r="C11" s="109"/>
      <c r="D11" s="114"/>
      <c r="E11" s="115"/>
      <c r="F11" s="115"/>
      <c r="G11" s="116"/>
      <c r="H11" s="110"/>
    </row>
    <row r="12" spans="2:8" ht="15.75" thickTop="1" x14ac:dyDescent="0.25">
      <c r="B12" s="106"/>
      <c r="C12" s="318" t="s">
        <v>5</v>
      </c>
      <c r="D12" s="319"/>
      <c r="E12" s="320" t="s">
        <v>6</v>
      </c>
      <c r="F12" s="321"/>
      <c r="G12" s="109"/>
      <c r="H12" s="110"/>
    </row>
    <row r="13" spans="2:8" ht="35.25" customHeight="1" x14ac:dyDescent="0.25">
      <c r="B13" s="106"/>
      <c r="C13" s="325" t="s">
        <v>7</v>
      </c>
      <c r="D13" s="326"/>
      <c r="E13" s="327" t="s">
        <v>8</v>
      </c>
      <c r="F13" s="328"/>
      <c r="G13" s="109"/>
      <c r="H13" s="110"/>
    </row>
    <row r="14" spans="2:8" ht="17.25" customHeight="1" x14ac:dyDescent="0.25">
      <c r="B14" s="106"/>
      <c r="C14" s="325" t="s">
        <v>9</v>
      </c>
      <c r="D14" s="326"/>
      <c r="E14" s="327" t="s">
        <v>10</v>
      </c>
      <c r="F14" s="328"/>
      <c r="G14" s="109"/>
      <c r="H14" s="110"/>
    </row>
    <row r="15" spans="2:8" ht="19.5" customHeight="1" x14ac:dyDescent="0.25">
      <c r="B15" s="106"/>
      <c r="C15" s="325" t="s">
        <v>11</v>
      </c>
      <c r="D15" s="326"/>
      <c r="E15" s="327" t="s">
        <v>12</v>
      </c>
      <c r="F15" s="328"/>
      <c r="G15" s="109"/>
      <c r="H15" s="110"/>
    </row>
    <row r="16" spans="2:8" ht="69.75" customHeight="1" x14ac:dyDescent="0.25">
      <c r="B16" s="106"/>
      <c r="C16" s="325" t="s">
        <v>13</v>
      </c>
      <c r="D16" s="326"/>
      <c r="E16" s="327" t="s">
        <v>14</v>
      </c>
      <c r="F16" s="328"/>
      <c r="G16" s="109"/>
      <c r="H16" s="110"/>
    </row>
    <row r="17" spans="2:8" ht="34.5" customHeight="1" x14ac:dyDescent="0.25">
      <c r="B17" s="106"/>
      <c r="C17" s="329" t="s">
        <v>15</v>
      </c>
      <c r="D17" s="330"/>
      <c r="E17" s="331" t="s">
        <v>16</v>
      </c>
      <c r="F17" s="332"/>
      <c r="G17" s="109"/>
      <c r="H17" s="110"/>
    </row>
    <row r="18" spans="2:8" ht="27.75" customHeight="1" x14ac:dyDescent="0.25">
      <c r="B18" s="106"/>
      <c r="C18" s="329" t="s">
        <v>17</v>
      </c>
      <c r="D18" s="330"/>
      <c r="E18" s="331" t="s">
        <v>18</v>
      </c>
      <c r="F18" s="332"/>
      <c r="G18" s="109"/>
      <c r="H18" s="110"/>
    </row>
    <row r="19" spans="2:8" ht="28.5" customHeight="1" x14ac:dyDescent="0.25">
      <c r="B19" s="106"/>
      <c r="C19" s="329" t="s">
        <v>19</v>
      </c>
      <c r="D19" s="330"/>
      <c r="E19" s="331" t="s">
        <v>20</v>
      </c>
      <c r="F19" s="332"/>
      <c r="G19" s="109"/>
      <c r="H19" s="110"/>
    </row>
    <row r="20" spans="2:8" ht="72.75" customHeight="1" x14ac:dyDescent="0.25">
      <c r="B20" s="106"/>
      <c r="C20" s="329" t="s">
        <v>21</v>
      </c>
      <c r="D20" s="330"/>
      <c r="E20" s="331" t="s">
        <v>22</v>
      </c>
      <c r="F20" s="332"/>
      <c r="G20" s="109"/>
      <c r="H20" s="110"/>
    </row>
    <row r="21" spans="2:8" ht="64.5" customHeight="1" x14ac:dyDescent="0.25">
      <c r="B21" s="106"/>
      <c r="C21" s="329" t="s">
        <v>23</v>
      </c>
      <c r="D21" s="330"/>
      <c r="E21" s="331" t="s">
        <v>24</v>
      </c>
      <c r="F21" s="332"/>
      <c r="G21" s="109"/>
      <c r="H21" s="110"/>
    </row>
    <row r="22" spans="2:8" ht="71.25" customHeight="1" x14ac:dyDescent="0.25">
      <c r="B22" s="106"/>
      <c r="C22" s="329" t="s">
        <v>25</v>
      </c>
      <c r="D22" s="330"/>
      <c r="E22" s="331" t="s">
        <v>26</v>
      </c>
      <c r="F22" s="332"/>
      <c r="G22" s="109"/>
      <c r="H22" s="110"/>
    </row>
    <row r="23" spans="2:8" ht="55.5" customHeight="1" x14ac:dyDescent="0.25">
      <c r="B23" s="106"/>
      <c r="C23" s="336" t="s">
        <v>27</v>
      </c>
      <c r="D23" s="337"/>
      <c r="E23" s="331" t="s">
        <v>28</v>
      </c>
      <c r="F23" s="332"/>
      <c r="G23" s="109"/>
      <c r="H23" s="110"/>
    </row>
    <row r="24" spans="2:8" ht="42" customHeight="1" x14ac:dyDescent="0.25">
      <c r="B24" s="106"/>
      <c r="C24" s="336" t="s">
        <v>29</v>
      </c>
      <c r="D24" s="337"/>
      <c r="E24" s="331" t="s">
        <v>30</v>
      </c>
      <c r="F24" s="332"/>
      <c r="G24" s="109"/>
      <c r="H24" s="110"/>
    </row>
    <row r="25" spans="2:8" ht="59.25" customHeight="1" x14ac:dyDescent="0.25">
      <c r="B25" s="106"/>
      <c r="C25" s="336" t="s">
        <v>31</v>
      </c>
      <c r="D25" s="337"/>
      <c r="E25" s="331" t="s">
        <v>32</v>
      </c>
      <c r="F25" s="332"/>
      <c r="G25" s="109"/>
      <c r="H25" s="110"/>
    </row>
    <row r="26" spans="2:8" ht="23.25" customHeight="1" x14ac:dyDescent="0.25">
      <c r="B26" s="106"/>
      <c r="C26" s="336" t="s">
        <v>33</v>
      </c>
      <c r="D26" s="337"/>
      <c r="E26" s="331" t="s">
        <v>34</v>
      </c>
      <c r="F26" s="332"/>
      <c r="G26" s="109"/>
      <c r="H26" s="110"/>
    </row>
    <row r="27" spans="2:8" ht="30.75" customHeight="1" x14ac:dyDescent="0.25">
      <c r="B27" s="106"/>
      <c r="C27" s="336" t="s">
        <v>35</v>
      </c>
      <c r="D27" s="337"/>
      <c r="E27" s="331" t="s">
        <v>36</v>
      </c>
      <c r="F27" s="332"/>
      <c r="G27" s="109"/>
      <c r="H27" s="110"/>
    </row>
    <row r="28" spans="2:8" ht="35.25" customHeight="1" x14ac:dyDescent="0.25">
      <c r="B28" s="106"/>
      <c r="C28" s="336" t="s">
        <v>37</v>
      </c>
      <c r="D28" s="337"/>
      <c r="E28" s="331" t="s">
        <v>38</v>
      </c>
      <c r="F28" s="332"/>
      <c r="G28" s="109"/>
      <c r="H28" s="110"/>
    </row>
    <row r="29" spans="2:8" ht="33" customHeight="1" x14ac:dyDescent="0.25">
      <c r="B29" s="106"/>
      <c r="C29" s="336" t="s">
        <v>37</v>
      </c>
      <c r="D29" s="337"/>
      <c r="E29" s="331" t="s">
        <v>38</v>
      </c>
      <c r="F29" s="332"/>
      <c r="G29" s="109"/>
      <c r="H29" s="110"/>
    </row>
    <row r="30" spans="2:8" ht="30" customHeight="1" x14ac:dyDescent="0.25">
      <c r="B30" s="106"/>
      <c r="C30" s="336" t="s">
        <v>39</v>
      </c>
      <c r="D30" s="337"/>
      <c r="E30" s="331" t="s">
        <v>40</v>
      </c>
      <c r="F30" s="332"/>
      <c r="G30" s="109"/>
      <c r="H30" s="110"/>
    </row>
    <row r="31" spans="2:8" ht="35.25" customHeight="1" x14ac:dyDescent="0.25">
      <c r="B31" s="106"/>
      <c r="C31" s="336" t="s">
        <v>41</v>
      </c>
      <c r="D31" s="337"/>
      <c r="E31" s="331" t="s">
        <v>42</v>
      </c>
      <c r="F31" s="332"/>
      <c r="G31" s="109"/>
      <c r="H31" s="110"/>
    </row>
    <row r="32" spans="2:8" ht="31.5" customHeight="1" x14ac:dyDescent="0.25">
      <c r="B32" s="106"/>
      <c r="C32" s="336" t="s">
        <v>43</v>
      </c>
      <c r="D32" s="337"/>
      <c r="E32" s="331" t="s">
        <v>44</v>
      </c>
      <c r="F32" s="332"/>
      <c r="G32" s="109"/>
      <c r="H32" s="110"/>
    </row>
    <row r="33" spans="2:8" ht="35.25" customHeight="1" x14ac:dyDescent="0.25">
      <c r="B33" s="106"/>
      <c r="C33" s="336" t="s">
        <v>45</v>
      </c>
      <c r="D33" s="337"/>
      <c r="E33" s="331" t="s">
        <v>46</v>
      </c>
      <c r="F33" s="332"/>
      <c r="G33" s="109"/>
      <c r="H33" s="110"/>
    </row>
    <row r="34" spans="2:8" ht="59.25" customHeight="1" x14ac:dyDescent="0.25">
      <c r="B34" s="106"/>
      <c r="C34" s="336" t="s">
        <v>47</v>
      </c>
      <c r="D34" s="337"/>
      <c r="E34" s="331" t="s">
        <v>48</v>
      </c>
      <c r="F34" s="332"/>
      <c r="G34" s="109"/>
      <c r="H34" s="110"/>
    </row>
    <row r="35" spans="2:8" ht="29.25" customHeight="1" x14ac:dyDescent="0.25">
      <c r="B35" s="106"/>
      <c r="C35" s="336" t="s">
        <v>49</v>
      </c>
      <c r="D35" s="337"/>
      <c r="E35" s="331" t="s">
        <v>50</v>
      </c>
      <c r="F35" s="332"/>
      <c r="G35" s="109"/>
      <c r="H35" s="110"/>
    </row>
    <row r="36" spans="2:8" ht="82.5" customHeight="1" x14ac:dyDescent="0.25">
      <c r="B36" s="106"/>
      <c r="C36" s="336" t="s">
        <v>51</v>
      </c>
      <c r="D36" s="337"/>
      <c r="E36" s="331" t="s">
        <v>52</v>
      </c>
      <c r="F36" s="332"/>
      <c r="G36" s="109"/>
      <c r="H36" s="110"/>
    </row>
    <row r="37" spans="2:8" ht="46.5" customHeight="1" x14ac:dyDescent="0.25">
      <c r="B37" s="106"/>
      <c r="C37" s="336" t="s">
        <v>53</v>
      </c>
      <c r="D37" s="337"/>
      <c r="E37" s="331" t="s">
        <v>54</v>
      </c>
      <c r="F37" s="332"/>
      <c r="G37" s="109"/>
      <c r="H37" s="110"/>
    </row>
    <row r="38" spans="2:8" ht="6.75" customHeight="1" thickBot="1" x14ac:dyDescent="0.3">
      <c r="B38" s="106"/>
      <c r="C38" s="338"/>
      <c r="D38" s="339"/>
      <c r="E38" s="340"/>
      <c r="F38" s="341"/>
      <c r="G38" s="109"/>
      <c r="H38" s="110"/>
    </row>
    <row r="39" spans="2:8" ht="15.75" thickTop="1" x14ac:dyDescent="0.25">
      <c r="B39" s="106"/>
      <c r="C39" s="107"/>
      <c r="D39" s="107"/>
      <c r="E39" s="108"/>
      <c r="F39" s="108"/>
      <c r="G39" s="109"/>
      <c r="H39" s="110"/>
    </row>
    <row r="40" spans="2:8" ht="21" customHeight="1" x14ac:dyDescent="0.25">
      <c r="B40" s="333" t="s">
        <v>55</v>
      </c>
      <c r="C40" s="334"/>
      <c r="D40" s="334"/>
      <c r="E40" s="334"/>
      <c r="F40" s="334"/>
      <c r="G40" s="334"/>
      <c r="H40" s="335"/>
    </row>
    <row r="41" spans="2:8" ht="20.25" customHeight="1" x14ac:dyDescent="0.25">
      <c r="B41" s="333" t="s">
        <v>56</v>
      </c>
      <c r="C41" s="334"/>
      <c r="D41" s="334"/>
      <c r="E41" s="334"/>
      <c r="F41" s="334"/>
      <c r="G41" s="334"/>
      <c r="H41" s="335"/>
    </row>
    <row r="42" spans="2:8" ht="20.25" customHeight="1" x14ac:dyDescent="0.25">
      <c r="B42" s="333" t="s">
        <v>57</v>
      </c>
      <c r="C42" s="334"/>
      <c r="D42" s="334"/>
      <c r="E42" s="334"/>
      <c r="F42" s="334"/>
      <c r="G42" s="334"/>
      <c r="H42" s="335"/>
    </row>
    <row r="43" spans="2:8" ht="20.25" customHeight="1" x14ac:dyDescent="0.25">
      <c r="B43" s="333" t="s">
        <v>58</v>
      </c>
      <c r="C43" s="334"/>
      <c r="D43" s="334"/>
      <c r="E43" s="334"/>
      <c r="F43" s="334"/>
      <c r="G43" s="334"/>
      <c r="H43" s="335"/>
    </row>
    <row r="44" spans="2:8" x14ac:dyDescent="0.25">
      <c r="B44" s="333" t="s">
        <v>59</v>
      </c>
      <c r="C44" s="334"/>
      <c r="D44" s="334"/>
      <c r="E44" s="334"/>
      <c r="F44" s="334"/>
      <c r="G44" s="334"/>
      <c r="H44" s="335"/>
    </row>
    <row r="45" spans="2:8" ht="15.75" thickBot="1" x14ac:dyDescent="0.3">
      <c r="B45" s="111"/>
      <c r="C45" s="112"/>
      <c r="D45" s="112"/>
      <c r="E45" s="112"/>
      <c r="F45" s="112"/>
      <c r="G45" s="112"/>
      <c r="H45" s="113"/>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71"/>
  <sheetViews>
    <sheetView tabSelected="1" topLeftCell="AI10" zoomScaleNormal="100" workbookViewId="0">
      <selection activeCell="AY12" sqref="AY12"/>
    </sheetView>
  </sheetViews>
  <sheetFormatPr baseColWidth="10" defaultColWidth="11.42578125" defaultRowHeight="16.5" x14ac:dyDescent="0.3"/>
  <cols>
    <col min="1" max="1" width="4" style="2" bestFit="1" customWidth="1"/>
    <col min="2" max="2" width="15.5703125" style="2" customWidth="1"/>
    <col min="3" max="4" width="14.140625" style="2" customWidth="1"/>
    <col min="5" max="5" width="24.140625" style="2" customWidth="1"/>
    <col min="6" max="6" width="16.140625" style="2" customWidth="1"/>
    <col min="7" max="8" width="32.42578125" style="1" customWidth="1"/>
    <col min="9" max="9" width="28.28515625" style="1" customWidth="1"/>
    <col min="10" max="10" width="19" style="5" customWidth="1"/>
    <col min="11" max="11" width="17.85546875" style="1" customWidth="1"/>
    <col min="12" max="12" width="16.5703125" style="1" customWidth="1"/>
    <col min="13" max="13" width="6.28515625" style="1" bestFit="1" customWidth="1"/>
    <col min="14" max="14" width="27.28515625" style="1" bestFit="1" customWidth="1"/>
    <col min="15" max="15" width="30.5703125" style="1" hidden="1" customWidth="1"/>
    <col min="16" max="16" width="17.5703125" style="1" customWidth="1"/>
    <col min="17" max="17" width="6.28515625" style="1" bestFit="1" customWidth="1"/>
    <col min="18" max="24" width="16" style="1" customWidth="1"/>
    <col min="25" max="25" width="5.85546875" style="2" customWidth="1"/>
    <col min="26" max="26" width="31" style="2" customWidth="1"/>
    <col min="27" max="27" width="15.140625" style="2" bestFit="1" customWidth="1"/>
    <col min="28" max="28" width="6.85546875" style="2" customWidth="1"/>
    <col min="29" max="29" width="5" style="2" customWidth="1"/>
    <col min="30" max="30" width="5.5703125" style="2" customWidth="1"/>
    <col min="31" max="31" width="7.140625" style="2" customWidth="1"/>
    <col min="32" max="32" width="6.7109375" style="2" customWidth="1"/>
    <col min="33" max="33" width="7.5703125" style="2" customWidth="1"/>
    <col min="34" max="34" width="8.28515625" style="2" customWidth="1"/>
    <col min="35" max="35" width="8.7109375" style="2" customWidth="1"/>
    <col min="36" max="36" width="10.42578125" style="2" customWidth="1"/>
    <col min="37" max="37" width="9.28515625" style="2" customWidth="1"/>
    <col min="38" max="38" width="9.140625" style="2" customWidth="1"/>
    <col min="39" max="39" width="8.42578125" style="2" customWidth="1"/>
    <col min="40" max="40" width="7.28515625" style="2" customWidth="1"/>
    <col min="41" max="44" width="7.28515625" style="1" customWidth="1"/>
    <col min="45" max="45" width="5.7109375" style="1" customWidth="1"/>
    <col min="46" max="46" width="10" style="1" customWidth="1"/>
    <col min="47" max="47" width="38.140625" style="2" customWidth="1"/>
    <col min="48" max="48" width="18.85546875" style="1" customWidth="1"/>
    <col min="49" max="49" width="16.85546875" style="1" customWidth="1"/>
    <col min="50" max="50" width="14.85546875" style="1" customWidth="1"/>
    <col min="51" max="51" width="47" style="1" customWidth="1"/>
    <col min="52" max="52" width="21" style="2" customWidth="1"/>
    <col min="53" max="16384" width="11.42578125" style="1"/>
  </cols>
  <sheetData>
    <row r="1" spans="1:84" ht="27" customHeight="1" x14ac:dyDescent="0.3">
      <c r="A1" s="278"/>
      <c r="B1" s="278"/>
      <c r="C1" s="278"/>
      <c r="D1" s="278"/>
      <c r="E1" s="278"/>
      <c r="F1" s="279" t="s">
        <v>245</v>
      </c>
      <c r="G1" s="280"/>
      <c r="H1" s="280"/>
      <c r="I1" s="280"/>
      <c r="J1" s="280"/>
      <c r="K1" s="280"/>
      <c r="L1" s="280"/>
      <c r="M1" s="280"/>
      <c r="N1" s="281" t="s">
        <v>249</v>
      </c>
      <c r="O1" s="282"/>
      <c r="P1" s="282"/>
      <c r="Q1" s="282"/>
      <c r="R1" s="283"/>
      <c r="Y1" s="140"/>
      <c r="Z1" s="140"/>
      <c r="AA1" s="140"/>
      <c r="AB1" s="140"/>
      <c r="AC1" s="140"/>
      <c r="AD1" s="140"/>
      <c r="AE1" s="140"/>
      <c r="AF1" s="140"/>
      <c r="AG1" s="140"/>
      <c r="AH1" s="140"/>
      <c r="AI1" s="140"/>
      <c r="AJ1" s="140"/>
      <c r="AK1" s="140"/>
      <c r="AL1" s="140"/>
      <c r="AM1" s="140"/>
      <c r="AN1" s="140"/>
      <c r="AU1" s="140"/>
      <c r="AV1" s="139"/>
      <c r="AW1" s="139"/>
      <c r="AX1" s="139"/>
      <c r="AY1" s="139"/>
      <c r="AZ1" s="140"/>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row>
    <row r="2" spans="1:84" ht="24" customHeight="1" x14ac:dyDescent="0.3">
      <c r="A2" s="278"/>
      <c r="B2" s="278"/>
      <c r="C2" s="278"/>
      <c r="D2" s="278"/>
      <c r="E2" s="278"/>
      <c r="F2" s="280"/>
      <c r="G2" s="280"/>
      <c r="H2" s="280"/>
      <c r="I2" s="280"/>
      <c r="J2" s="280"/>
      <c r="K2" s="280"/>
      <c r="L2" s="280"/>
      <c r="M2" s="280"/>
      <c r="N2" s="284" t="s">
        <v>250</v>
      </c>
      <c r="O2" s="285"/>
      <c r="P2" s="285"/>
      <c r="Q2" s="285"/>
      <c r="R2" s="286"/>
      <c r="S2" s="161"/>
      <c r="T2" s="161"/>
      <c r="U2" s="161"/>
      <c r="V2" s="161"/>
      <c r="W2" s="161"/>
      <c r="X2" s="161"/>
      <c r="Y2" s="140"/>
      <c r="Z2" s="140"/>
      <c r="AA2" s="140"/>
      <c r="AB2" s="140"/>
      <c r="AC2" s="140"/>
      <c r="AD2" s="140"/>
      <c r="AE2" s="140"/>
      <c r="AF2" s="140"/>
      <c r="AG2" s="140"/>
      <c r="AH2" s="140"/>
      <c r="AI2" s="140"/>
      <c r="AJ2" s="140"/>
      <c r="AK2" s="140"/>
      <c r="AL2" s="140"/>
      <c r="AM2" s="140"/>
      <c r="AN2" s="140"/>
      <c r="AO2" s="161"/>
      <c r="AP2" s="161"/>
      <c r="AQ2" s="161"/>
      <c r="AR2" s="161"/>
      <c r="AS2" s="161"/>
      <c r="AT2" s="161"/>
      <c r="AU2" s="140"/>
      <c r="AV2" s="139"/>
      <c r="AW2" s="139"/>
      <c r="AX2" s="139"/>
      <c r="AY2" s="139"/>
      <c r="AZ2" s="140"/>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row>
    <row r="3" spans="1:84" ht="24" customHeight="1" x14ac:dyDescent="0.3">
      <c r="A3" s="278"/>
      <c r="B3" s="278"/>
      <c r="C3" s="278"/>
      <c r="D3" s="278"/>
      <c r="E3" s="278"/>
      <c r="F3" s="280"/>
      <c r="G3" s="280"/>
      <c r="H3" s="280"/>
      <c r="I3" s="280"/>
      <c r="J3" s="280"/>
      <c r="K3" s="280"/>
      <c r="L3" s="280"/>
      <c r="M3" s="280"/>
      <c r="N3" s="284" t="s">
        <v>251</v>
      </c>
      <c r="O3" s="285"/>
      <c r="P3" s="285"/>
      <c r="Q3" s="285"/>
      <c r="R3" s="286"/>
      <c r="S3" s="162"/>
      <c r="T3" s="162"/>
      <c r="U3" s="162"/>
      <c r="V3" s="162"/>
      <c r="W3" s="162"/>
      <c r="X3" s="162"/>
      <c r="Y3" s="140"/>
      <c r="Z3" s="140"/>
      <c r="AA3" s="140"/>
      <c r="AB3" s="140"/>
      <c r="AC3" s="140"/>
      <c r="AD3" s="140"/>
      <c r="AE3" s="140"/>
      <c r="AF3" s="140"/>
      <c r="AG3" s="140"/>
      <c r="AH3" s="140"/>
      <c r="AI3" s="140"/>
      <c r="AJ3" s="140"/>
      <c r="AK3" s="140"/>
      <c r="AL3" s="140"/>
      <c r="AM3" s="140"/>
      <c r="AN3" s="140"/>
      <c r="AO3" s="162"/>
      <c r="AP3" s="162"/>
      <c r="AQ3" s="162"/>
      <c r="AR3" s="162"/>
      <c r="AS3" s="162"/>
      <c r="AT3" s="162"/>
      <c r="AU3" s="140"/>
      <c r="AV3" s="140"/>
      <c r="AW3" s="140"/>
      <c r="AX3" s="140"/>
      <c r="AY3" s="140"/>
      <c r="AZ3" s="140"/>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row>
    <row r="4" spans="1:84" ht="28.15" customHeight="1" x14ac:dyDescent="0.3">
      <c r="A4" s="278"/>
      <c r="B4" s="278"/>
      <c r="C4" s="278"/>
      <c r="D4" s="278"/>
      <c r="E4" s="278"/>
      <c r="F4" s="280"/>
      <c r="G4" s="280"/>
      <c r="H4" s="280"/>
      <c r="I4" s="280"/>
      <c r="J4" s="280"/>
      <c r="K4" s="280"/>
      <c r="L4" s="280"/>
      <c r="M4" s="280"/>
      <c r="N4" s="287" t="s">
        <v>304</v>
      </c>
      <c r="O4" s="288"/>
      <c r="P4" s="288"/>
      <c r="Q4" s="288"/>
      <c r="R4" s="289"/>
      <c r="S4" s="8"/>
      <c r="T4" s="8"/>
      <c r="U4" s="8"/>
      <c r="V4" s="8"/>
      <c r="W4" s="8"/>
      <c r="X4" s="8"/>
      <c r="Y4" s="145"/>
      <c r="Z4" s="145"/>
      <c r="AA4" s="145"/>
      <c r="AB4" s="145"/>
      <c r="AC4" s="145"/>
      <c r="AD4" s="145"/>
      <c r="AE4" s="145"/>
      <c r="AF4" s="145"/>
      <c r="AG4" s="145"/>
      <c r="AH4" s="145"/>
      <c r="AI4" s="145"/>
      <c r="AJ4" s="145"/>
      <c r="AK4" s="145"/>
      <c r="AL4" s="145"/>
      <c r="AM4" s="145"/>
      <c r="AN4" s="145"/>
      <c r="AO4" s="8"/>
      <c r="AP4" s="8"/>
      <c r="AQ4" s="8"/>
      <c r="AR4" s="8"/>
      <c r="AS4" s="8"/>
      <c r="AT4" s="8"/>
      <c r="AU4" s="145"/>
      <c r="AV4" s="8"/>
      <c r="AW4" s="8"/>
      <c r="AX4" s="8"/>
      <c r="AY4" s="8"/>
      <c r="AZ4" s="145"/>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row>
    <row r="5" spans="1:84" ht="26.25" customHeight="1" x14ac:dyDescent="0.3">
      <c r="A5" s="247" t="s">
        <v>60</v>
      </c>
      <c r="B5" s="248"/>
      <c r="C5" s="249"/>
      <c r="D5" s="269" t="s">
        <v>61</v>
      </c>
      <c r="E5" s="270"/>
      <c r="F5" s="270"/>
      <c r="G5" s="270"/>
      <c r="H5" s="270"/>
      <c r="I5" s="270"/>
      <c r="J5" s="270"/>
      <c r="K5" s="270"/>
      <c r="L5" s="270"/>
      <c r="M5" s="270"/>
      <c r="N5" s="270"/>
      <c r="O5" s="270"/>
      <c r="P5" s="270"/>
      <c r="Q5" s="270"/>
      <c r="R5" s="271"/>
      <c r="S5" s="159"/>
      <c r="T5" s="159"/>
      <c r="U5" s="159"/>
      <c r="V5" s="159"/>
      <c r="W5" s="159"/>
      <c r="X5" s="159"/>
      <c r="Y5" s="261"/>
      <c r="Z5" s="261"/>
      <c r="AA5" s="261"/>
      <c r="AB5" s="145"/>
      <c r="AC5" s="145"/>
      <c r="AD5" s="145"/>
      <c r="AE5" s="145"/>
      <c r="AF5" s="145"/>
      <c r="AG5" s="145"/>
      <c r="AH5" s="145"/>
      <c r="AI5" s="145"/>
      <c r="AJ5" s="145"/>
      <c r="AK5" s="145"/>
      <c r="AL5" s="145"/>
      <c r="AM5" s="145"/>
      <c r="AN5" s="145"/>
      <c r="AO5" s="8"/>
      <c r="AP5" s="8"/>
      <c r="AQ5" s="8"/>
      <c r="AR5" s="8"/>
      <c r="AS5" s="8"/>
      <c r="AT5" s="8"/>
      <c r="AU5" s="145"/>
      <c r="AV5" s="8"/>
      <c r="AW5" s="8"/>
      <c r="AX5" s="8"/>
      <c r="AY5" s="8"/>
      <c r="AZ5" s="145"/>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row>
    <row r="6" spans="1:84" ht="39.6" customHeight="1" x14ac:dyDescent="0.3">
      <c r="A6" s="250" t="s">
        <v>62</v>
      </c>
      <c r="B6" s="251"/>
      <c r="C6" s="252"/>
      <c r="D6" s="272" t="s">
        <v>63</v>
      </c>
      <c r="E6" s="273"/>
      <c r="F6" s="273"/>
      <c r="G6" s="273"/>
      <c r="H6" s="273"/>
      <c r="I6" s="273"/>
      <c r="J6" s="273"/>
      <c r="K6" s="273"/>
      <c r="L6" s="273"/>
      <c r="M6" s="273"/>
      <c r="N6" s="273"/>
      <c r="O6" s="273"/>
      <c r="P6" s="273"/>
      <c r="Q6" s="273"/>
      <c r="R6" s="274"/>
      <c r="S6" s="160"/>
      <c r="T6" s="160"/>
      <c r="U6" s="160"/>
      <c r="V6" s="160"/>
      <c r="W6" s="160"/>
      <c r="X6" s="160"/>
      <c r="Y6" s="145"/>
      <c r="Z6" s="145"/>
      <c r="AA6" s="145"/>
      <c r="AB6" s="145"/>
      <c r="AC6" s="145"/>
      <c r="AD6" s="145"/>
      <c r="AE6" s="145"/>
      <c r="AF6" s="145"/>
      <c r="AG6" s="145"/>
      <c r="AH6" s="145"/>
      <c r="AI6" s="145"/>
      <c r="AJ6" s="145"/>
      <c r="AK6" s="145"/>
      <c r="AL6" s="145"/>
      <c r="AM6" s="145"/>
      <c r="AN6" s="145"/>
      <c r="AO6" s="8"/>
      <c r="AP6" s="8"/>
      <c r="AQ6" s="8"/>
      <c r="AR6" s="8"/>
      <c r="AS6" s="8"/>
      <c r="AT6" s="8"/>
      <c r="AU6" s="145"/>
      <c r="AV6" s="8"/>
      <c r="AW6" s="8"/>
      <c r="AX6" s="8"/>
      <c r="AY6" s="8"/>
      <c r="AZ6" s="145"/>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row>
    <row r="7" spans="1:84" ht="39" customHeight="1" x14ac:dyDescent="0.3">
      <c r="A7" s="253" t="s">
        <v>64</v>
      </c>
      <c r="B7" s="254"/>
      <c r="C7" s="255"/>
      <c r="D7" s="275" t="s">
        <v>65</v>
      </c>
      <c r="E7" s="276"/>
      <c r="F7" s="276"/>
      <c r="G7" s="276"/>
      <c r="H7" s="276"/>
      <c r="I7" s="276"/>
      <c r="J7" s="276"/>
      <c r="K7" s="276"/>
      <c r="L7" s="276"/>
      <c r="M7" s="276"/>
      <c r="N7" s="276"/>
      <c r="O7" s="276"/>
      <c r="P7" s="276"/>
      <c r="Q7" s="276"/>
      <c r="R7" s="277"/>
      <c r="S7" s="160"/>
      <c r="T7" s="160"/>
      <c r="U7" s="160"/>
      <c r="V7" s="160"/>
      <c r="W7" s="160"/>
      <c r="X7" s="160"/>
      <c r="Y7" s="145"/>
      <c r="Z7" s="145"/>
      <c r="AA7" s="145"/>
      <c r="AB7" s="145"/>
      <c r="AC7" s="145"/>
      <c r="AD7" s="145"/>
      <c r="AE7" s="145"/>
      <c r="AF7" s="145"/>
      <c r="AG7" s="145"/>
      <c r="AH7" s="145"/>
      <c r="AI7" s="145"/>
      <c r="AJ7" s="145"/>
      <c r="AK7" s="145"/>
      <c r="AL7" s="145"/>
      <c r="AM7" s="145"/>
      <c r="AN7" s="145"/>
      <c r="AO7" s="8"/>
      <c r="AP7" s="8"/>
      <c r="AQ7" s="8"/>
      <c r="AR7" s="8"/>
      <c r="AS7" s="8"/>
      <c r="AT7" s="8"/>
      <c r="AU7" s="145"/>
      <c r="AV7" s="8"/>
      <c r="AW7" s="8"/>
      <c r="AX7" s="8"/>
      <c r="AY7" s="8"/>
      <c r="AZ7" s="145"/>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row>
    <row r="8" spans="1:84" x14ac:dyDescent="0.3">
      <c r="A8" s="262" t="s">
        <v>246</v>
      </c>
      <c r="B8" s="262"/>
      <c r="C8" s="262"/>
      <c r="D8" s="262"/>
      <c r="E8" s="262"/>
      <c r="F8" s="262"/>
      <c r="G8" s="262"/>
      <c r="H8" s="262"/>
      <c r="I8" s="262"/>
      <c r="J8" s="262"/>
      <c r="K8" s="262"/>
      <c r="L8" s="262" t="s">
        <v>66</v>
      </c>
      <c r="M8" s="262"/>
      <c r="N8" s="262"/>
      <c r="O8" s="262"/>
      <c r="P8" s="262"/>
      <c r="Q8" s="262"/>
      <c r="R8" s="262"/>
      <c r="S8" s="290" t="s">
        <v>252</v>
      </c>
      <c r="T8" s="291"/>
      <c r="U8" s="291"/>
      <c r="V8" s="291"/>
      <c r="W8" s="291"/>
      <c r="X8" s="292"/>
      <c r="Y8" s="264" t="s">
        <v>67</v>
      </c>
      <c r="Z8" s="264"/>
      <c r="AA8" s="264"/>
      <c r="AB8" s="264"/>
      <c r="AC8" s="264"/>
      <c r="AD8" s="264"/>
      <c r="AE8" s="264"/>
      <c r="AF8" s="264"/>
      <c r="AG8" s="265"/>
      <c r="AH8" s="243" t="s">
        <v>68</v>
      </c>
      <c r="AI8" s="264"/>
      <c r="AJ8" s="264"/>
      <c r="AK8" s="264"/>
      <c r="AL8" s="264"/>
      <c r="AM8" s="264"/>
      <c r="AN8" s="265"/>
      <c r="AO8" s="290" t="s">
        <v>257</v>
      </c>
      <c r="AP8" s="291"/>
      <c r="AQ8" s="291"/>
      <c r="AR8" s="291"/>
      <c r="AS8" s="296"/>
      <c r="AT8" s="296"/>
      <c r="AU8" s="243" t="s">
        <v>69</v>
      </c>
      <c r="AV8" s="264"/>
      <c r="AW8" s="264"/>
      <c r="AX8" s="264"/>
      <c r="AY8" s="264"/>
      <c r="AZ8" s="265"/>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row>
    <row r="9" spans="1:84" ht="16.5" customHeight="1" x14ac:dyDescent="0.3">
      <c r="A9" s="256" t="s">
        <v>70</v>
      </c>
      <c r="B9" s="136"/>
      <c r="C9" s="245" t="s">
        <v>15</v>
      </c>
      <c r="D9" s="135"/>
      <c r="E9" s="239" t="s">
        <v>71</v>
      </c>
      <c r="F9" s="239" t="s">
        <v>72</v>
      </c>
      <c r="G9" s="245" t="s">
        <v>21</v>
      </c>
      <c r="H9" s="138"/>
      <c r="I9" s="138"/>
      <c r="J9" s="241" t="s">
        <v>23</v>
      </c>
      <c r="K9" s="239" t="s">
        <v>73</v>
      </c>
      <c r="L9" s="241" t="s">
        <v>74</v>
      </c>
      <c r="M9" s="242" t="s">
        <v>75</v>
      </c>
      <c r="N9" s="241" t="s">
        <v>76</v>
      </c>
      <c r="O9" s="241" t="s">
        <v>77</v>
      </c>
      <c r="P9" s="244" t="s">
        <v>78</v>
      </c>
      <c r="Q9" s="242" t="s">
        <v>75</v>
      </c>
      <c r="R9" s="239" t="s">
        <v>29</v>
      </c>
      <c r="S9" s="293" t="s">
        <v>94</v>
      </c>
      <c r="T9" s="293"/>
      <c r="U9" s="293"/>
      <c r="V9" s="293"/>
      <c r="W9" s="293" t="s">
        <v>253</v>
      </c>
      <c r="X9" s="293"/>
      <c r="Y9" s="258" t="s">
        <v>79</v>
      </c>
      <c r="Z9" s="240" t="s">
        <v>256</v>
      </c>
      <c r="AA9" s="302" t="s">
        <v>33</v>
      </c>
      <c r="AB9" s="240" t="s">
        <v>80</v>
      </c>
      <c r="AC9" s="240"/>
      <c r="AD9" s="240"/>
      <c r="AE9" s="240"/>
      <c r="AF9" s="240"/>
      <c r="AG9" s="240"/>
      <c r="AH9" s="260" t="s">
        <v>81</v>
      </c>
      <c r="AI9" s="260" t="s">
        <v>82</v>
      </c>
      <c r="AJ9" s="260" t="s">
        <v>75</v>
      </c>
      <c r="AK9" s="260" t="s">
        <v>83</v>
      </c>
      <c r="AL9" s="260" t="s">
        <v>75</v>
      </c>
      <c r="AM9" s="260" t="s">
        <v>84</v>
      </c>
      <c r="AN9" s="258" t="s">
        <v>49</v>
      </c>
      <c r="AO9" s="297" t="s">
        <v>94</v>
      </c>
      <c r="AP9" s="297"/>
      <c r="AQ9" s="297"/>
      <c r="AR9" s="297"/>
      <c r="AS9" s="298" t="s">
        <v>253</v>
      </c>
      <c r="AT9" s="299"/>
      <c r="AU9" s="240" t="s">
        <v>69</v>
      </c>
      <c r="AV9" s="240" t="s">
        <v>85</v>
      </c>
      <c r="AW9" s="240" t="s">
        <v>86</v>
      </c>
      <c r="AX9" s="240" t="s">
        <v>87</v>
      </c>
      <c r="AY9" s="240" t="s">
        <v>88</v>
      </c>
      <c r="AZ9" s="240" t="s">
        <v>53</v>
      </c>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row>
    <row r="10" spans="1:84" s="4" customFormat="1" ht="85.5" customHeight="1" x14ac:dyDescent="0.25">
      <c r="A10" s="257"/>
      <c r="B10" s="134" t="s">
        <v>89</v>
      </c>
      <c r="C10" s="246"/>
      <c r="D10" s="133" t="s">
        <v>90</v>
      </c>
      <c r="E10" s="240"/>
      <c r="F10" s="240"/>
      <c r="G10" s="246"/>
      <c r="H10" s="135" t="s">
        <v>247</v>
      </c>
      <c r="I10" s="135" t="s">
        <v>91</v>
      </c>
      <c r="J10" s="239"/>
      <c r="K10" s="240"/>
      <c r="L10" s="239"/>
      <c r="M10" s="243"/>
      <c r="N10" s="239"/>
      <c r="O10" s="239"/>
      <c r="P10" s="243"/>
      <c r="Q10" s="243"/>
      <c r="R10" s="240"/>
      <c r="S10" s="294" t="s">
        <v>125</v>
      </c>
      <c r="T10" s="295"/>
      <c r="U10" s="294" t="s">
        <v>15</v>
      </c>
      <c r="V10" s="295"/>
      <c r="W10" s="147" t="s">
        <v>254</v>
      </c>
      <c r="X10" s="147" t="s">
        <v>255</v>
      </c>
      <c r="Y10" s="259"/>
      <c r="Z10" s="240"/>
      <c r="AA10" s="239"/>
      <c r="AB10" s="7" t="s">
        <v>92</v>
      </c>
      <c r="AC10" s="7" t="s">
        <v>93</v>
      </c>
      <c r="AD10" s="7" t="s">
        <v>94</v>
      </c>
      <c r="AE10" s="7" t="s">
        <v>95</v>
      </c>
      <c r="AF10" s="7" t="s">
        <v>96</v>
      </c>
      <c r="AG10" s="7" t="s">
        <v>97</v>
      </c>
      <c r="AH10" s="260"/>
      <c r="AI10" s="260"/>
      <c r="AJ10" s="260"/>
      <c r="AK10" s="260"/>
      <c r="AL10" s="260"/>
      <c r="AM10" s="260"/>
      <c r="AN10" s="259"/>
      <c r="AO10" s="300" t="s">
        <v>125</v>
      </c>
      <c r="AP10" s="301"/>
      <c r="AQ10" s="300" t="s">
        <v>15</v>
      </c>
      <c r="AR10" s="301"/>
      <c r="AS10" s="164" t="s">
        <v>258</v>
      </c>
      <c r="AT10" s="148" t="s">
        <v>259</v>
      </c>
      <c r="AU10" s="240"/>
      <c r="AV10" s="240"/>
      <c r="AW10" s="240"/>
      <c r="AX10" s="240"/>
      <c r="AY10" s="240"/>
      <c r="AZ10" s="240"/>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row>
    <row r="11" spans="1:84" s="3" customFormat="1" ht="167.25" customHeight="1" x14ac:dyDescent="0.25">
      <c r="A11" s="217">
        <v>1</v>
      </c>
      <c r="B11" s="229" t="s">
        <v>98</v>
      </c>
      <c r="C11" s="211" t="s">
        <v>99</v>
      </c>
      <c r="D11" s="127" t="s">
        <v>100</v>
      </c>
      <c r="E11" s="219" t="s">
        <v>230</v>
      </c>
      <c r="F11" s="211" t="s">
        <v>235</v>
      </c>
      <c r="G11" s="221" t="s">
        <v>101</v>
      </c>
      <c r="H11" s="207" t="s">
        <v>248</v>
      </c>
      <c r="I11" s="130" t="s">
        <v>232</v>
      </c>
      <c r="J11" s="211" t="s">
        <v>102</v>
      </c>
      <c r="K11" s="213">
        <v>745</v>
      </c>
      <c r="L11" s="215" t="str">
        <f>IF(K11&lt;=0,"",IF(K11&lt;=2,"Muy Baja",IF(K11&lt;=24,"Baja",IF(K11&lt;=500,"Media",IF(K11&lt;=5000,"Alta","Muy Alta")))))</f>
        <v>Alta</v>
      </c>
      <c r="M11" s="225">
        <f>IF(L11="","",IF(L11="Muy Baja",0.2,IF(L11="Baja",0.4,IF(L11="Media",0.6,IF(L11="Alta",0.8,IF(L11="Muy Alta",1,))))))</f>
        <v>0.8</v>
      </c>
      <c r="N11" s="227" t="s">
        <v>103</v>
      </c>
      <c r="O11" s="225" t="str">
        <f>IF(NOT(ISERROR(MATCH(N11,'Tabla Impacto'!$B$221:$B$223,0))),'Tabla Impacto'!$F$223&amp;"Por favor no seleccionar los criterios de impacto(Afectación Económica o presupuestal y Pérdida Reputacional)",N11)</f>
        <v xml:space="preserve">     El riesgo afecta la imagen de de la entidad con efecto publicitario sostenido a nivel de sector administrativo, nivel departamental o municipal</v>
      </c>
      <c r="P11" s="215" t="str">
        <f>IF(OR(O11='Tabla Impacto'!$C$11,O11='Tabla Impacto'!$D$11),"Leve",IF(OR(O11='Tabla Impacto'!$C$12,O11='Tabla Impacto'!$D$12),"Menor",IF(OR(O11='Tabla Impacto'!$C$13,O11='Tabla Impacto'!$D$13),"Moderado",IF(OR(O11='Tabla Impacto'!$C$14,O11='Tabla Impacto'!$D$14),"Mayor",IF(OR(O11='Tabla Impacto'!$C$15,O11='Tabla Impacto'!$D$15),"Catastrófico","")))))</f>
        <v>Mayor</v>
      </c>
      <c r="Q11" s="225">
        <f>IF(P11="","",IF(P11="Leve",0.2,IF(P11="Menor",0.4,IF(P11="Moderado",0.6,IF(P11="Mayor",0.8,IF(P11="Catastrófico",1,))))))</f>
        <v>0.8</v>
      </c>
      <c r="R11" s="223"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Alto</v>
      </c>
      <c r="S11" s="209">
        <v>3</v>
      </c>
      <c r="T11" s="209" t="str">
        <f>+IF(S11=5,"CASI SEGURO",(IF(S11=4,"PROBABLE",(IF(S11=3,"POSIBLE",(IF(S11=2,"RARA VEZ",(IF(S11=1,"IMPROBABLE","")))))))))</f>
        <v>POSIBLE</v>
      </c>
      <c r="U11" s="209">
        <v>5</v>
      </c>
      <c r="V11" s="209" t="str">
        <f>+IF(U11=5,"ALTO",(IF(U11=3,"MEDIO",(IF(U11=1,"BAJO",IF(OR(U11=2,U11=4),"NO APLICA",""))))))</f>
        <v>ALTO</v>
      </c>
      <c r="W11" s="209">
        <f>IF(AND(S11&lt;&gt;"",U11&lt;&gt;"",V11&lt;&gt;"NO APLICA"),S11*U11,"")</f>
        <v>15</v>
      </c>
      <c r="X11" s="209" t="str">
        <f>IF(AND(W11&lt;4,W11&gt;0),"BAJA",IF(AND(W11&gt;9,W11&lt;26),"ALTA",IF(AND(W11&gt;3,W11&lt;10),"MEDIA","")))</f>
        <v>ALTA</v>
      </c>
      <c r="Y11" s="6">
        <v>1</v>
      </c>
      <c r="Z11" s="149" t="s">
        <v>295</v>
      </c>
      <c r="AA11" s="150" t="str">
        <f>IF(OR(AB11="Preventivo",AB11="Detectivo"),"Probabilidad",IF(AB11="Correctivo","Impacto",""))</f>
        <v>Probabilidad</v>
      </c>
      <c r="AB11" s="151" t="s">
        <v>104</v>
      </c>
      <c r="AC11" s="151" t="s">
        <v>105</v>
      </c>
      <c r="AD11" s="152" t="str">
        <f>IF(AND(AB11="Preventivo",AC11="Automático"),"50%",IF(AND(AB11="Preventivo",AC11="Manual"),"40%",IF(AND(AB11="Detectivo",AC11="Automático"),"40%",IF(AND(AB11="Detectivo",AC11="Manual"),"30%",IF(AND(AB11="Correctivo",AC11="Automático"),"35%",IF(AND(AB11="Correctivo",AC11="Manual"),"25%",""))))))</f>
        <v>40%</v>
      </c>
      <c r="AE11" s="151" t="s">
        <v>106</v>
      </c>
      <c r="AF11" s="151" t="s">
        <v>107</v>
      </c>
      <c r="AG11" s="151" t="s">
        <v>108</v>
      </c>
      <c r="AH11" s="153">
        <f>IFERROR(IF(AA11="Probabilidad",(M11-(+M11*AD11)),IF(AA11="Impacto",M11,"")),"")</f>
        <v>0.48</v>
      </c>
      <c r="AI11" s="154" t="str">
        <f>IFERROR(IF(AH11="","",IF(AH11&lt;=0.2,"Muy Baja",IF(AH11&lt;=0.4,"Baja",IF(AH11&lt;=0.6,"Media",IF(AH11&lt;=0.8,"Alta","Muy Alta"))))),"")</f>
        <v>Media</v>
      </c>
      <c r="AJ11" s="155">
        <f>+AH11</f>
        <v>0.48</v>
      </c>
      <c r="AK11" s="154" t="str">
        <f>IFERROR(IF(AL11="","",IF(AL11&lt;=0.2,"Leve",IF(AL11&lt;=0.4,"Menor",IF(AL11&lt;=0.6,"Moderado",IF(AL11&lt;=0.8,"Mayor","Catastrófico"))))),"")</f>
        <v>Mayor</v>
      </c>
      <c r="AL11" s="155">
        <f>IFERROR(IF(AA11="Impacto",(Q11-(+Q11*AD11)),IF(AA11="Probabilidad",Q11,"")),"")</f>
        <v>0.8</v>
      </c>
      <c r="AM11" s="156"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Alto</v>
      </c>
      <c r="AN11" s="157" t="s">
        <v>109</v>
      </c>
      <c r="AO11" s="199"/>
      <c r="AP11" s="201"/>
      <c r="AQ11" s="199"/>
      <c r="AR11" s="201"/>
      <c r="AS11" s="203"/>
      <c r="AT11" s="204"/>
      <c r="AU11" s="198" t="s">
        <v>292</v>
      </c>
      <c r="AV11" s="142" t="s">
        <v>110</v>
      </c>
      <c r="AW11" s="142" t="s">
        <v>260</v>
      </c>
      <c r="AX11" s="144" t="s">
        <v>238</v>
      </c>
      <c r="AY11" s="198" t="s">
        <v>299</v>
      </c>
      <c r="AZ11" s="143" t="s">
        <v>220</v>
      </c>
      <c r="BA11" s="26"/>
      <c r="BB11" s="142"/>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row>
    <row r="12" spans="1:84" ht="193.5" customHeight="1" x14ac:dyDescent="0.3">
      <c r="A12" s="218"/>
      <c r="B12" s="230"/>
      <c r="C12" s="212"/>
      <c r="D12" s="127" t="s">
        <v>111</v>
      </c>
      <c r="E12" s="220"/>
      <c r="F12" s="212"/>
      <c r="G12" s="222"/>
      <c r="H12" s="208"/>
      <c r="I12" s="131" t="s">
        <v>112</v>
      </c>
      <c r="J12" s="212"/>
      <c r="K12" s="214"/>
      <c r="L12" s="216"/>
      <c r="M12" s="226"/>
      <c r="N12" s="228"/>
      <c r="O12" s="226">
        <f>IF(NOT(ISERROR(MATCH(N12,_xlfn.ANCHORARRAY(G21),0))),M23&amp;"Por favor no seleccionar los criterios de impacto",N12)</f>
        <v>0</v>
      </c>
      <c r="P12" s="216"/>
      <c r="Q12" s="226"/>
      <c r="R12" s="224"/>
      <c r="S12" s="210"/>
      <c r="T12" s="210"/>
      <c r="U12" s="210"/>
      <c r="V12" s="210"/>
      <c r="W12" s="210"/>
      <c r="X12" s="210"/>
      <c r="Y12" s="6">
        <v>2</v>
      </c>
      <c r="Z12" s="149" t="s">
        <v>236</v>
      </c>
      <c r="AA12" s="150" t="str">
        <f>IF(OR(AB12="Preventivo",AB12="Detectivo"),"Probabilidad",IF(AB12="Correctivo","Impacto",""))</f>
        <v>Probabilidad</v>
      </c>
      <c r="AB12" s="151" t="s">
        <v>104</v>
      </c>
      <c r="AC12" s="151" t="s">
        <v>105</v>
      </c>
      <c r="AD12" s="152" t="str">
        <f t="shared" ref="AD12:AD14" si="0">IF(AND(AB12="Preventivo",AC12="Automático"),"50%",IF(AND(AB12="Preventivo",AC12="Manual"),"40%",IF(AND(AB12="Detectivo",AC12="Automático"),"40%",IF(AND(AB12="Detectivo",AC12="Manual"),"30%",IF(AND(AB12="Correctivo",AC12="Automático"),"35%",IF(AND(AB12="Correctivo",AC12="Manual"),"25%",""))))))</f>
        <v>40%</v>
      </c>
      <c r="AE12" s="151" t="s">
        <v>106</v>
      </c>
      <c r="AF12" s="151" t="s">
        <v>107</v>
      </c>
      <c r="AG12" s="151" t="s">
        <v>108</v>
      </c>
      <c r="AH12" s="153">
        <f>IFERROR(IF(AND(AA11="Probabilidad",AA12="Probabilidad"),(AJ11-(+AJ11*AD12)),IF(AA12="Probabilidad",(M11-(+M11*AD12)),IF(AA12="Impacto",AJ11,""))),"")</f>
        <v>0.28799999999999998</v>
      </c>
      <c r="AI12" s="154" t="str">
        <f t="shared" ref="AI12:AI68" si="1">IFERROR(IF(AH12="","",IF(AH12&lt;=0.2,"Muy Baja",IF(AH12&lt;=0.4,"Baja",IF(AH12&lt;=0.6,"Media",IF(AH12&lt;=0.8,"Alta","Muy Alta"))))),"")</f>
        <v>Baja</v>
      </c>
      <c r="AJ12" s="155">
        <f t="shared" ref="AJ12:AJ14" si="2">+AH12</f>
        <v>0.28799999999999998</v>
      </c>
      <c r="AK12" s="154" t="str">
        <f t="shared" ref="AK12:AK68" si="3">IFERROR(IF(AL12="","",IF(AL12&lt;=0.2,"Leve",IF(AL12&lt;=0.4,"Menor",IF(AL12&lt;=0.6,"Moderado",IF(AL12&lt;=0.8,"Mayor","Catastrófico"))))),"")</f>
        <v>Mayor</v>
      </c>
      <c r="AL12" s="155">
        <f>IFERROR(IF(AND(AA11="Impacto",AA12="Impacto"),(AL11-(+AL11*AD12)),IF(AA12="Impacto",(Q11-(+Q11*AD12)),IF(AA12="Probabilidad",AL11,""))),"")</f>
        <v>0.8</v>
      </c>
      <c r="AM12" s="156" t="str">
        <f t="shared" ref="AM12:AM13" si="4">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Alto</v>
      </c>
      <c r="AN12" s="157" t="s">
        <v>109</v>
      </c>
      <c r="AO12" s="200"/>
      <c r="AP12" s="202"/>
      <c r="AQ12" s="200"/>
      <c r="AR12" s="202"/>
      <c r="AS12" s="200"/>
      <c r="AT12" s="202"/>
      <c r="AU12" s="198" t="s">
        <v>261</v>
      </c>
      <c r="AV12" s="142" t="s">
        <v>110</v>
      </c>
      <c r="AW12" s="142" t="s">
        <v>298</v>
      </c>
      <c r="AX12" s="144" t="s">
        <v>238</v>
      </c>
      <c r="AY12" s="141" t="s">
        <v>305</v>
      </c>
      <c r="AZ12" s="143" t="s">
        <v>220</v>
      </c>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row>
    <row r="13" spans="1:84" ht="151.5" customHeight="1" x14ac:dyDescent="0.3">
      <c r="A13" s="218"/>
      <c r="B13" s="230"/>
      <c r="C13" s="212"/>
      <c r="D13" s="127" t="s">
        <v>113</v>
      </c>
      <c r="E13" s="220"/>
      <c r="F13" s="212"/>
      <c r="G13" s="222"/>
      <c r="H13" s="208"/>
      <c r="I13" s="131" t="s">
        <v>234</v>
      </c>
      <c r="J13" s="212"/>
      <c r="K13" s="214"/>
      <c r="L13" s="216"/>
      <c r="M13" s="226"/>
      <c r="N13" s="228"/>
      <c r="O13" s="226">
        <f>IF(NOT(ISERROR(MATCH(N13,_xlfn.ANCHORARRAY(G22),0))),M24&amp;"Por favor no seleccionar los criterios de impacto",N13)</f>
        <v>0</v>
      </c>
      <c r="P13" s="216"/>
      <c r="Q13" s="226"/>
      <c r="R13" s="224"/>
      <c r="S13" s="146"/>
      <c r="T13" s="146" t="str">
        <f t="shared" ref="T13:T56" si="5">+IF(S13=5,"CASI SEGURO",(IF(S13=4,"PROBABLE",(IF(S13=3,"POSIBLE",(IF(S13=2,"RARA VEZ",(IF(S13=1,"IMPROBABLE","")))))))))</f>
        <v/>
      </c>
      <c r="U13" s="146"/>
      <c r="V13" s="146" t="str">
        <f t="shared" ref="V13:V56" si="6">+IF(U13=5,"ALTO",(IF(U13=3,"MEDIO",(IF(U13=1,"BAJO",IF(OR(U13=2,U13=4),"NO APLICA",""))))))</f>
        <v/>
      </c>
      <c r="W13" s="146" t="str">
        <f t="shared" ref="W13:W56" si="7">IF(AND(S13&lt;&gt;"",U13&lt;&gt;"",V13&lt;&gt;"NO APLICA"),S13*U13,"")</f>
        <v/>
      </c>
      <c r="X13" s="146" t="str">
        <f t="shared" ref="X13:X56" si="8">IF(AND(W13&lt;4,W13&gt;0),"BAJA",IF(AND(W13&gt;9,W13&lt;26),"ALTA",IF(AND(W13&gt;3,W13&lt;10),"MEDIA","")))</f>
        <v/>
      </c>
      <c r="Y13" s="6">
        <v>3</v>
      </c>
      <c r="Z13" s="149" t="s">
        <v>294</v>
      </c>
      <c r="AA13" s="150"/>
      <c r="AB13" s="151"/>
      <c r="AC13" s="151"/>
      <c r="AD13" s="152"/>
      <c r="AE13" s="151"/>
      <c r="AF13" s="151"/>
      <c r="AG13" s="151"/>
      <c r="AH13" s="153"/>
      <c r="AI13" s="154" t="str">
        <f t="shared" si="1"/>
        <v/>
      </c>
      <c r="AJ13" s="155"/>
      <c r="AK13" s="154" t="str">
        <f t="shared" si="3"/>
        <v/>
      </c>
      <c r="AL13" s="155" t="str">
        <f>IFERROR(IF(AND(AA12="Impacto",AA13="Impacto"),(AL12-(+AL12*AD13)),IF(AND(AA12="Probabilidad",AA13="Impacto"),(AL11-(+AL11*AD13)),IF(AA13="Probabilidad",AL12,""))),"")</f>
        <v/>
      </c>
      <c r="AM13" s="156" t="str">
        <f t="shared" si="4"/>
        <v/>
      </c>
      <c r="AN13" s="157"/>
      <c r="AO13" s="163">
        <v>4</v>
      </c>
      <c r="AP13" s="165" t="str">
        <f t="shared" ref="AP13:AP28" si="9">+IF(AO13=5,"CASI SEGURO",(IF(AO13=4,"PROBABLE",(IF(AO13=3,"POSIBLE",(IF(AO13=2,"RARA VEZ",(IF(AO13=1,"IMPROBABLE","")))))))))</f>
        <v>PROBABLE</v>
      </c>
      <c r="AQ13" s="163">
        <v>5</v>
      </c>
      <c r="AR13" s="165" t="str">
        <f t="shared" ref="AR13:AR28" si="10">+IF(AQ13=5,"ALTO",(IF(AQ13=3,"MEDIO",(IF(AQ13=1,"BAJO",IF(OR(AQ13=2,AQ13=4),"NO APLICA",""))))))</f>
        <v>ALTO</v>
      </c>
      <c r="AS13" s="163">
        <f t="shared" ref="AS13:AS28" si="11">IF(AND(AO13&lt;&gt;"",AQ13&lt;&gt;"",AR13&lt;&gt;"NO APLICA"),AO13*AQ13,"")</f>
        <v>20</v>
      </c>
      <c r="AT13" s="165" t="str">
        <f t="shared" ref="AT13:AT28" si="12">IF(AND(AS13&lt;4,AS13&gt;0),"BAJA",IF(AND(AS13&gt;9,AS13&lt;26),"ALTA",IF(AND(AS13&gt;3,AS13&lt;10),"MEDIA","")))</f>
        <v>ALTA</v>
      </c>
      <c r="AU13" s="198" t="s">
        <v>296</v>
      </c>
      <c r="AV13" s="142" t="s">
        <v>293</v>
      </c>
      <c r="AW13" s="205">
        <v>45839</v>
      </c>
      <c r="AX13" s="206" t="s">
        <v>303</v>
      </c>
      <c r="AY13" s="198" t="s">
        <v>302</v>
      </c>
      <c r="AZ13" s="143" t="s">
        <v>220</v>
      </c>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68.25" customHeight="1" x14ac:dyDescent="0.3">
      <c r="A14" s="218"/>
      <c r="B14" s="230"/>
      <c r="C14" s="212"/>
      <c r="D14" s="128"/>
      <c r="E14" s="220"/>
      <c r="F14" s="212"/>
      <c r="G14" s="222"/>
      <c r="H14" s="131"/>
      <c r="I14" s="131" t="s">
        <v>239</v>
      </c>
      <c r="J14" s="212"/>
      <c r="K14" s="214"/>
      <c r="L14" s="216"/>
      <c r="M14" s="226"/>
      <c r="N14" s="228"/>
      <c r="O14" s="226">
        <f>IF(NOT(ISERROR(MATCH(N14,_xlfn.ANCHORARRAY(G23),0))),M25&amp;"Por favor no seleccionar los criterios de impacto",N14)</f>
        <v>0</v>
      </c>
      <c r="P14" s="216"/>
      <c r="Q14" s="226"/>
      <c r="R14" s="224"/>
      <c r="S14" s="163"/>
      <c r="T14" s="163" t="str">
        <f t="shared" si="5"/>
        <v/>
      </c>
      <c r="U14" s="163"/>
      <c r="V14" s="163" t="str">
        <f t="shared" si="6"/>
        <v/>
      </c>
      <c r="W14" s="163" t="str">
        <f t="shared" si="7"/>
        <v/>
      </c>
      <c r="X14" s="163" t="str">
        <f t="shared" si="8"/>
        <v/>
      </c>
      <c r="Y14" s="6">
        <v>4</v>
      </c>
      <c r="Z14" s="149"/>
      <c r="AA14" s="150" t="str">
        <f t="shared" ref="AA14" si="13">IF(OR(AB14="Preventivo",AB14="Detectivo"),"Probabilidad",IF(AB14="Correctivo","Impacto",""))</f>
        <v/>
      </c>
      <c r="AB14" s="151"/>
      <c r="AC14" s="151"/>
      <c r="AD14" s="152" t="str">
        <f t="shared" si="0"/>
        <v/>
      </c>
      <c r="AE14" s="151"/>
      <c r="AF14" s="151"/>
      <c r="AG14" s="151"/>
      <c r="AH14" s="153" t="str">
        <f t="shared" ref="AH14" si="14">IFERROR(IF(AND(AA13="Probabilidad",AA14="Probabilidad"),(AJ13-(+AJ13*AD14)),IF(AND(AA13="Impacto",AA14="Probabilidad"),(AJ12-(+AJ12*AD14)),IF(AA14="Impacto",AJ13,""))),"")</f>
        <v/>
      </c>
      <c r="AI14" s="154" t="str">
        <f t="shared" si="1"/>
        <v/>
      </c>
      <c r="AJ14" s="155" t="str">
        <f t="shared" si="2"/>
        <v/>
      </c>
      <c r="AK14" s="154" t="str">
        <f t="shared" si="3"/>
        <v/>
      </c>
      <c r="AL14" s="155" t="str">
        <f t="shared" ref="AL14" si="15">IFERROR(IF(AND(AA13="Impacto",AA14="Impacto"),(AL13-(+AL13*AD14)),IF(AND(AA13="Probabilidad",AA14="Impacto"),(AL12-(+AL12*AD14)),IF(AA14="Probabilidad",AL13,""))),"")</f>
        <v/>
      </c>
      <c r="AM14" s="156" t="str">
        <f>IFERROR(IF(OR(AND(AI14="Muy Baja",AK14="Leve"),AND(AI14="Muy Baja",AK14="Menor"),AND(AI14="Baja",AK14="Leve")),"Bajo",IF(OR(AND(AI14="Muy baja",AK14="Moderado"),AND(AI14="Baja",AK14="Menor"),AND(AI14="Baja",AK14="Moderado"),AND(AI14="Media",AK14="Leve"),AND(AI14="Media",AK14="Menor"),AND(AI14="Media",AK14="Moderado"),AND(AI14="Alta",AK14="Leve"),AND(AI14="Alta",AK14="Menor")),"Moderado",IF(OR(AND(AI14="Muy Baja",AK14="Mayor"),AND(AI14="Baja",AK14="Mayor"),AND(AI14="Media",AK14="Mayor"),AND(AI14="Alta",AK14="Moderado"),AND(AI14="Alta",AK14="Mayor"),AND(AI14="Muy Alta",AK14="Leve"),AND(AI14="Muy Alta",AK14="Menor"),AND(AI14="Muy Alta",AK14="Moderado"),AND(AI14="Muy Alta",AK14="Mayor")),"Alto",IF(OR(AND(AI14="Muy Baja",AK14="Catastrófico"),AND(AI14="Baja",AK14="Catastrófico"),AND(AI14="Media",AK14="Catastrófico"),AND(AI14="Alta",AK14="Catastrófico"),AND(AI14="Muy Alta",AK14="Catastrófico")),"Extremo","")))),"")</f>
        <v/>
      </c>
      <c r="AN14" s="157"/>
      <c r="AO14" s="163"/>
      <c r="AP14" s="165" t="str">
        <f t="shared" si="9"/>
        <v/>
      </c>
      <c r="AQ14" s="163"/>
      <c r="AR14" s="165" t="str">
        <f t="shared" si="10"/>
        <v/>
      </c>
      <c r="AS14" s="163" t="str">
        <f t="shared" si="11"/>
        <v/>
      </c>
      <c r="AT14" s="165" t="str">
        <f t="shared" si="12"/>
        <v/>
      </c>
      <c r="AU14" s="142"/>
      <c r="AV14" s="122"/>
      <c r="AW14" s="123"/>
      <c r="AX14" s="123"/>
      <c r="AY14" s="121"/>
      <c r="AZ14" s="143"/>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row>
    <row r="15" spans="1:84" ht="151.5" customHeight="1" x14ac:dyDescent="0.3">
      <c r="A15" s="217">
        <v>2</v>
      </c>
      <c r="B15" s="230"/>
      <c r="C15" s="211" t="s">
        <v>114</v>
      </c>
      <c r="D15" s="127" t="s">
        <v>115</v>
      </c>
      <c r="E15" s="219" t="s">
        <v>231</v>
      </c>
      <c r="F15" s="211" t="s">
        <v>240</v>
      </c>
      <c r="G15" s="221" t="s">
        <v>241</v>
      </c>
      <c r="H15" s="130"/>
      <c r="I15" s="130" t="s">
        <v>233</v>
      </c>
      <c r="J15" s="211" t="s">
        <v>116</v>
      </c>
      <c r="K15" s="213">
        <v>745</v>
      </c>
      <c r="L15" s="215" t="str">
        <f>IF(K15&lt;=0,"",IF(K15&lt;=2,"Muy Baja",IF(K15&lt;=24,"Baja",IF(K15&lt;=500,"Media",IF(K15&lt;=5000,"Alta","Muy Alta")))))</f>
        <v>Alta</v>
      </c>
      <c r="M15" s="225">
        <f>IF(L15="","",IF(L15="Muy Baja",0.2,IF(L15="Baja",0.4,IF(L15="Media",0.6,IF(L15="Alta",0.8,IF(L15="Muy Alta",1,))))))</f>
        <v>0.8</v>
      </c>
      <c r="N15" s="227" t="s">
        <v>103</v>
      </c>
      <c r="O15" s="225" t="str">
        <f>IF(NOT(ISERROR(MATCH(N15,'Tabla Impacto'!$B$221:$B$223,0))),'Tabla Impacto'!$F$223&amp;"Por favor no seleccionar los criterios de impacto(Afectación Económica o presupuestal y Pérdida Reputacional)",N15)</f>
        <v xml:space="preserve">     El riesgo afecta la imagen de de la entidad con efecto publicitario sostenido a nivel de sector administrativo, nivel departamental o municipal</v>
      </c>
      <c r="P15" s="215" t="str">
        <f>IF(OR(O15='Tabla Impacto'!$C$11,O15='Tabla Impacto'!$D$11),"Leve",IF(OR(O15='Tabla Impacto'!$C$12,O15='Tabla Impacto'!$D$12),"Menor",IF(OR(O15='Tabla Impacto'!$C$13,O15='Tabla Impacto'!$D$13),"Moderado",IF(OR(O15='Tabla Impacto'!$C$14,O15='Tabla Impacto'!$D$14),"Mayor",IF(OR(O15='Tabla Impacto'!$C$15,O15='Tabla Impacto'!$D$15),"Catastrófico","")))))</f>
        <v>Mayor</v>
      </c>
      <c r="Q15" s="225">
        <f>IF(P15="","",IF(P15="Leve",0.2,IF(P15="Menor",0.4,IF(P15="Moderado",0.6,IF(P15="Mayor",0.8,IF(P15="Catastrófico",1,))))))</f>
        <v>0.8</v>
      </c>
      <c r="R15" s="223" t="str">
        <f>IF(OR(AND(L15="Muy Baja",P15="Leve"),AND(L15="Muy Baja",P15="Menor"),AND(L15="Baja",P15="Leve")),"Bajo",IF(OR(AND(L15="Muy baja",P15="Moderado"),AND(L15="Baja",P15="Menor"),AND(L15="Baja",P15="Moderado"),AND(L15="Media",P15="Leve"),AND(L15="Media",P15="Menor"),AND(L15="Media",P15="Moderado"),AND(L15="Alta",P15="Leve"),AND(L15="Alta",P15="Menor")),"Moderado",IF(OR(AND(L15="Muy Baja",P15="Mayor"),AND(L15="Baja",P15="Mayor"),AND(L15="Media",P15="Mayor"),AND(L15="Alta",P15="Moderado"),AND(L15="Alta",P15="Mayor"),AND(L15="Muy Alta",P15="Leve"),AND(L15="Muy Alta",P15="Menor"),AND(L15="Muy Alta",P15="Moderado"),AND(L15="Muy Alta",P15="Mayor")),"Alto",IF(OR(AND(L15="Muy Baja",P15="Catastrófico"),AND(L15="Baja",P15="Catastrófico"),AND(L15="Media",P15="Catastrófico"),AND(L15="Alta",P15="Catastrófico"),AND(L15="Muy Alta",P15="Catastrófico")),"Extremo",""))))</f>
        <v>Alto</v>
      </c>
      <c r="S15" s="146"/>
      <c r="T15" s="146" t="str">
        <f t="shared" si="5"/>
        <v/>
      </c>
      <c r="U15" s="146"/>
      <c r="V15" s="146" t="str">
        <f t="shared" si="6"/>
        <v/>
      </c>
      <c r="W15" s="146" t="str">
        <f t="shared" si="7"/>
        <v/>
      </c>
      <c r="X15" s="146" t="str">
        <f t="shared" si="8"/>
        <v/>
      </c>
      <c r="Y15" s="6">
        <v>1</v>
      </c>
      <c r="Z15" s="149" t="s">
        <v>301</v>
      </c>
      <c r="AA15" s="150" t="str">
        <f>IF(OR(AB15="Preventivo",AB15="Detectivo"),"Probabilidad",IF(AB15="Correctivo","Impacto",""))</f>
        <v>Probabilidad</v>
      </c>
      <c r="AB15" s="151" t="s">
        <v>117</v>
      </c>
      <c r="AC15" s="151" t="s">
        <v>105</v>
      </c>
      <c r="AD15" s="152" t="str">
        <f>IF(AND(AB15="Preventivo",AC15="Automático"),"50%",IF(AND(AB15="Preventivo",AC15="Manual"),"40%",IF(AND(AB15="Detectivo",AC15="Automático"),"40%",IF(AND(AB15="Detectivo",AC15="Manual"),"30%",IF(AND(AB15="Correctivo",AC15="Automático"),"35%",IF(AND(AB15="Correctivo",AC15="Manual"),"25%",""))))))</f>
        <v>30%</v>
      </c>
      <c r="AE15" s="151" t="s">
        <v>106</v>
      </c>
      <c r="AF15" s="151" t="s">
        <v>107</v>
      </c>
      <c r="AG15" s="151" t="s">
        <v>108</v>
      </c>
      <c r="AH15" s="153">
        <f>IFERROR(IF(AA15="Probabilidad",(M15-(+M15*AD15)),IF(AA15="Impacto",M15,"")),"")</f>
        <v>0.56000000000000005</v>
      </c>
      <c r="AI15" s="154" t="str">
        <f>IFERROR(IF(AH15="","",IF(AH15&lt;=0.2,"Muy Baja",IF(AH15&lt;=0.4,"Baja",IF(AH15&lt;=0.6,"Media",IF(AH15&lt;=0.8,"Alta","Muy Alta"))))),"")</f>
        <v>Media</v>
      </c>
      <c r="AJ15" s="155">
        <f>+AH15</f>
        <v>0.56000000000000005</v>
      </c>
      <c r="AK15" s="154" t="str">
        <f>IFERROR(IF(AL15="","",IF(AL15&lt;=0.2,"Leve",IF(AL15&lt;=0.4,"Menor",IF(AL15&lt;=0.6,"Moderado",IF(AL15&lt;=0.8,"Mayor","Catastrófico"))))),"")</f>
        <v>Mayor</v>
      </c>
      <c r="AL15" s="155">
        <f>IFERROR(IF(AA15="Impacto",(Q15-(+Q15*AD15)),IF(AA15="Probabilidad",Q15,"")),"")</f>
        <v>0.8</v>
      </c>
      <c r="AM15" s="156" t="str">
        <f>IFERROR(IF(OR(AND(AI15="Muy Baja",AK15="Leve"),AND(AI15="Muy Baja",AK15="Menor"),AND(AI15="Baja",AK15="Leve")),"Bajo",IF(OR(AND(AI15="Muy baja",AK15="Moderado"),AND(AI15="Baja",AK15="Menor"),AND(AI15="Baja",AK15="Moderado"),AND(AI15="Media",AK15="Leve"),AND(AI15="Media",AK15="Menor"),AND(AI15="Media",AK15="Moderado"),AND(AI15="Alta",AK15="Leve"),AND(AI15="Alta",AK15="Menor")),"Moderado",IF(OR(AND(AI15="Muy Baja",AK15="Mayor"),AND(AI15="Baja",AK15="Mayor"),AND(AI15="Media",AK15="Mayor"),AND(AI15="Alta",AK15="Moderado"),AND(AI15="Alta",AK15="Mayor"),AND(AI15="Muy Alta",AK15="Leve"),AND(AI15="Muy Alta",AK15="Menor"),AND(AI15="Muy Alta",AK15="Moderado"),AND(AI15="Muy Alta",AK15="Mayor")),"Alto",IF(OR(AND(AI15="Muy Baja",AK15="Catastrófico"),AND(AI15="Baja",AK15="Catastrófico"),AND(AI15="Media",AK15="Catastrófico"),AND(AI15="Alta",AK15="Catastrófico"),AND(AI15="Muy Alta",AK15="Catastrófico")),"Extremo","")))),"")</f>
        <v>Alto</v>
      </c>
      <c r="AN15" s="157" t="s">
        <v>109</v>
      </c>
      <c r="AO15" s="163"/>
      <c r="AP15" s="165" t="str">
        <f t="shared" si="9"/>
        <v/>
      </c>
      <c r="AQ15" s="163"/>
      <c r="AR15" s="165" t="str">
        <f t="shared" si="10"/>
        <v/>
      </c>
      <c r="AS15" s="163" t="str">
        <f t="shared" si="11"/>
        <v/>
      </c>
      <c r="AT15" s="165" t="str">
        <f t="shared" si="12"/>
        <v/>
      </c>
      <c r="AU15" s="142" t="s">
        <v>244</v>
      </c>
      <c r="AV15" s="141" t="s">
        <v>237</v>
      </c>
      <c r="AW15" s="141" t="s">
        <v>300</v>
      </c>
      <c r="AX15" s="144" t="s">
        <v>118</v>
      </c>
      <c r="AY15" s="142" t="s">
        <v>297</v>
      </c>
      <c r="AZ15" s="143" t="s">
        <v>220</v>
      </c>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row>
    <row r="16" spans="1:84" ht="151.5" customHeight="1" x14ac:dyDescent="0.3">
      <c r="A16" s="218"/>
      <c r="B16" s="230"/>
      <c r="C16" s="212"/>
      <c r="D16" s="128" t="s">
        <v>119</v>
      </c>
      <c r="E16" s="220"/>
      <c r="F16" s="212"/>
      <c r="G16" s="222"/>
      <c r="H16" s="131"/>
      <c r="I16" s="131" t="s">
        <v>234</v>
      </c>
      <c r="J16" s="212"/>
      <c r="K16" s="214"/>
      <c r="L16" s="216"/>
      <c r="M16" s="226"/>
      <c r="N16" s="228"/>
      <c r="O16" s="226">
        <f>IF(NOT(ISERROR(MATCH(N16,_xlfn.ANCHORARRAY(G27),0))),M29&amp;"Por favor no seleccionar los criterios de impacto",N16)</f>
        <v>0</v>
      </c>
      <c r="P16" s="216"/>
      <c r="Q16" s="226"/>
      <c r="R16" s="224"/>
      <c r="S16" s="146"/>
      <c r="T16" s="146" t="str">
        <f t="shared" si="5"/>
        <v/>
      </c>
      <c r="U16" s="146"/>
      <c r="V16" s="146" t="str">
        <f t="shared" si="6"/>
        <v/>
      </c>
      <c r="W16" s="146" t="str">
        <f t="shared" si="7"/>
        <v/>
      </c>
      <c r="X16" s="146" t="str">
        <f t="shared" si="8"/>
        <v/>
      </c>
      <c r="Y16" s="6">
        <v>2</v>
      </c>
      <c r="Z16" s="149"/>
      <c r="AA16" s="150"/>
      <c r="AB16" s="151"/>
      <c r="AC16" s="151"/>
      <c r="AD16" s="152"/>
      <c r="AE16" s="151"/>
      <c r="AF16" s="151"/>
      <c r="AG16" s="151"/>
      <c r="AH16" s="153"/>
      <c r="AI16" s="154"/>
      <c r="AJ16" s="155"/>
      <c r="AK16" s="154"/>
      <c r="AL16" s="155"/>
      <c r="AM16" s="156"/>
      <c r="AN16" s="157"/>
      <c r="AO16" s="163"/>
      <c r="AP16" s="165" t="str">
        <f t="shared" si="9"/>
        <v/>
      </c>
      <c r="AQ16" s="163"/>
      <c r="AR16" s="165" t="str">
        <f t="shared" si="10"/>
        <v/>
      </c>
      <c r="AS16" s="163" t="str">
        <f t="shared" si="11"/>
        <v/>
      </c>
      <c r="AT16" s="165" t="str">
        <f t="shared" si="12"/>
        <v/>
      </c>
      <c r="AU16" s="149"/>
      <c r="AV16" s="141"/>
      <c r="AW16" s="141"/>
      <c r="AX16" s="144"/>
      <c r="AY16" s="142"/>
      <c r="AZ16" s="143"/>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row>
    <row r="17" spans="1:84" ht="151.5" customHeight="1" x14ac:dyDescent="0.3">
      <c r="A17" s="218"/>
      <c r="B17" s="230"/>
      <c r="C17" s="212"/>
      <c r="D17" s="128"/>
      <c r="E17" s="220"/>
      <c r="F17" s="212"/>
      <c r="G17" s="222"/>
      <c r="H17" s="131"/>
      <c r="I17" s="131" t="s">
        <v>242</v>
      </c>
      <c r="J17" s="212"/>
      <c r="K17" s="214"/>
      <c r="L17" s="216"/>
      <c r="M17" s="226"/>
      <c r="N17" s="228"/>
      <c r="O17" s="226">
        <f>IF(NOT(ISERROR(MATCH(N17,_xlfn.ANCHORARRAY(G28),0))),M30&amp;"Por favor no seleccionar los criterios de impacto",N17)</f>
        <v>0</v>
      </c>
      <c r="P17" s="216"/>
      <c r="Q17" s="226"/>
      <c r="R17" s="224"/>
      <c r="S17" s="146"/>
      <c r="T17" s="146" t="str">
        <f t="shared" si="5"/>
        <v/>
      </c>
      <c r="U17" s="146"/>
      <c r="V17" s="146" t="str">
        <f t="shared" si="6"/>
        <v/>
      </c>
      <c r="W17" s="146" t="str">
        <f t="shared" si="7"/>
        <v/>
      </c>
      <c r="X17" s="146" t="str">
        <f t="shared" si="8"/>
        <v/>
      </c>
      <c r="Y17" s="6">
        <v>3</v>
      </c>
      <c r="Z17" s="143"/>
      <c r="AA17" s="150"/>
      <c r="AB17" s="151"/>
      <c r="AC17" s="151"/>
      <c r="AD17" s="152"/>
      <c r="AE17" s="151"/>
      <c r="AF17" s="151"/>
      <c r="AG17" s="151"/>
      <c r="AH17" s="153"/>
      <c r="AI17" s="154"/>
      <c r="AJ17" s="155"/>
      <c r="AK17" s="154"/>
      <c r="AL17" s="155"/>
      <c r="AM17" s="156"/>
      <c r="AN17" s="157"/>
      <c r="AO17" s="163"/>
      <c r="AP17" s="165" t="str">
        <f t="shared" si="9"/>
        <v/>
      </c>
      <c r="AQ17" s="163"/>
      <c r="AR17" s="165" t="str">
        <f t="shared" si="10"/>
        <v/>
      </c>
      <c r="AS17" s="163" t="str">
        <f t="shared" si="11"/>
        <v/>
      </c>
      <c r="AT17" s="165" t="str">
        <f t="shared" si="12"/>
        <v/>
      </c>
      <c r="AU17" s="143"/>
      <c r="AV17" s="141"/>
      <c r="AW17" s="141"/>
      <c r="AX17" s="144"/>
      <c r="AY17" s="142"/>
      <c r="AZ17" s="143"/>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row>
    <row r="18" spans="1:84" ht="151.5" customHeight="1" x14ac:dyDescent="0.3">
      <c r="A18" s="218"/>
      <c r="B18" s="125"/>
      <c r="C18" s="212"/>
      <c r="D18" s="128"/>
      <c r="E18" s="220"/>
      <c r="F18" s="212"/>
      <c r="G18" s="222"/>
      <c r="H18" s="131"/>
      <c r="I18" s="131" t="s">
        <v>243</v>
      </c>
      <c r="J18" s="212"/>
      <c r="K18" s="214"/>
      <c r="L18" s="216"/>
      <c r="M18" s="226"/>
      <c r="N18" s="228"/>
      <c r="O18" s="226">
        <f>IF(NOT(ISERROR(MATCH(N18,_xlfn.ANCHORARRAY(G29),0))),M31&amp;"Por favor no seleccionar los criterios de impacto",N18)</f>
        <v>0</v>
      </c>
      <c r="P18" s="216"/>
      <c r="Q18" s="226"/>
      <c r="R18" s="224"/>
      <c r="S18" s="146"/>
      <c r="T18" s="146" t="str">
        <f t="shared" si="5"/>
        <v/>
      </c>
      <c r="U18" s="146"/>
      <c r="V18" s="146" t="str">
        <f t="shared" si="6"/>
        <v/>
      </c>
      <c r="W18" s="146" t="str">
        <f t="shared" si="7"/>
        <v/>
      </c>
      <c r="X18" s="146" t="str">
        <f t="shared" si="8"/>
        <v/>
      </c>
      <c r="Y18" s="6">
        <v>4</v>
      </c>
      <c r="Z18" s="149"/>
      <c r="AA18" s="150"/>
      <c r="AB18" s="151"/>
      <c r="AC18" s="151"/>
      <c r="AD18" s="152"/>
      <c r="AE18" s="151"/>
      <c r="AF18" s="151"/>
      <c r="AG18" s="151"/>
      <c r="AH18" s="153"/>
      <c r="AI18" s="154"/>
      <c r="AJ18" s="155"/>
      <c r="AK18" s="154"/>
      <c r="AL18" s="155"/>
      <c r="AM18" s="156"/>
      <c r="AN18" s="157"/>
      <c r="AO18" s="163"/>
      <c r="AP18" s="165" t="str">
        <f t="shared" si="9"/>
        <v/>
      </c>
      <c r="AQ18" s="163"/>
      <c r="AR18" s="165" t="str">
        <f t="shared" si="10"/>
        <v/>
      </c>
      <c r="AS18" s="163" t="str">
        <f t="shared" si="11"/>
        <v/>
      </c>
      <c r="AT18" s="165" t="str">
        <f t="shared" si="12"/>
        <v/>
      </c>
      <c r="AU18" s="142"/>
      <c r="AV18" s="122"/>
      <c r="AW18" s="123"/>
      <c r="AX18" s="123"/>
      <c r="AY18" s="121"/>
      <c r="AZ18" s="143"/>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row>
    <row r="19" spans="1:84" ht="151.5" customHeight="1" x14ac:dyDescent="0.3">
      <c r="A19" s="218"/>
      <c r="B19" s="125"/>
      <c r="C19" s="212"/>
      <c r="D19" s="128"/>
      <c r="E19" s="220"/>
      <c r="F19" s="212"/>
      <c r="G19" s="222"/>
      <c r="H19" s="131"/>
      <c r="I19" s="131"/>
      <c r="J19" s="212"/>
      <c r="K19" s="214"/>
      <c r="L19" s="216"/>
      <c r="M19" s="226"/>
      <c r="N19" s="228"/>
      <c r="O19" s="226">
        <f>IF(NOT(ISERROR(MATCH(N19,_xlfn.ANCHORARRAY(G30),0))),M32&amp;"Por favor no seleccionar los criterios de impacto",N19)</f>
        <v>0</v>
      </c>
      <c r="P19" s="216"/>
      <c r="Q19" s="226"/>
      <c r="R19" s="224"/>
      <c r="S19" s="146"/>
      <c r="T19" s="146" t="str">
        <f t="shared" si="5"/>
        <v/>
      </c>
      <c r="U19" s="146"/>
      <c r="V19" s="146" t="str">
        <f t="shared" si="6"/>
        <v/>
      </c>
      <c r="W19" s="146" t="str">
        <f t="shared" si="7"/>
        <v/>
      </c>
      <c r="X19" s="146" t="str">
        <f t="shared" si="8"/>
        <v/>
      </c>
      <c r="Y19" s="6">
        <v>5</v>
      </c>
      <c r="Z19" s="149"/>
      <c r="AA19" s="150"/>
      <c r="AB19" s="151"/>
      <c r="AC19" s="151"/>
      <c r="AD19" s="152"/>
      <c r="AE19" s="151"/>
      <c r="AF19" s="151"/>
      <c r="AG19" s="151"/>
      <c r="AH19" s="153"/>
      <c r="AI19" s="154"/>
      <c r="AJ19" s="155"/>
      <c r="AK19" s="154"/>
      <c r="AL19" s="155"/>
      <c r="AM19" s="156"/>
      <c r="AN19" s="157"/>
      <c r="AO19" s="163"/>
      <c r="AP19" s="165" t="str">
        <f t="shared" si="9"/>
        <v/>
      </c>
      <c r="AQ19" s="163"/>
      <c r="AR19" s="165" t="str">
        <f t="shared" si="10"/>
        <v/>
      </c>
      <c r="AS19" s="163" t="str">
        <f t="shared" si="11"/>
        <v/>
      </c>
      <c r="AT19" s="165" t="str">
        <f t="shared" si="12"/>
        <v/>
      </c>
      <c r="AU19" s="142"/>
      <c r="AV19" s="122"/>
      <c r="AW19" s="123"/>
      <c r="AX19" s="123"/>
      <c r="AY19" s="121"/>
      <c r="AZ19" s="143"/>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row>
    <row r="20" spans="1:84" ht="151.5" customHeight="1" x14ac:dyDescent="0.3">
      <c r="A20" s="238"/>
      <c r="B20" s="126"/>
      <c r="C20" s="231"/>
      <c r="D20" s="129"/>
      <c r="E20" s="263"/>
      <c r="F20" s="231"/>
      <c r="G20" s="232"/>
      <c r="H20" s="132"/>
      <c r="I20" s="132"/>
      <c r="J20" s="231"/>
      <c r="K20" s="236"/>
      <c r="L20" s="234"/>
      <c r="M20" s="233"/>
      <c r="N20" s="237"/>
      <c r="O20" s="233">
        <f>IF(NOT(ISERROR(MATCH(N20,_xlfn.ANCHORARRAY(G31),0))),M33&amp;"Por favor no seleccionar los criterios de impacto",N20)</f>
        <v>0</v>
      </c>
      <c r="P20" s="234"/>
      <c r="Q20" s="233"/>
      <c r="R20" s="235"/>
      <c r="S20" s="146"/>
      <c r="T20" s="146" t="str">
        <f t="shared" si="5"/>
        <v/>
      </c>
      <c r="U20" s="146"/>
      <c r="V20" s="146" t="str">
        <f t="shared" si="6"/>
        <v/>
      </c>
      <c r="W20" s="146" t="str">
        <f t="shared" si="7"/>
        <v/>
      </c>
      <c r="X20" s="146" t="str">
        <f t="shared" si="8"/>
        <v/>
      </c>
      <c r="Y20" s="6">
        <v>6</v>
      </c>
      <c r="Z20" s="149"/>
      <c r="AA20" s="150"/>
      <c r="AB20" s="151"/>
      <c r="AC20" s="151"/>
      <c r="AD20" s="152"/>
      <c r="AE20" s="151"/>
      <c r="AF20" s="151"/>
      <c r="AG20" s="151"/>
      <c r="AH20" s="153"/>
      <c r="AI20" s="154"/>
      <c r="AJ20" s="155"/>
      <c r="AK20" s="154"/>
      <c r="AL20" s="155"/>
      <c r="AM20" s="156"/>
      <c r="AN20" s="157"/>
      <c r="AO20" s="163"/>
      <c r="AP20" s="165" t="str">
        <f t="shared" si="9"/>
        <v/>
      </c>
      <c r="AQ20" s="163"/>
      <c r="AR20" s="165" t="str">
        <f t="shared" si="10"/>
        <v/>
      </c>
      <c r="AS20" s="163" t="str">
        <f t="shared" si="11"/>
        <v/>
      </c>
      <c r="AT20" s="165" t="str">
        <f t="shared" si="12"/>
        <v/>
      </c>
      <c r="AU20" s="142"/>
      <c r="AV20" s="122"/>
      <c r="AW20" s="123"/>
      <c r="AX20" s="123"/>
      <c r="AY20" s="121"/>
      <c r="AZ20" s="143"/>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row>
    <row r="21" spans="1:84" ht="151.5" customHeight="1" x14ac:dyDescent="0.3">
      <c r="A21" s="217">
        <v>3</v>
      </c>
      <c r="B21" s="124"/>
      <c r="C21" s="211"/>
      <c r="D21" s="127"/>
      <c r="E21" s="219"/>
      <c r="F21" s="211"/>
      <c r="G21" s="221"/>
      <c r="H21" s="130"/>
      <c r="I21" s="130"/>
      <c r="J21" s="211"/>
      <c r="K21" s="213"/>
      <c r="L21" s="215"/>
      <c r="M21" s="225" t="str">
        <f>IF(L21="","",IF(L21="Muy Baja",0.2,IF(L21="Baja",0.4,IF(L21="Media",0.6,IF(L21="Alta",0.8,IF(L21="Muy Alta",1,))))))</f>
        <v/>
      </c>
      <c r="N21" s="227"/>
      <c r="O21" s="225">
        <f>IF(NOT(ISERROR(MATCH(N21,'Tabla Impacto'!$B$221:$B$223,0))),'Tabla Impacto'!$F$223&amp;"Por favor no seleccionar los criterios de impacto(Afectación Económica o presupuestal y Pérdida Reputacional)",N21)</f>
        <v>0</v>
      </c>
      <c r="P21" s="215" t="str">
        <f>IF(OR(O21='Tabla Impacto'!$C$11,O21='Tabla Impacto'!$D$11),"Leve",IF(OR(O21='Tabla Impacto'!$C$12,O21='Tabla Impacto'!$D$12),"Menor",IF(OR(O21='Tabla Impacto'!$C$13,O21='Tabla Impacto'!$D$13),"Moderado",IF(OR(O21='Tabla Impacto'!$C$14,O21='Tabla Impacto'!$D$14),"Mayor",IF(OR(O21='Tabla Impacto'!$C$15,O21='Tabla Impacto'!$D$15),"Catastrófico","")))))</f>
        <v/>
      </c>
      <c r="Q21" s="225" t="str">
        <f>IF(P21="","",IF(P21="Leve",0.2,IF(P21="Menor",0.4,IF(P21="Moderado",0.6,IF(P21="Mayor",0.8,IF(P21="Catastrófico",1,))))))</f>
        <v/>
      </c>
      <c r="R21" s="223" t="str">
        <f>IF(OR(AND(L21="Muy Baja",P21="Leve"),AND(L21="Muy Baja",P21="Menor"),AND(L21="Baja",P21="Leve")),"Bajo",IF(OR(AND(L21="Muy baja",P21="Moderado"),AND(L21="Baja",P21="Menor"),AND(L21="Baja",P21="Moderado"),AND(L21="Media",P21="Leve"),AND(L21="Media",P21="Menor"),AND(L21="Media",P21="Moderado"),AND(L21="Alta",P21="Leve"),AND(L21="Alta",P21="Menor")),"Moderado",IF(OR(AND(L21="Muy Baja",P21="Mayor"),AND(L21="Baja",P21="Mayor"),AND(L21="Media",P21="Mayor"),AND(L21="Alta",P21="Moderado"),AND(L21="Alta",P21="Mayor"),AND(L21="Muy Alta",P21="Leve"),AND(L21="Muy Alta",P21="Menor"),AND(L21="Muy Alta",P21="Moderado"),AND(L21="Muy Alta",P21="Mayor")),"Alto",IF(OR(AND(L21="Muy Baja",P21="Catastrófico"),AND(L21="Baja",P21="Catastrófico"),AND(L21="Media",P21="Catastrófico"),AND(L21="Alta",P21="Catastrófico"),AND(L21="Muy Alta",P21="Catastrófico")),"Extremo",""))))</f>
        <v/>
      </c>
      <c r="S21" s="146"/>
      <c r="T21" s="146" t="str">
        <f t="shared" si="5"/>
        <v/>
      </c>
      <c r="U21" s="146"/>
      <c r="V21" s="146" t="str">
        <f t="shared" si="6"/>
        <v/>
      </c>
      <c r="W21" s="146" t="str">
        <f t="shared" si="7"/>
        <v/>
      </c>
      <c r="X21" s="146" t="str">
        <f t="shared" si="8"/>
        <v/>
      </c>
      <c r="Y21" s="6">
        <v>1</v>
      </c>
      <c r="Z21" s="149"/>
      <c r="AA21" s="150"/>
      <c r="AB21" s="151"/>
      <c r="AC21" s="151"/>
      <c r="AD21" s="152" t="str">
        <f>IF(AND(AB21="Preventivo",AC21="Automático"),"50%",IF(AND(AB21="Preventivo",AC21="Manual"),"40%",IF(AND(AB21="Detectivo",AC21="Automático"),"40%",IF(AND(AB21="Detectivo",AC21="Manual"),"30%",IF(AND(AB21="Correctivo",AC21="Automático"),"35%",IF(AND(AB21="Correctivo",AC21="Manual"),"25%",""))))))</f>
        <v/>
      </c>
      <c r="AE21" s="151"/>
      <c r="AF21" s="151"/>
      <c r="AG21" s="151"/>
      <c r="AH21" s="153" t="str">
        <f>IFERROR(IF(AA21="Probabilidad",(M21-(+M21*AD21)),IF(AA21="Impacto",M21,"")),"")</f>
        <v/>
      </c>
      <c r="AI21" s="154" t="str">
        <f>IFERROR(IF(AH21="","",IF(AH21&lt;=0.2,"Muy Baja",IF(AH21&lt;=0.4,"Baja",IF(AH21&lt;=0.6,"Media",IF(AH21&lt;=0.8,"Alta","Muy Alta"))))),"")</f>
        <v/>
      </c>
      <c r="AJ21" s="155" t="str">
        <f>+AH21</f>
        <v/>
      </c>
      <c r="AK21" s="154" t="str">
        <f>IFERROR(IF(AL21="","",IF(AL21&lt;=0.2,"Leve",IF(AL21&lt;=0.4,"Menor",IF(AL21&lt;=0.6,"Moderado",IF(AL21&lt;=0.8,"Mayor","Catastrófico"))))),"")</f>
        <v/>
      </c>
      <c r="AL21" s="155" t="str">
        <f>IFERROR(IF(AA21="Impacto",(Q21-(+Q21*AD21)),IF(AA21="Probabilidad",Q21,"")),"")</f>
        <v/>
      </c>
      <c r="AM21" s="156" t="str">
        <f>IFERROR(IF(OR(AND(AI21="Muy Baja",AK21="Leve"),AND(AI21="Muy Baja",AK21="Menor"),AND(AI21="Baja",AK21="Leve")),"Bajo",IF(OR(AND(AI21="Muy baja",AK21="Moderado"),AND(AI21="Baja",AK21="Menor"),AND(AI21="Baja",AK21="Moderado"),AND(AI21="Media",AK21="Leve"),AND(AI21="Media",AK21="Menor"),AND(AI21="Media",AK21="Moderado"),AND(AI21="Alta",AK21="Leve"),AND(AI21="Alta",AK21="Menor")),"Moderado",IF(OR(AND(AI21="Muy Baja",AK21="Mayor"),AND(AI21="Baja",AK21="Mayor"),AND(AI21="Media",AK21="Mayor"),AND(AI21="Alta",AK21="Moderado"),AND(AI21="Alta",AK21="Mayor"),AND(AI21="Muy Alta",AK21="Leve"),AND(AI21="Muy Alta",AK21="Menor"),AND(AI21="Muy Alta",AK21="Moderado"),AND(AI21="Muy Alta",AK21="Mayor")),"Alto",IF(OR(AND(AI21="Muy Baja",AK21="Catastrófico"),AND(AI21="Baja",AK21="Catastrófico"),AND(AI21="Media",AK21="Catastrófico"),AND(AI21="Alta",AK21="Catastrófico"),AND(AI21="Muy Alta",AK21="Catastrófico")),"Extremo","")))),"")</f>
        <v/>
      </c>
      <c r="AN21" s="157"/>
      <c r="AO21" s="163"/>
      <c r="AP21" s="165" t="str">
        <f t="shared" si="9"/>
        <v/>
      </c>
      <c r="AQ21" s="163"/>
      <c r="AR21" s="165" t="str">
        <f t="shared" si="10"/>
        <v/>
      </c>
      <c r="AS21" s="163" t="str">
        <f t="shared" si="11"/>
        <v/>
      </c>
      <c r="AT21" s="165" t="str">
        <f t="shared" si="12"/>
        <v/>
      </c>
      <c r="AU21" s="142"/>
      <c r="AV21" s="142"/>
      <c r="AW21" s="142"/>
      <c r="AX21" s="144"/>
      <c r="AY21" s="142"/>
      <c r="AZ21" s="143"/>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row>
    <row r="22" spans="1:84" ht="151.5" customHeight="1" x14ac:dyDescent="0.3">
      <c r="A22" s="218"/>
      <c r="B22" s="125"/>
      <c r="C22" s="212"/>
      <c r="D22" s="128"/>
      <c r="E22" s="220"/>
      <c r="F22" s="212"/>
      <c r="G22" s="222"/>
      <c r="H22" s="131"/>
      <c r="I22" s="131"/>
      <c r="J22" s="212"/>
      <c r="K22" s="214"/>
      <c r="L22" s="216"/>
      <c r="M22" s="226"/>
      <c r="N22" s="228"/>
      <c r="O22" s="226">
        <f t="shared" ref="O22:O26" si="16">IF(NOT(ISERROR(MATCH(N22,_xlfn.ANCHORARRAY(G33),0))),M35&amp;"Por favor no seleccionar los criterios de impacto",N22)</f>
        <v>0</v>
      </c>
      <c r="P22" s="216"/>
      <c r="Q22" s="226"/>
      <c r="R22" s="224"/>
      <c r="S22" s="146"/>
      <c r="T22" s="146" t="str">
        <f t="shared" si="5"/>
        <v/>
      </c>
      <c r="U22" s="146"/>
      <c r="V22" s="146" t="str">
        <f t="shared" si="6"/>
        <v/>
      </c>
      <c r="W22" s="146" t="str">
        <f t="shared" si="7"/>
        <v/>
      </c>
      <c r="X22" s="146" t="str">
        <f t="shared" si="8"/>
        <v/>
      </c>
      <c r="Y22" s="6">
        <v>2</v>
      </c>
      <c r="Z22" s="149"/>
      <c r="AA22" s="150"/>
      <c r="AB22" s="151"/>
      <c r="AC22" s="151"/>
      <c r="AD22" s="152" t="str">
        <f t="shared" ref="AD22:AD26" si="17">IF(AND(AB22="Preventivo",AC22="Automático"),"50%",IF(AND(AB22="Preventivo",AC22="Manual"),"40%",IF(AND(AB22="Detectivo",AC22="Automático"),"40%",IF(AND(AB22="Detectivo",AC22="Manual"),"30%",IF(AND(AB22="Correctivo",AC22="Automático"),"35%",IF(AND(AB22="Correctivo",AC22="Manual"),"25%",""))))))</f>
        <v/>
      </c>
      <c r="AE22" s="151"/>
      <c r="AF22" s="151"/>
      <c r="AG22" s="151"/>
      <c r="AH22" s="158" t="str">
        <f>IFERROR(IF(AND(AA21="Probabilidad",AA22="Probabilidad"),(AJ21-(+AJ21*AD22)),IF(AA22="Probabilidad",(M21-(+M21*AD22)),IF(AA22="Impacto",AJ21,""))),"")</f>
        <v/>
      </c>
      <c r="AI22" s="154" t="str">
        <f t="shared" si="1"/>
        <v/>
      </c>
      <c r="AJ22" s="155" t="str">
        <f t="shared" ref="AJ22:AJ26" si="18">+AH22</f>
        <v/>
      </c>
      <c r="AK22" s="154" t="str">
        <f t="shared" si="3"/>
        <v/>
      </c>
      <c r="AL22" s="155" t="str">
        <f>IFERROR(IF(AND(AA21="Impacto",AA22="Impacto"),(AL21-(+AL21*AD22)),IF(AA22="Impacto",(Q21-(+Q21*AD22)),IF(AA22="Probabilidad",AL21,""))),"")</f>
        <v/>
      </c>
      <c r="AM22" s="156" t="str">
        <f t="shared" ref="AM22:AM23" si="19">IFERROR(IF(OR(AND(AI22="Muy Baja",AK22="Leve"),AND(AI22="Muy Baja",AK22="Menor"),AND(AI22="Baja",AK22="Leve")),"Bajo",IF(OR(AND(AI22="Muy baja",AK22="Moderado"),AND(AI22="Baja",AK22="Menor"),AND(AI22="Baja",AK22="Moderado"),AND(AI22="Media",AK22="Leve"),AND(AI22="Media",AK22="Menor"),AND(AI22="Media",AK22="Moderado"),AND(AI22="Alta",AK22="Leve"),AND(AI22="Alta",AK22="Menor")),"Moderado",IF(OR(AND(AI22="Muy Baja",AK22="Mayor"),AND(AI22="Baja",AK22="Mayor"),AND(AI22="Media",AK22="Mayor"),AND(AI22="Alta",AK22="Moderado"),AND(AI22="Alta",AK22="Mayor"),AND(AI22="Muy Alta",AK22="Leve"),AND(AI22="Muy Alta",AK22="Menor"),AND(AI22="Muy Alta",AK22="Moderado"),AND(AI22="Muy Alta",AK22="Mayor")),"Alto",IF(OR(AND(AI22="Muy Baja",AK22="Catastrófico"),AND(AI22="Baja",AK22="Catastrófico"),AND(AI22="Media",AK22="Catastrófico"),AND(AI22="Alta",AK22="Catastrófico"),AND(AI22="Muy Alta",AK22="Catastrófico")),"Extremo","")))),"")</f>
        <v/>
      </c>
      <c r="AN22" s="157"/>
      <c r="AO22" s="163"/>
      <c r="AP22" s="165" t="str">
        <f t="shared" si="9"/>
        <v/>
      </c>
      <c r="AQ22" s="163"/>
      <c r="AR22" s="165" t="str">
        <f t="shared" si="10"/>
        <v/>
      </c>
      <c r="AS22" s="163" t="str">
        <f t="shared" si="11"/>
        <v/>
      </c>
      <c r="AT22" s="165" t="str">
        <f t="shared" si="12"/>
        <v/>
      </c>
      <c r="AU22" s="142"/>
      <c r="AV22" s="142"/>
      <c r="AW22" s="142"/>
      <c r="AX22" s="144"/>
      <c r="AY22" s="142"/>
      <c r="AZ22" s="143"/>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row>
    <row r="23" spans="1:84" ht="151.5" customHeight="1" x14ac:dyDescent="0.3">
      <c r="A23" s="218"/>
      <c r="B23" s="125"/>
      <c r="C23" s="212"/>
      <c r="D23" s="128"/>
      <c r="E23" s="220"/>
      <c r="F23" s="212"/>
      <c r="G23" s="222"/>
      <c r="H23" s="131"/>
      <c r="I23" s="131"/>
      <c r="J23" s="212"/>
      <c r="K23" s="214"/>
      <c r="L23" s="216"/>
      <c r="M23" s="226"/>
      <c r="N23" s="228"/>
      <c r="O23" s="226">
        <f t="shared" si="16"/>
        <v>0</v>
      </c>
      <c r="P23" s="216"/>
      <c r="Q23" s="226"/>
      <c r="R23" s="224"/>
      <c r="S23" s="146"/>
      <c r="T23" s="146" t="str">
        <f t="shared" si="5"/>
        <v/>
      </c>
      <c r="U23" s="146"/>
      <c r="V23" s="146" t="str">
        <f t="shared" si="6"/>
        <v/>
      </c>
      <c r="W23" s="146" t="str">
        <f t="shared" si="7"/>
        <v/>
      </c>
      <c r="X23" s="146" t="str">
        <f t="shared" si="8"/>
        <v/>
      </c>
      <c r="Y23" s="6">
        <v>3</v>
      </c>
      <c r="Z23" s="143"/>
      <c r="AA23" s="150" t="str">
        <f>IF(OR(AB23="Preventivo",AB23="Detectivo"),"Probabilidad",IF(AB23="Correctivo","Impacto",""))</f>
        <v/>
      </c>
      <c r="AB23" s="151"/>
      <c r="AC23" s="151"/>
      <c r="AD23" s="152" t="str">
        <f t="shared" si="17"/>
        <v/>
      </c>
      <c r="AE23" s="151"/>
      <c r="AF23" s="151"/>
      <c r="AG23" s="151"/>
      <c r="AH23" s="153" t="str">
        <f>IFERROR(IF(AND(AA22="Probabilidad",AA23="Probabilidad"),(AJ22-(+AJ22*AD23)),IF(AND(AA22="Impacto",AA23="Probabilidad"),(AJ21-(+AJ21*AD23)),IF(AA23="Impacto",AJ22,""))),"")</f>
        <v/>
      </c>
      <c r="AI23" s="154" t="str">
        <f t="shared" si="1"/>
        <v/>
      </c>
      <c r="AJ23" s="155" t="str">
        <f t="shared" si="18"/>
        <v/>
      </c>
      <c r="AK23" s="154" t="str">
        <f t="shared" si="3"/>
        <v/>
      </c>
      <c r="AL23" s="155" t="str">
        <f>IFERROR(IF(AND(AA22="Impacto",AA23="Impacto"),(AL22-(+AL22*AD23)),IF(AND(AA22="Probabilidad",AA23="Impacto"),(AL21-(+AL21*AD23)),IF(AA23="Probabilidad",AL22,""))),"")</f>
        <v/>
      </c>
      <c r="AM23" s="156" t="str">
        <f t="shared" si="19"/>
        <v/>
      </c>
      <c r="AN23" s="157"/>
      <c r="AO23" s="163"/>
      <c r="AP23" s="165" t="str">
        <f t="shared" si="9"/>
        <v/>
      </c>
      <c r="AQ23" s="163"/>
      <c r="AR23" s="165" t="str">
        <f t="shared" si="10"/>
        <v/>
      </c>
      <c r="AS23" s="163" t="str">
        <f t="shared" si="11"/>
        <v/>
      </c>
      <c r="AT23" s="165" t="str">
        <f t="shared" si="12"/>
        <v/>
      </c>
      <c r="AU23" s="142"/>
      <c r="AV23" s="122"/>
      <c r="AW23" s="123"/>
      <c r="AX23" s="123"/>
      <c r="AY23" s="121"/>
      <c r="AZ23" s="143"/>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row>
    <row r="24" spans="1:84" ht="151.5" customHeight="1" x14ac:dyDescent="0.3">
      <c r="A24" s="218"/>
      <c r="B24" s="125"/>
      <c r="C24" s="212"/>
      <c r="D24" s="128"/>
      <c r="E24" s="220"/>
      <c r="F24" s="212"/>
      <c r="G24" s="222"/>
      <c r="H24" s="131"/>
      <c r="I24" s="131"/>
      <c r="J24" s="212"/>
      <c r="K24" s="214"/>
      <c r="L24" s="216"/>
      <c r="M24" s="226"/>
      <c r="N24" s="228"/>
      <c r="O24" s="226">
        <f t="shared" si="16"/>
        <v>0</v>
      </c>
      <c r="P24" s="216"/>
      <c r="Q24" s="226"/>
      <c r="R24" s="224"/>
      <c r="S24" s="146"/>
      <c r="T24" s="146" t="str">
        <f t="shared" si="5"/>
        <v/>
      </c>
      <c r="U24" s="146"/>
      <c r="V24" s="146" t="str">
        <f t="shared" si="6"/>
        <v/>
      </c>
      <c r="W24" s="146" t="str">
        <f t="shared" si="7"/>
        <v/>
      </c>
      <c r="X24" s="146" t="str">
        <f t="shared" si="8"/>
        <v/>
      </c>
      <c r="Y24" s="6">
        <v>4</v>
      </c>
      <c r="Z24" s="149"/>
      <c r="AA24" s="150" t="str">
        <f t="shared" ref="AA24:AA26" si="20">IF(OR(AB24="Preventivo",AB24="Detectivo"),"Probabilidad",IF(AB24="Correctivo","Impacto",""))</f>
        <v/>
      </c>
      <c r="AB24" s="151"/>
      <c r="AC24" s="151"/>
      <c r="AD24" s="152" t="str">
        <f t="shared" si="17"/>
        <v/>
      </c>
      <c r="AE24" s="151"/>
      <c r="AF24" s="151"/>
      <c r="AG24" s="151"/>
      <c r="AH24" s="153" t="str">
        <f t="shared" ref="AH24:AH26" si="21">IFERROR(IF(AND(AA23="Probabilidad",AA24="Probabilidad"),(AJ23-(+AJ23*AD24)),IF(AND(AA23="Impacto",AA24="Probabilidad"),(AJ22-(+AJ22*AD24)),IF(AA24="Impacto",AJ23,""))),"")</f>
        <v/>
      </c>
      <c r="AI24" s="154" t="str">
        <f t="shared" si="1"/>
        <v/>
      </c>
      <c r="AJ24" s="155" t="str">
        <f t="shared" si="18"/>
        <v/>
      </c>
      <c r="AK24" s="154" t="str">
        <f t="shared" si="3"/>
        <v/>
      </c>
      <c r="AL24" s="155" t="str">
        <f t="shared" ref="AL24:AL26" si="22">IFERROR(IF(AND(AA23="Impacto",AA24="Impacto"),(AL23-(+AL23*AD24)),IF(AND(AA23="Probabilidad",AA24="Impacto"),(AL22-(+AL22*AD24)),IF(AA24="Probabilidad",AL23,""))),"")</f>
        <v/>
      </c>
      <c r="AM24" s="156" t="str">
        <f>IFERROR(IF(OR(AND(AI24="Muy Baja",AK24="Leve"),AND(AI24="Muy Baja",AK24="Menor"),AND(AI24="Baja",AK24="Leve")),"Bajo",IF(OR(AND(AI24="Muy baja",AK24="Moderado"),AND(AI24="Baja",AK24="Menor"),AND(AI24="Baja",AK24="Moderado"),AND(AI24="Media",AK24="Leve"),AND(AI24="Media",AK24="Menor"),AND(AI24="Media",AK24="Moderado"),AND(AI24="Alta",AK24="Leve"),AND(AI24="Alta",AK24="Menor")),"Moderado",IF(OR(AND(AI24="Muy Baja",AK24="Mayor"),AND(AI24="Baja",AK24="Mayor"),AND(AI24="Media",AK24="Mayor"),AND(AI24="Alta",AK24="Moderado"),AND(AI24="Alta",AK24="Mayor"),AND(AI24="Muy Alta",AK24="Leve"),AND(AI24="Muy Alta",AK24="Menor"),AND(AI24="Muy Alta",AK24="Moderado"),AND(AI24="Muy Alta",AK24="Mayor")),"Alto",IF(OR(AND(AI24="Muy Baja",AK24="Catastrófico"),AND(AI24="Baja",AK24="Catastrófico"),AND(AI24="Media",AK24="Catastrófico"),AND(AI24="Alta",AK24="Catastrófico"),AND(AI24="Muy Alta",AK24="Catastrófico")),"Extremo","")))),"")</f>
        <v/>
      </c>
      <c r="AN24" s="157"/>
      <c r="AO24" s="163"/>
      <c r="AP24" s="165" t="str">
        <f t="shared" si="9"/>
        <v/>
      </c>
      <c r="AQ24" s="163"/>
      <c r="AR24" s="165" t="str">
        <f t="shared" si="10"/>
        <v/>
      </c>
      <c r="AS24" s="163" t="str">
        <f t="shared" si="11"/>
        <v/>
      </c>
      <c r="AT24" s="165" t="str">
        <f t="shared" si="12"/>
        <v/>
      </c>
      <c r="AU24" s="142"/>
      <c r="AV24" s="122"/>
      <c r="AW24" s="123"/>
      <c r="AX24" s="123"/>
      <c r="AY24" s="121"/>
      <c r="AZ24" s="143"/>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row>
    <row r="25" spans="1:84" ht="151.5" customHeight="1" x14ac:dyDescent="0.3">
      <c r="A25" s="218"/>
      <c r="B25" s="125"/>
      <c r="C25" s="212"/>
      <c r="D25" s="128"/>
      <c r="E25" s="220"/>
      <c r="F25" s="212"/>
      <c r="G25" s="222"/>
      <c r="H25" s="131"/>
      <c r="I25" s="131"/>
      <c r="J25" s="212"/>
      <c r="K25" s="214"/>
      <c r="L25" s="216"/>
      <c r="M25" s="226"/>
      <c r="N25" s="228"/>
      <c r="O25" s="226">
        <f t="shared" si="16"/>
        <v>0</v>
      </c>
      <c r="P25" s="216"/>
      <c r="Q25" s="226"/>
      <c r="R25" s="224"/>
      <c r="S25" s="146"/>
      <c r="T25" s="146" t="str">
        <f t="shared" si="5"/>
        <v/>
      </c>
      <c r="U25" s="146"/>
      <c r="V25" s="146" t="str">
        <f t="shared" si="6"/>
        <v/>
      </c>
      <c r="W25" s="146" t="str">
        <f t="shared" si="7"/>
        <v/>
      </c>
      <c r="X25" s="146" t="str">
        <f t="shared" si="8"/>
        <v/>
      </c>
      <c r="Y25" s="6">
        <v>5</v>
      </c>
      <c r="Z25" s="149"/>
      <c r="AA25" s="150" t="str">
        <f t="shared" si="20"/>
        <v/>
      </c>
      <c r="AB25" s="151"/>
      <c r="AC25" s="151"/>
      <c r="AD25" s="152" t="str">
        <f t="shared" si="17"/>
        <v/>
      </c>
      <c r="AE25" s="151"/>
      <c r="AF25" s="151"/>
      <c r="AG25" s="151"/>
      <c r="AH25" s="153" t="str">
        <f t="shared" si="21"/>
        <v/>
      </c>
      <c r="AI25" s="154" t="str">
        <f t="shared" si="1"/>
        <v/>
      </c>
      <c r="AJ25" s="155" t="str">
        <f t="shared" si="18"/>
        <v/>
      </c>
      <c r="AK25" s="154" t="str">
        <f t="shared" si="3"/>
        <v/>
      </c>
      <c r="AL25" s="155" t="str">
        <f t="shared" si="22"/>
        <v/>
      </c>
      <c r="AM25" s="156" t="str">
        <f t="shared" ref="AM25:AM26" si="23">IFERROR(IF(OR(AND(AI25="Muy Baja",AK25="Leve"),AND(AI25="Muy Baja",AK25="Menor"),AND(AI25="Baja",AK25="Leve")),"Bajo",IF(OR(AND(AI25="Muy baja",AK25="Moderado"),AND(AI25="Baja",AK25="Menor"),AND(AI25="Baja",AK25="Moderado"),AND(AI25="Media",AK25="Leve"),AND(AI25="Media",AK25="Menor"),AND(AI25="Media",AK25="Moderado"),AND(AI25="Alta",AK25="Leve"),AND(AI25="Alta",AK25="Menor")),"Moderado",IF(OR(AND(AI25="Muy Baja",AK25="Mayor"),AND(AI25="Baja",AK25="Mayor"),AND(AI25="Media",AK25="Mayor"),AND(AI25="Alta",AK25="Moderado"),AND(AI25="Alta",AK25="Mayor"),AND(AI25="Muy Alta",AK25="Leve"),AND(AI25="Muy Alta",AK25="Menor"),AND(AI25="Muy Alta",AK25="Moderado"),AND(AI25="Muy Alta",AK25="Mayor")),"Alto",IF(OR(AND(AI25="Muy Baja",AK25="Catastrófico"),AND(AI25="Baja",AK25="Catastrófico"),AND(AI25="Media",AK25="Catastrófico"),AND(AI25="Alta",AK25="Catastrófico"),AND(AI25="Muy Alta",AK25="Catastrófico")),"Extremo","")))),"")</f>
        <v/>
      </c>
      <c r="AN25" s="157"/>
      <c r="AO25" s="163"/>
      <c r="AP25" s="165" t="str">
        <f t="shared" si="9"/>
        <v/>
      </c>
      <c r="AQ25" s="163"/>
      <c r="AR25" s="165" t="str">
        <f t="shared" si="10"/>
        <v/>
      </c>
      <c r="AS25" s="163" t="str">
        <f t="shared" si="11"/>
        <v/>
      </c>
      <c r="AT25" s="165" t="str">
        <f t="shared" si="12"/>
        <v/>
      </c>
      <c r="AU25" s="142"/>
      <c r="AV25" s="122"/>
      <c r="AW25" s="123"/>
      <c r="AX25" s="123"/>
      <c r="AY25" s="121"/>
      <c r="AZ25" s="143"/>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row>
    <row r="26" spans="1:84" ht="151.5" customHeight="1" x14ac:dyDescent="0.3">
      <c r="A26" s="238"/>
      <c r="B26" s="126"/>
      <c r="C26" s="231"/>
      <c r="D26" s="129"/>
      <c r="E26" s="263"/>
      <c r="F26" s="231"/>
      <c r="G26" s="232"/>
      <c r="H26" s="132"/>
      <c r="I26" s="132"/>
      <c r="J26" s="231"/>
      <c r="K26" s="236"/>
      <c r="L26" s="234"/>
      <c r="M26" s="233"/>
      <c r="N26" s="237"/>
      <c r="O26" s="233">
        <f t="shared" si="16"/>
        <v>0</v>
      </c>
      <c r="P26" s="234"/>
      <c r="Q26" s="233"/>
      <c r="R26" s="235"/>
      <c r="S26" s="146"/>
      <c r="T26" s="146" t="str">
        <f t="shared" si="5"/>
        <v/>
      </c>
      <c r="U26" s="146"/>
      <c r="V26" s="146" t="str">
        <f t="shared" si="6"/>
        <v/>
      </c>
      <c r="W26" s="146" t="str">
        <f t="shared" si="7"/>
        <v/>
      </c>
      <c r="X26" s="146" t="str">
        <f t="shared" si="8"/>
        <v/>
      </c>
      <c r="Y26" s="6">
        <v>6</v>
      </c>
      <c r="Z26" s="149"/>
      <c r="AA26" s="150" t="str">
        <f t="shared" si="20"/>
        <v/>
      </c>
      <c r="AB26" s="151"/>
      <c r="AC26" s="151"/>
      <c r="AD26" s="152" t="str">
        <f t="shared" si="17"/>
        <v/>
      </c>
      <c r="AE26" s="151"/>
      <c r="AF26" s="151"/>
      <c r="AG26" s="151"/>
      <c r="AH26" s="153" t="str">
        <f t="shared" si="21"/>
        <v/>
      </c>
      <c r="AI26" s="154" t="str">
        <f t="shared" si="1"/>
        <v/>
      </c>
      <c r="AJ26" s="155" t="str">
        <f t="shared" si="18"/>
        <v/>
      </c>
      <c r="AK26" s="154" t="str">
        <f t="shared" si="3"/>
        <v/>
      </c>
      <c r="AL26" s="155" t="str">
        <f t="shared" si="22"/>
        <v/>
      </c>
      <c r="AM26" s="156" t="str">
        <f t="shared" si="23"/>
        <v/>
      </c>
      <c r="AN26" s="157"/>
      <c r="AO26" s="163"/>
      <c r="AP26" s="165" t="str">
        <f t="shared" si="9"/>
        <v/>
      </c>
      <c r="AQ26" s="163"/>
      <c r="AR26" s="165" t="str">
        <f t="shared" si="10"/>
        <v/>
      </c>
      <c r="AS26" s="163" t="str">
        <f t="shared" si="11"/>
        <v/>
      </c>
      <c r="AT26" s="165" t="str">
        <f t="shared" si="12"/>
        <v/>
      </c>
      <c r="AU26" s="142"/>
      <c r="AV26" s="122"/>
      <c r="AW26" s="123"/>
      <c r="AX26" s="123"/>
      <c r="AY26" s="121"/>
      <c r="AZ26" s="143"/>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row>
    <row r="27" spans="1:84" ht="151.5" customHeight="1" x14ac:dyDescent="0.3">
      <c r="A27" s="217">
        <v>4</v>
      </c>
      <c r="B27" s="124"/>
      <c r="C27" s="211"/>
      <c r="D27" s="127"/>
      <c r="E27" s="211"/>
      <c r="F27" s="211"/>
      <c r="G27" s="221"/>
      <c r="H27" s="130"/>
      <c r="I27" s="130"/>
      <c r="J27" s="211"/>
      <c r="K27" s="213"/>
      <c r="L27" s="215" t="str">
        <f>IF(K27&lt;=0,"",IF(K27&lt;=2,"Muy Baja",IF(K27&lt;=24,"Baja",IF(K27&lt;=500,"Media",IF(K27&lt;=5000,"Alta","Muy Alta")))))</f>
        <v/>
      </c>
      <c r="M27" s="225" t="str">
        <f>IF(L27="","",IF(L27="Muy Baja",0.2,IF(L27="Baja",0.4,IF(L27="Media",0.6,IF(L27="Alta",0.8,IF(L27="Muy Alta",1,))))))</f>
        <v/>
      </c>
      <c r="N27" s="227"/>
      <c r="O27" s="225">
        <f>IF(NOT(ISERROR(MATCH(N27,'Tabla Impacto'!$B$221:$B$223,0))),'Tabla Impacto'!$F$223&amp;"Por favor no seleccionar los criterios de impacto(Afectación Económica o presupuestal y Pérdida Reputacional)",N27)</f>
        <v>0</v>
      </c>
      <c r="P27" s="215" t="str">
        <f>IF(OR(O27='Tabla Impacto'!$C$11,O27='Tabla Impacto'!$D$11),"Leve",IF(OR(O27='Tabla Impacto'!$C$12,O27='Tabla Impacto'!$D$12),"Menor",IF(OR(O27='Tabla Impacto'!$C$13,O27='Tabla Impacto'!$D$13),"Moderado",IF(OR(O27='Tabla Impacto'!$C$14,O27='Tabla Impacto'!$D$14),"Mayor",IF(OR(O27='Tabla Impacto'!$C$15,O27='Tabla Impacto'!$D$15),"Catastrófico","")))))</f>
        <v/>
      </c>
      <c r="Q27" s="225" t="str">
        <f>IF(P27="","",IF(P27="Leve",0.2,IF(P27="Menor",0.4,IF(P27="Moderado",0.6,IF(P27="Mayor",0.8,IF(P27="Catastrófico",1,))))))</f>
        <v/>
      </c>
      <c r="R27" s="223" t="str">
        <f>IF(OR(AND(L27="Muy Baja",P27="Leve"),AND(L27="Muy Baja",P27="Menor"),AND(L27="Baja",P27="Leve")),"Bajo",IF(OR(AND(L27="Muy baja",P27="Moderado"),AND(L27="Baja",P27="Menor"),AND(L27="Baja",P27="Moderado"),AND(L27="Media",P27="Leve"),AND(L27="Media",P27="Menor"),AND(L27="Media",P27="Moderado"),AND(L27="Alta",P27="Leve"),AND(L27="Alta",P27="Menor")),"Moderado",IF(OR(AND(L27="Muy Baja",P27="Mayor"),AND(L27="Baja",P27="Mayor"),AND(L27="Media",P27="Mayor"),AND(L27="Alta",P27="Moderado"),AND(L27="Alta",P27="Mayor"),AND(L27="Muy Alta",P27="Leve"),AND(L27="Muy Alta",P27="Menor"),AND(L27="Muy Alta",P27="Moderado"),AND(L27="Muy Alta",P27="Mayor")),"Alto",IF(OR(AND(L27="Muy Baja",P27="Catastrófico"),AND(L27="Baja",P27="Catastrófico"),AND(L27="Media",P27="Catastrófico"),AND(L27="Alta",P27="Catastrófico"),AND(L27="Muy Alta",P27="Catastrófico")),"Extremo",""))))</f>
        <v/>
      </c>
      <c r="S27" s="146"/>
      <c r="T27" s="146" t="str">
        <f t="shared" si="5"/>
        <v/>
      </c>
      <c r="U27" s="146"/>
      <c r="V27" s="146" t="str">
        <f t="shared" si="6"/>
        <v/>
      </c>
      <c r="W27" s="146" t="str">
        <f t="shared" si="7"/>
        <v/>
      </c>
      <c r="X27" s="146" t="str">
        <f t="shared" si="8"/>
        <v/>
      </c>
      <c r="Y27" s="6">
        <v>1</v>
      </c>
      <c r="Z27" s="149"/>
      <c r="AA27" s="150" t="str">
        <f>IF(OR(AB27="Preventivo",AB27="Detectivo"),"Probabilidad",IF(AB27="Correctivo","Impacto",""))</f>
        <v/>
      </c>
      <c r="AB27" s="151"/>
      <c r="AC27" s="151"/>
      <c r="AD27" s="152" t="str">
        <f>IF(AND(AB27="Preventivo",AC27="Automático"),"50%",IF(AND(AB27="Preventivo",AC27="Manual"),"40%",IF(AND(AB27="Detectivo",AC27="Automático"),"40%",IF(AND(AB27="Detectivo",AC27="Manual"),"30%",IF(AND(AB27="Correctivo",AC27="Automático"),"35%",IF(AND(AB27="Correctivo",AC27="Manual"),"25%",""))))))</f>
        <v/>
      </c>
      <c r="AE27" s="151"/>
      <c r="AF27" s="151"/>
      <c r="AG27" s="151"/>
      <c r="AH27" s="153" t="str">
        <f>IFERROR(IF(AA27="Probabilidad",(M27-(+M27*AD27)),IF(AA27="Impacto",M27,"")),"")</f>
        <v/>
      </c>
      <c r="AI27" s="154" t="str">
        <f>IFERROR(IF(AH27="","",IF(AH27&lt;=0.2,"Muy Baja",IF(AH27&lt;=0.4,"Baja",IF(AH27&lt;=0.6,"Media",IF(AH27&lt;=0.8,"Alta","Muy Alta"))))),"")</f>
        <v/>
      </c>
      <c r="AJ27" s="155" t="str">
        <f>+AH27</f>
        <v/>
      </c>
      <c r="AK27" s="154" t="str">
        <f>IFERROR(IF(AL27="","",IF(AL27&lt;=0.2,"Leve",IF(AL27&lt;=0.4,"Menor",IF(AL27&lt;=0.6,"Moderado",IF(AL27&lt;=0.8,"Mayor","Catastrófico"))))),"")</f>
        <v/>
      </c>
      <c r="AL27" s="155" t="str">
        <f>IFERROR(IF(AA27="Impacto",(Q27-(+Q27*AD27)),IF(AA27="Probabilidad",Q27,"")),"")</f>
        <v/>
      </c>
      <c r="AM27" s="156" t="str">
        <f>IFERROR(IF(OR(AND(AI27="Muy Baja",AK27="Leve"),AND(AI27="Muy Baja",AK27="Menor"),AND(AI27="Baja",AK27="Leve")),"Bajo",IF(OR(AND(AI27="Muy baja",AK27="Moderado"),AND(AI27="Baja",AK27="Menor"),AND(AI27="Baja",AK27="Moderado"),AND(AI27="Media",AK27="Leve"),AND(AI27="Media",AK27="Menor"),AND(AI27="Media",AK27="Moderado"),AND(AI27="Alta",AK27="Leve"),AND(AI27="Alta",AK27="Menor")),"Moderado",IF(OR(AND(AI27="Muy Baja",AK27="Mayor"),AND(AI27="Baja",AK27="Mayor"),AND(AI27="Media",AK27="Mayor"),AND(AI27="Alta",AK27="Moderado"),AND(AI27="Alta",AK27="Mayor"),AND(AI27="Muy Alta",AK27="Leve"),AND(AI27="Muy Alta",AK27="Menor"),AND(AI27="Muy Alta",AK27="Moderado"),AND(AI27="Muy Alta",AK27="Mayor")),"Alto",IF(OR(AND(AI27="Muy Baja",AK27="Catastrófico"),AND(AI27="Baja",AK27="Catastrófico"),AND(AI27="Media",AK27="Catastrófico"),AND(AI27="Alta",AK27="Catastrófico"),AND(AI27="Muy Alta",AK27="Catastrófico")),"Extremo","")))),"")</f>
        <v/>
      </c>
      <c r="AN27" s="157"/>
      <c r="AO27" s="163"/>
      <c r="AP27" s="165" t="str">
        <f t="shared" si="9"/>
        <v/>
      </c>
      <c r="AQ27" s="163"/>
      <c r="AR27" s="165" t="str">
        <f t="shared" si="10"/>
        <v/>
      </c>
      <c r="AS27" s="163" t="str">
        <f t="shared" si="11"/>
        <v/>
      </c>
      <c r="AT27" s="165" t="str">
        <f t="shared" si="12"/>
        <v/>
      </c>
      <c r="AU27" s="142"/>
      <c r="AV27" s="122"/>
      <c r="AW27" s="123"/>
      <c r="AX27" s="123"/>
      <c r="AY27" s="121"/>
      <c r="AZ27" s="143"/>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row>
    <row r="28" spans="1:84" ht="151.5" customHeight="1" x14ac:dyDescent="0.3">
      <c r="A28" s="218"/>
      <c r="B28" s="125"/>
      <c r="C28" s="212"/>
      <c r="D28" s="128"/>
      <c r="E28" s="212"/>
      <c r="F28" s="212"/>
      <c r="G28" s="222"/>
      <c r="H28" s="131"/>
      <c r="I28" s="131"/>
      <c r="J28" s="212"/>
      <c r="K28" s="214"/>
      <c r="L28" s="216"/>
      <c r="M28" s="226"/>
      <c r="N28" s="228"/>
      <c r="O28" s="226">
        <f t="shared" ref="O28:O32" si="24">IF(NOT(ISERROR(MATCH(N28,_xlfn.ANCHORARRAY(G39),0))),M41&amp;"Por favor no seleccionar los criterios de impacto",N28)</f>
        <v>0</v>
      </c>
      <c r="P28" s="216"/>
      <c r="Q28" s="226"/>
      <c r="R28" s="224"/>
      <c r="S28" s="146"/>
      <c r="T28" s="146" t="str">
        <f t="shared" si="5"/>
        <v/>
      </c>
      <c r="U28" s="146"/>
      <c r="V28" s="146" t="str">
        <f t="shared" si="6"/>
        <v/>
      </c>
      <c r="W28" s="146" t="str">
        <f t="shared" si="7"/>
        <v/>
      </c>
      <c r="X28" s="146" t="str">
        <f t="shared" si="8"/>
        <v/>
      </c>
      <c r="Y28" s="6">
        <v>2</v>
      </c>
      <c r="Z28" s="149"/>
      <c r="AA28" s="150" t="str">
        <f>IF(OR(AB28="Preventivo",AB28="Detectivo"),"Probabilidad",IF(AB28="Correctivo","Impacto",""))</f>
        <v/>
      </c>
      <c r="AB28" s="151"/>
      <c r="AC28" s="151"/>
      <c r="AD28" s="152" t="str">
        <f t="shared" ref="AD28:AD32" si="25">IF(AND(AB28="Preventivo",AC28="Automático"),"50%",IF(AND(AB28="Preventivo",AC28="Manual"),"40%",IF(AND(AB28="Detectivo",AC28="Automático"),"40%",IF(AND(AB28="Detectivo",AC28="Manual"),"30%",IF(AND(AB28="Correctivo",AC28="Automático"),"35%",IF(AND(AB28="Correctivo",AC28="Manual"),"25%",""))))))</f>
        <v/>
      </c>
      <c r="AE28" s="151"/>
      <c r="AF28" s="151"/>
      <c r="AG28" s="151"/>
      <c r="AH28" s="153" t="str">
        <f>IFERROR(IF(AND(AA27="Probabilidad",AA28="Probabilidad"),(AJ27-(+AJ27*AD28)),IF(AA28="Probabilidad",(M27-(+M27*AD28)),IF(AA28="Impacto",AJ27,""))),"")</f>
        <v/>
      </c>
      <c r="AI28" s="154" t="str">
        <f t="shared" si="1"/>
        <v/>
      </c>
      <c r="AJ28" s="155" t="str">
        <f t="shared" ref="AJ28:AJ32" si="26">+AH28</f>
        <v/>
      </c>
      <c r="AK28" s="154" t="str">
        <f t="shared" si="3"/>
        <v/>
      </c>
      <c r="AL28" s="155" t="str">
        <f>IFERROR(IF(AND(AA27="Impacto",AA28="Impacto"),(AL27-(+AL27*AD28)),IF(AA28="Impacto",(Q27-(+Q27*AD28)),IF(AA28="Probabilidad",AL27,""))),"")</f>
        <v/>
      </c>
      <c r="AM28" s="156" t="str">
        <f t="shared" ref="AM28:AM29" si="27">IFERROR(IF(OR(AND(AI28="Muy Baja",AK28="Leve"),AND(AI28="Muy Baja",AK28="Menor"),AND(AI28="Baja",AK28="Leve")),"Bajo",IF(OR(AND(AI28="Muy baja",AK28="Moderado"),AND(AI28="Baja",AK28="Menor"),AND(AI28="Baja",AK28="Moderado"),AND(AI28="Media",AK28="Leve"),AND(AI28="Media",AK28="Menor"),AND(AI28="Media",AK28="Moderado"),AND(AI28="Alta",AK28="Leve"),AND(AI28="Alta",AK28="Menor")),"Moderado",IF(OR(AND(AI28="Muy Baja",AK28="Mayor"),AND(AI28="Baja",AK28="Mayor"),AND(AI28="Media",AK28="Mayor"),AND(AI28="Alta",AK28="Moderado"),AND(AI28="Alta",AK28="Mayor"),AND(AI28="Muy Alta",AK28="Leve"),AND(AI28="Muy Alta",AK28="Menor"),AND(AI28="Muy Alta",AK28="Moderado"),AND(AI28="Muy Alta",AK28="Mayor")),"Alto",IF(OR(AND(AI28="Muy Baja",AK28="Catastrófico"),AND(AI28="Baja",AK28="Catastrófico"),AND(AI28="Media",AK28="Catastrófico"),AND(AI28="Alta",AK28="Catastrófico"),AND(AI28="Muy Alta",AK28="Catastrófico")),"Extremo","")))),"")</f>
        <v/>
      </c>
      <c r="AN28" s="157"/>
      <c r="AO28" s="163"/>
      <c r="AP28" s="165" t="str">
        <f t="shared" si="9"/>
        <v/>
      </c>
      <c r="AQ28" s="163"/>
      <c r="AR28" s="165" t="str">
        <f t="shared" si="10"/>
        <v/>
      </c>
      <c r="AS28" s="163" t="str">
        <f t="shared" si="11"/>
        <v/>
      </c>
      <c r="AT28" s="165" t="str">
        <f t="shared" si="12"/>
        <v/>
      </c>
      <c r="AU28" s="142"/>
      <c r="AV28" s="122"/>
      <c r="AW28" s="123"/>
      <c r="AX28" s="123"/>
      <c r="AY28" s="121"/>
      <c r="AZ28" s="143"/>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row>
    <row r="29" spans="1:84" ht="151.5" customHeight="1" x14ac:dyDescent="0.3">
      <c r="A29" s="218"/>
      <c r="B29" s="125"/>
      <c r="C29" s="212"/>
      <c r="D29" s="128"/>
      <c r="E29" s="212"/>
      <c r="F29" s="212"/>
      <c r="G29" s="222"/>
      <c r="H29" s="131"/>
      <c r="I29" s="131"/>
      <c r="J29" s="212"/>
      <c r="K29" s="214"/>
      <c r="L29" s="216"/>
      <c r="M29" s="226"/>
      <c r="N29" s="228"/>
      <c r="O29" s="226">
        <f t="shared" si="24"/>
        <v>0</v>
      </c>
      <c r="P29" s="216"/>
      <c r="Q29" s="226"/>
      <c r="R29" s="224"/>
      <c r="S29" s="146"/>
      <c r="T29" s="146" t="str">
        <f t="shared" si="5"/>
        <v/>
      </c>
      <c r="U29" s="146"/>
      <c r="V29" s="146" t="str">
        <f t="shared" si="6"/>
        <v/>
      </c>
      <c r="W29" s="146" t="str">
        <f t="shared" si="7"/>
        <v/>
      </c>
      <c r="X29" s="146" t="str">
        <f t="shared" si="8"/>
        <v/>
      </c>
      <c r="Y29" s="6">
        <v>3</v>
      </c>
      <c r="Z29" s="143"/>
      <c r="AA29" s="150" t="str">
        <f>IF(OR(AB29="Preventivo",AB29="Detectivo"),"Probabilidad",IF(AB29="Correctivo","Impacto",""))</f>
        <v/>
      </c>
      <c r="AB29" s="151"/>
      <c r="AC29" s="151"/>
      <c r="AD29" s="152" t="str">
        <f t="shared" si="25"/>
        <v/>
      </c>
      <c r="AE29" s="151"/>
      <c r="AF29" s="151"/>
      <c r="AG29" s="151"/>
      <c r="AH29" s="153" t="str">
        <f>IFERROR(IF(AND(AA28="Probabilidad",AA29="Probabilidad"),(AJ28-(+AJ28*AD29)),IF(AND(AA28="Impacto",AA29="Probabilidad"),(AJ27-(+AJ27*AD29)),IF(AA29="Impacto",AJ28,""))),"")</f>
        <v/>
      </c>
      <c r="AI29" s="154" t="str">
        <f t="shared" si="1"/>
        <v/>
      </c>
      <c r="AJ29" s="155" t="str">
        <f t="shared" si="26"/>
        <v/>
      </c>
      <c r="AK29" s="154" t="str">
        <f t="shared" si="3"/>
        <v/>
      </c>
      <c r="AL29" s="155" t="str">
        <f>IFERROR(IF(AND(AA28="Impacto",AA29="Impacto"),(AL28-(+AL28*AD29)),IF(AND(AA28="Probabilidad",AA29="Impacto"),(AL27-(+AL27*AD29)),IF(AA29="Probabilidad",AL28,""))),"")</f>
        <v/>
      </c>
      <c r="AM29" s="156" t="str">
        <f t="shared" si="27"/>
        <v/>
      </c>
      <c r="AN29" s="157"/>
      <c r="AO29" s="120"/>
      <c r="AP29" s="120"/>
      <c r="AQ29" s="120"/>
      <c r="AR29" s="120"/>
      <c r="AS29" s="120"/>
      <c r="AT29" s="120"/>
      <c r="AU29" s="142"/>
      <c r="AV29" s="122"/>
      <c r="AW29" s="123"/>
      <c r="AX29" s="123"/>
      <c r="AY29" s="121"/>
      <c r="AZ29" s="143"/>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row>
    <row r="30" spans="1:84" ht="151.5" customHeight="1" x14ac:dyDescent="0.3">
      <c r="A30" s="218"/>
      <c r="B30" s="125"/>
      <c r="C30" s="212"/>
      <c r="D30" s="128"/>
      <c r="E30" s="212"/>
      <c r="F30" s="212"/>
      <c r="G30" s="222"/>
      <c r="H30" s="131"/>
      <c r="I30" s="131"/>
      <c r="J30" s="212"/>
      <c r="K30" s="214"/>
      <c r="L30" s="216"/>
      <c r="M30" s="226"/>
      <c r="N30" s="228"/>
      <c r="O30" s="226">
        <f t="shared" si="24"/>
        <v>0</v>
      </c>
      <c r="P30" s="216"/>
      <c r="Q30" s="226"/>
      <c r="R30" s="224"/>
      <c r="S30" s="146"/>
      <c r="T30" s="146" t="str">
        <f t="shared" si="5"/>
        <v/>
      </c>
      <c r="U30" s="146"/>
      <c r="V30" s="146" t="str">
        <f t="shared" si="6"/>
        <v/>
      </c>
      <c r="W30" s="146" t="str">
        <f t="shared" si="7"/>
        <v/>
      </c>
      <c r="X30" s="146" t="str">
        <f t="shared" si="8"/>
        <v/>
      </c>
      <c r="Y30" s="6">
        <v>4</v>
      </c>
      <c r="Z30" s="149"/>
      <c r="AA30" s="150" t="str">
        <f t="shared" ref="AA30:AA32" si="28">IF(OR(AB30="Preventivo",AB30="Detectivo"),"Probabilidad",IF(AB30="Correctivo","Impacto",""))</f>
        <v/>
      </c>
      <c r="AB30" s="151"/>
      <c r="AC30" s="151"/>
      <c r="AD30" s="152" t="str">
        <f t="shared" si="25"/>
        <v/>
      </c>
      <c r="AE30" s="151"/>
      <c r="AF30" s="151"/>
      <c r="AG30" s="151"/>
      <c r="AH30" s="153" t="str">
        <f t="shared" ref="AH30:AH32" si="29">IFERROR(IF(AND(AA29="Probabilidad",AA30="Probabilidad"),(AJ29-(+AJ29*AD30)),IF(AND(AA29="Impacto",AA30="Probabilidad"),(AJ28-(+AJ28*AD30)),IF(AA30="Impacto",AJ29,""))),"")</f>
        <v/>
      </c>
      <c r="AI30" s="154" t="str">
        <f t="shared" si="1"/>
        <v/>
      </c>
      <c r="AJ30" s="155" t="str">
        <f t="shared" si="26"/>
        <v/>
      </c>
      <c r="AK30" s="154" t="str">
        <f t="shared" si="3"/>
        <v/>
      </c>
      <c r="AL30" s="155" t="str">
        <f t="shared" ref="AL30:AL32" si="30">IFERROR(IF(AND(AA29="Impacto",AA30="Impacto"),(AL29-(+AL29*AD30)),IF(AND(AA29="Probabilidad",AA30="Impacto"),(AL28-(+AL28*AD30)),IF(AA30="Probabilidad",AL29,""))),"")</f>
        <v/>
      </c>
      <c r="AM30" s="156" t="str">
        <f>IFERROR(IF(OR(AND(AI30="Muy Baja",AK30="Leve"),AND(AI30="Muy Baja",AK30="Menor"),AND(AI30="Baja",AK30="Leve")),"Bajo",IF(OR(AND(AI30="Muy baja",AK30="Moderado"),AND(AI30="Baja",AK30="Menor"),AND(AI30="Baja",AK30="Moderado"),AND(AI30="Media",AK30="Leve"),AND(AI30="Media",AK30="Menor"),AND(AI30="Media",AK30="Moderado"),AND(AI30="Alta",AK30="Leve"),AND(AI30="Alta",AK30="Menor")),"Moderado",IF(OR(AND(AI30="Muy Baja",AK30="Mayor"),AND(AI30="Baja",AK30="Mayor"),AND(AI30="Media",AK30="Mayor"),AND(AI30="Alta",AK30="Moderado"),AND(AI30="Alta",AK30="Mayor"),AND(AI30="Muy Alta",AK30="Leve"),AND(AI30="Muy Alta",AK30="Menor"),AND(AI30="Muy Alta",AK30="Moderado"),AND(AI30="Muy Alta",AK30="Mayor")),"Alto",IF(OR(AND(AI30="Muy Baja",AK30="Catastrófico"),AND(AI30="Baja",AK30="Catastrófico"),AND(AI30="Media",AK30="Catastrófico"),AND(AI30="Alta",AK30="Catastrófico"),AND(AI30="Muy Alta",AK30="Catastrófico")),"Extremo","")))),"")</f>
        <v/>
      </c>
      <c r="AN30" s="157"/>
      <c r="AO30" s="120"/>
      <c r="AP30" s="120"/>
      <c r="AQ30" s="120"/>
      <c r="AR30" s="120"/>
      <c r="AS30" s="120"/>
      <c r="AT30" s="120"/>
      <c r="AU30" s="142"/>
      <c r="AV30" s="122"/>
      <c r="AW30" s="123"/>
      <c r="AX30" s="123"/>
      <c r="AY30" s="121"/>
      <c r="AZ30" s="143"/>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row>
    <row r="31" spans="1:84" ht="151.5" customHeight="1" x14ac:dyDescent="0.3">
      <c r="A31" s="218"/>
      <c r="B31" s="125"/>
      <c r="C31" s="212"/>
      <c r="D31" s="128"/>
      <c r="E31" s="212"/>
      <c r="F31" s="212"/>
      <c r="G31" s="222"/>
      <c r="H31" s="131"/>
      <c r="I31" s="131"/>
      <c r="J31" s="212"/>
      <c r="K31" s="214"/>
      <c r="L31" s="216"/>
      <c r="M31" s="226"/>
      <c r="N31" s="228"/>
      <c r="O31" s="226">
        <f t="shared" si="24"/>
        <v>0</v>
      </c>
      <c r="P31" s="216"/>
      <c r="Q31" s="226"/>
      <c r="R31" s="224"/>
      <c r="S31" s="146"/>
      <c r="T31" s="146" t="str">
        <f t="shared" si="5"/>
        <v/>
      </c>
      <c r="U31" s="146"/>
      <c r="V31" s="146" t="str">
        <f t="shared" si="6"/>
        <v/>
      </c>
      <c r="W31" s="146" t="str">
        <f t="shared" si="7"/>
        <v/>
      </c>
      <c r="X31" s="146" t="str">
        <f t="shared" si="8"/>
        <v/>
      </c>
      <c r="Y31" s="6">
        <v>5</v>
      </c>
      <c r="Z31" s="149"/>
      <c r="AA31" s="150" t="str">
        <f t="shared" si="28"/>
        <v/>
      </c>
      <c r="AB31" s="151"/>
      <c r="AC31" s="151"/>
      <c r="AD31" s="152" t="str">
        <f t="shared" si="25"/>
        <v/>
      </c>
      <c r="AE31" s="151"/>
      <c r="AF31" s="151"/>
      <c r="AG31" s="151"/>
      <c r="AH31" s="158" t="str">
        <f t="shared" si="29"/>
        <v/>
      </c>
      <c r="AI31" s="154" t="str">
        <f>IFERROR(IF(AH31="","",IF(AH31&lt;=0.2,"Muy Baja",IF(AH31&lt;=0.4,"Baja",IF(AH31&lt;=0.6,"Media",IF(AH31&lt;=0.8,"Alta","Muy Alta"))))),"")</f>
        <v/>
      </c>
      <c r="AJ31" s="155" t="str">
        <f t="shared" si="26"/>
        <v/>
      </c>
      <c r="AK31" s="154" t="str">
        <f t="shared" si="3"/>
        <v/>
      </c>
      <c r="AL31" s="155" t="str">
        <f t="shared" si="30"/>
        <v/>
      </c>
      <c r="AM31" s="156" t="str">
        <f t="shared" ref="AM31:AM32" si="31">IFERROR(IF(OR(AND(AI31="Muy Baja",AK31="Leve"),AND(AI31="Muy Baja",AK31="Menor"),AND(AI31="Baja",AK31="Leve")),"Bajo",IF(OR(AND(AI31="Muy baja",AK31="Moderado"),AND(AI31="Baja",AK31="Menor"),AND(AI31="Baja",AK31="Moderado"),AND(AI31="Media",AK31="Leve"),AND(AI31="Media",AK31="Menor"),AND(AI31="Media",AK31="Moderado"),AND(AI31="Alta",AK31="Leve"),AND(AI31="Alta",AK31="Menor")),"Moderado",IF(OR(AND(AI31="Muy Baja",AK31="Mayor"),AND(AI31="Baja",AK31="Mayor"),AND(AI31="Media",AK31="Mayor"),AND(AI31="Alta",AK31="Moderado"),AND(AI31="Alta",AK31="Mayor"),AND(AI31="Muy Alta",AK31="Leve"),AND(AI31="Muy Alta",AK31="Menor"),AND(AI31="Muy Alta",AK31="Moderado"),AND(AI31="Muy Alta",AK31="Mayor")),"Alto",IF(OR(AND(AI31="Muy Baja",AK31="Catastrófico"),AND(AI31="Baja",AK31="Catastrófico"),AND(AI31="Media",AK31="Catastrófico"),AND(AI31="Alta",AK31="Catastrófico"),AND(AI31="Muy Alta",AK31="Catastrófico")),"Extremo","")))),"")</f>
        <v/>
      </c>
      <c r="AN31" s="157"/>
      <c r="AO31" s="120"/>
      <c r="AP31" s="120"/>
      <c r="AQ31" s="120"/>
      <c r="AR31" s="120"/>
      <c r="AS31" s="120"/>
      <c r="AT31" s="120"/>
      <c r="AU31" s="142"/>
      <c r="AV31" s="122"/>
      <c r="AW31" s="123"/>
      <c r="AX31" s="123"/>
      <c r="AY31" s="121"/>
      <c r="AZ31" s="143"/>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row>
    <row r="32" spans="1:84" ht="151.5" customHeight="1" x14ac:dyDescent="0.3">
      <c r="A32" s="238"/>
      <c r="B32" s="126"/>
      <c r="C32" s="231"/>
      <c r="D32" s="129"/>
      <c r="E32" s="231"/>
      <c r="F32" s="231"/>
      <c r="G32" s="232"/>
      <c r="H32" s="132"/>
      <c r="I32" s="132"/>
      <c r="J32" s="231"/>
      <c r="K32" s="236"/>
      <c r="L32" s="234"/>
      <c r="M32" s="233"/>
      <c r="N32" s="237"/>
      <c r="O32" s="233">
        <f t="shared" si="24"/>
        <v>0</v>
      </c>
      <c r="P32" s="234"/>
      <c r="Q32" s="233"/>
      <c r="R32" s="235"/>
      <c r="S32" s="146"/>
      <c r="T32" s="146" t="str">
        <f t="shared" si="5"/>
        <v/>
      </c>
      <c r="U32" s="146"/>
      <c r="V32" s="146" t="str">
        <f t="shared" si="6"/>
        <v/>
      </c>
      <c r="W32" s="146" t="str">
        <f t="shared" si="7"/>
        <v/>
      </c>
      <c r="X32" s="146" t="str">
        <f t="shared" si="8"/>
        <v/>
      </c>
      <c r="Y32" s="6">
        <v>6</v>
      </c>
      <c r="Z32" s="149"/>
      <c r="AA32" s="150" t="str">
        <f t="shared" si="28"/>
        <v/>
      </c>
      <c r="AB32" s="151"/>
      <c r="AC32" s="151"/>
      <c r="AD32" s="152" t="str">
        <f t="shared" si="25"/>
        <v/>
      </c>
      <c r="AE32" s="151"/>
      <c r="AF32" s="151"/>
      <c r="AG32" s="151"/>
      <c r="AH32" s="153" t="str">
        <f t="shared" si="29"/>
        <v/>
      </c>
      <c r="AI32" s="154" t="str">
        <f t="shared" si="1"/>
        <v/>
      </c>
      <c r="AJ32" s="155" t="str">
        <f t="shared" si="26"/>
        <v/>
      </c>
      <c r="AK32" s="154" t="str">
        <f t="shared" si="3"/>
        <v/>
      </c>
      <c r="AL32" s="155" t="str">
        <f t="shared" si="30"/>
        <v/>
      </c>
      <c r="AM32" s="156" t="str">
        <f t="shared" si="31"/>
        <v/>
      </c>
      <c r="AN32" s="157"/>
      <c r="AO32" s="120"/>
      <c r="AP32" s="120"/>
      <c r="AQ32" s="120"/>
      <c r="AR32" s="120"/>
      <c r="AS32" s="120"/>
      <c r="AT32" s="120"/>
      <c r="AU32" s="142"/>
      <c r="AV32" s="122"/>
      <c r="AW32" s="123"/>
      <c r="AX32" s="123"/>
      <c r="AY32" s="121"/>
      <c r="AZ32" s="143"/>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row>
    <row r="33" spans="1:84" ht="151.5" customHeight="1" x14ac:dyDescent="0.3">
      <c r="A33" s="217">
        <v>5</v>
      </c>
      <c r="B33" s="124"/>
      <c r="C33" s="211"/>
      <c r="D33" s="127"/>
      <c r="E33" s="211"/>
      <c r="F33" s="211"/>
      <c r="G33" s="221"/>
      <c r="H33" s="130"/>
      <c r="I33" s="130"/>
      <c r="J33" s="211"/>
      <c r="K33" s="213"/>
      <c r="L33" s="215" t="str">
        <f>IF(K33&lt;=0,"",IF(K33&lt;=2,"Muy Baja",IF(K33&lt;=24,"Baja",IF(K33&lt;=500,"Media",IF(K33&lt;=5000,"Alta","Muy Alta")))))</f>
        <v/>
      </c>
      <c r="M33" s="225" t="str">
        <f>IF(L33="","",IF(L33="Muy Baja",0.2,IF(L33="Baja",0.4,IF(L33="Media",0.6,IF(L33="Alta",0.8,IF(L33="Muy Alta",1,))))))</f>
        <v/>
      </c>
      <c r="N33" s="227"/>
      <c r="O33" s="225">
        <f>IF(NOT(ISERROR(MATCH(N33,'Tabla Impacto'!$B$221:$B$223,0))),'Tabla Impacto'!$F$223&amp;"Por favor no seleccionar los criterios de impacto(Afectación Económica o presupuestal y Pérdida Reputacional)",N33)</f>
        <v>0</v>
      </c>
      <c r="P33" s="215" t="str">
        <f>IF(OR(O33='Tabla Impacto'!$C$11,O33='Tabla Impacto'!$D$11),"Leve",IF(OR(O33='Tabla Impacto'!$C$12,O33='Tabla Impacto'!$D$12),"Menor",IF(OR(O33='Tabla Impacto'!$C$13,O33='Tabla Impacto'!$D$13),"Moderado",IF(OR(O33='Tabla Impacto'!$C$14,O33='Tabla Impacto'!$D$14),"Mayor",IF(OR(O33='Tabla Impacto'!$C$15,O33='Tabla Impacto'!$D$15),"Catastrófico","")))))</f>
        <v/>
      </c>
      <c r="Q33" s="225" t="str">
        <f>IF(P33="","",IF(P33="Leve",0.2,IF(P33="Menor",0.4,IF(P33="Moderado",0.6,IF(P33="Mayor",0.8,IF(P33="Catastrófico",1,))))))</f>
        <v/>
      </c>
      <c r="R33" s="223" t="str">
        <f>IF(OR(AND(L33="Muy Baja",P33="Leve"),AND(L33="Muy Baja",P33="Menor"),AND(L33="Baja",P33="Leve")),"Bajo",IF(OR(AND(L33="Muy baja",P33="Moderado"),AND(L33="Baja",P33="Menor"),AND(L33="Baja",P33="Moderado"),AND(L33="Media",P33="Leve"),AND(L33="Media",P33="Menor"),AND(L33="Media",P33="Moderado"),AND(L33="Alta",P33="Leve"),AND(L33="Alta",P33="Menor")),"Moderado",IF(OR(AND(L33="Muy Baja",P33="Mayor"),AND(L33="Baja",P33="Mayor"),AND(L33="Media",P33="Mayor"),AND(L33="Alta",P33="Moderado"),AND(L33="Alta",P33="Mayor"),AND(L33="Muy Alta",P33="Leve"),AND(L33="Muy Alta",P33="Menor"),AND(L33="Muy Alta",P33="Moderado"),AND(L33="Muy Alta",P33="Mayor")),"Alto",IF(OR(AND(L33="Muy Baja",P33="Catastrófico"),AND(L33="Baja",P33="Catastrófico"),AND(L33="Media",P33="Catastrófico"),AND(L33="Alta",P33="Catastrófico"),AND(L33="Muy Alta",P33="Catastrófico")),"Extremo",""))))</f>
        <v/>
      </c>
      <c r="S33" s="146"/>
      <c r="T33" s="146" t="str">
        <f t="shared" si="5"/>
        <v/>
      </c>
      <c r="U33" s="146"/>
      <c r="V33" s="146" t="str">
        <f t="shared" si="6"/>
        <v/>
      </c>
      <c r="W33" s="146" t="str">
        <f t="shared" si="7"/>
        <v/>
      </c>
      <c r="X33" s="146" t="str">
        <f t="shared" si="8"/>
        <v/>
      </c>
      <c r="Y33" s="6">
        <v>1</v>
      </c>
      <c r="Z33" s="149"/>
      <c r="AA33" s="150" t="str">
        <f>IF(OR(AB33="Preventivo",AB33="Detectivo"),"Probabilidad",IF(AB33="Correctivo","Impacto",""))</f>
        <v/>
      </c>
      <c r="AB33" s="151"/>
      <c r="AC33" s="151"/>
      <c r="AD33" s="152" t="str">
        <f>IF(AND(AB33="Preventivo",AC33="Automático"),"50%",IF(AND(AB33="Preventivo",AC33="Manual"),"40%",IF(AND(AB33="Detectivo",AC33="Automático"),"40%",IF(AND(AB33="Detectivo",AC33="Manual"),"30%",IF(AND(AB33="Correctivo",AC33="Automático"),"35%",IF(AND(AB33="Correctivo",AC33="Manual"),"25%",""))))))</f>
        <v/>
      </c>
      <c r="AE33" s="151"/>
      <c r="AF33" s="151"/>
      <c r="AG33" s="151"/>
      <c r="AH33" s="153" t="str">
        <f>IFERROR(IF(AA33="Probabilidad",(M33-(+M33*AD33)),IF(AA33="Impacto",M33,"")),"")</f>
        <v/>
      </c>
      <c r="AI33" s="154" t="str">
        <f>IFERROR(IF(AH33="","",IF(AH33&lt;=0.2,"Muy Baja",IF(AH33&lt;=0.4,"Baja",IF(AH33&lt;=0.6,"Media",IF(AH33&lt;=0.8,"Alta","Muy Alta"))))),"")</f>
        <v/>
      </c>
      <c r="AJ33" s="155" t="str">
        <f>+AH33</f>
        <v/>
      </c>
      <c r="AK33" s="154" t="str">
        <f>IFERROR(IF(AL33="","",IF(AL33&lt;=0.2,"Leve",IF(AL33&lt;=0.4,"Menor",IF(AL33&lt;=0.6,"Moderado",IF(AL33&lt;=0.8,"Mayor","Catastrófico"))))),"")</f>
        <v/>
      </c>
      <c r="AL33" s="155" t="str">
        <f>IFERROR(IF(AA33="Impacto",(Q33-(+Q33*AD33)),IF(AA33="Probabilidad",Q33,"")),"")</f>
        <v/>
      </c>
      <c r="AM33" s="156" t="str">
        <f>IFERROR(IF(OR(AND(AI33="Muy Baja",AK33="Leve"),AND(AI33="Muy Baja",AK33="Menor"),AND(AI33="Baja",AK33="Leve")),"Bajo",IF(OR(AND(AI33="Muy baja",AK33="Moderado"),AND(AI33="Baja",AK33="Menor"),AND(AI33="Baja",AK33="Moderado"),AND(AI33="Media",AK33="Leve"),AND(AI33="Media",AK33="Menor"),AND(AI33="Media",AK33="Moderado"),AND(AI33="Alta",AK33="Leve"),AND(AI33="Alta",AK33="Menor")),"Moderado",IF(OR(AND(AI33="Muy Baja",AK33="Mayor"),AND(AI33="Baja",AK33="Mayor"),AND(AI33="Media",AK33="Mayor"),AND(AI33="Alta",AK33="Moderado"),AND(AI33="Alta",AK33="Mayor"),AND(AI33="Muy Alta",AK33="Leve"),AND(AI33="Muy Alta",AK33="Menor"),AND(AI33="Muy Alta",AK33="Moderado"),AND(AI33="Muy Alta",AK33="Mayor")),"Alto",IF(OR(AND(AI33="Muy Baja",AK33="Catastrófico"),AND(AI33="Baja",AK33="Catastrófico"),AND(AI33="Media",AK33="Catastrófico"),AND(AI33="Alta",AK33="Catastrófico"),AND(AI33="Muy Alta",AK33="Catastrófico")),"Extremo","")))),"")</f>
        <v/>
      </c>
      <c r="AN33" s="157"/>
      <c r="AO33" s="120"/>
      <c r="AP33" s="120"/>
      <c r="AQ33" s="120"/>
      <c r="AR33" s="120"/>
      <c r="AS33" s="120"/>
      <c r="AT33" s="120"/>
      <c r="AU33" s="142"/>
      <c r="AV33" s="122"/>
      <c r="AW33" s="123"/>
      <c r="AX33" s="123"/>
      <c r="AY33" s="121"/>
      <c r="AZ33" s="143"/>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row>
    <row r="34" spans="1:84" ht="151.5" customHeight="1" x14ac:dyDescent="0.3">
      <c r="A34" s="218"/>
      <c r="B34" s="125"/>
      <c r="C34" s="212"/>
      <c r="D34" s="128"/>
      <c r="E34" s="212"/>
      <c r="F34" s="212"/>
      <c r="G34" s="222"/>
      <c r="H34" s="131"/>
      <c r="I34" s="131"/>
      <c r="J34" s="212"/>
      <c r="K34" s="214"/>
      <c r="L34" s="216"/>
      <c r="M34" s="226"/>
      <c r="N34" s="228"/>
      <c r="O34" s="226">
        <f t="shared" ref="O34:O38" si="32">IF(NOT(ISERROR(MATCH(N34,_xlfn.ANCHORARRAY(G45),0))),M47&amp;"Por favor no seleccionar los criterios de impacto",N34)</f>
        <v>0</v>
      </c>
      <c r="P34" s="216"/>
      <c r="Q34" s="226"/>
      <c r="R34" s="224"/>
      <c r="S34" s="146"/>
      <c r="T34" s="146" t="str">
        <f t="shared" si="5"/>
        <v/>
      </c>
      <c r="U34" s="146"/>
      <c r="V34" s="146" t="str">
        <f t="shared" si="6"/>
        <v/>
      </c>
      <c r="W34" s="146" t="str">
        <f t="shared" si="7"/>
        <v/>
      </c>
      <c r="X34" s="146" t="str">
        <f t="shared" si="8"/>
        <v/>
      </c>
      <c r="Y34" s="6">
        <v>2</v>
      </c>
      <c r="Z34" s="149"/>
      <c r="AA34" s="150" t="str">
        <f>IF(OR(AB34="Preventivo",AB34="Detectivo"),"Probabilidad",IF(AB34="Correctivo","Impacto",""))</f>
        <v/>
      </c>
      <c r="AB34" s="151"/>
      <c r="AC34" s="151"/>
      <c r="AD34" s="152" t="str">
        <f t="shared" ref="AD34:AD38" si="33">IF(AND(AB34="Preventivo",AC34="Automático"),"50%",IF(AND(AB34="Preventivo",AC34="Manual"),"40%",IF(AND(AB34="Detectivo",AC34="Automático"),"40%",IF(AND(AB34="Detectivo",AC34="Manual"),"30%",IF(AND(AB34="Correctivo",AC34="Automático"),"35%",IF(AND(AB34="Correctivo",AC34="Manual"),"25%",""))))))</f>
        <v/>
      </c>
      <c r="AE34" s="151"/>
      <c r="AF34" s="151"/>
      <c r="AG34" s="151"/>
      <c r="AH34" s="153" t="str">
        <f>IFERROR(IF(AND(AA33="Probabilidad",AA34="Probabilidad"),(AJ33-(+AJ33*AD34)),IF(AA34="Probabilidad",(M33-(+M33*AD34)),IF(AA34="Impacto",AJ33,""))),"")</f>
        <v/>
      </c>
      <c r="AI34" s="154" t="str">
        <f t="shared" si="1"/>
        <v/>
      </c>
      <c r="AJ34" s="155" t="str">
        <f t="shared" ref="AJ34:AJ38" si="34">+AH34</f>
        <v/>
      </c>
      <c r="AK34" s="154" t="str">
        <f t="shared" si="3"/>
        <v/>
      </c>
      <c r="AL34" s="155" t="str">
        <f>IFERROR(IF(AND(AA33="Impacto",AA34="Impacto"),(AL33-(+AL33*AD34)),IF(AA34="Impacto",(Q33-(+Q33*AD34)),IF(AA34="Probabilidad",AL33,""))),"")</f>
        <v/>
      </c>
      <c r="AM34" s="156" t="str">
        <f t="shared" ref="AM34:AM35" si="35">IFERROR(IF(OR(AND(AI34="Muy Baja",AK34="Leve"),AND(AI34="Muy Baja",AK34="Menor"),AND(AI34="Baja",AK34="Leve")),"Bajo",IF(OR(AND(AI34="Muy baja",AK34="Moderado"),AND(AI34="Baja",AK34="Menor"),AND(AI34="Baja",AK34="Moderado"),AND(AI34="Media",AK34="Leve"),AND(AI34="Media",AK34="Menor"),AND(AI34="Media",AK34="Moderado"),AND(AI34="Alta",AK34="Leve"),AND(AI34="Alta",AK34="Menor")),"Moderado",IF(OR(AND(AI34="Muy Baja",AK34="Mayor"),AND(AI34="Baja",AK34="Mayor"),AND(AI34="Media",AK34="Mayor"),AND(AI34="Alta",AK34="Moderado"),AND(AI34="Alta",AK34="Mayor"),AND(AI34="Muy Alta",AK34="Leve"),AND(AI34="Muy Alta",AK34="Menor"),AND(AI34="Muy Alta",AK34="Moderado"),AND(AI34="Muy Alta",AK34="Mayor")),"Alto",IF(OR(AND(AI34="Muy Baja",AK34="Catastrófico"),AND(AI34="Baja",AK34="Catastrófico"),AND(AI34="Media",AK34="Catastrófico"),AND(AI34="Alta",AK34="Catastrófico"),AND(AI34="Muy Alta",AK34="Catastrófico")),"Extremo","")))),"")</f>
        <v/>
      </c>
      <c r="AN34" s="157"/>
      <c r="AO34" s="120"/>
      <c r="AP34" s="120"/>
      <c r="AQ34" s="120"/>
      <c r="AR34" s="120"/>
      <c r="AS34" s="120"/>
      <c r="AT34" s="120"/>
      <c r="AU34" s="142"/>
      <c r="AV34" s="122"/>
      <c r="AW34" s="123"/>
      <c r="AX34" s="123"/>
      <c r="AY34" s="121"/>
      <c r="AZ34" s="143"/>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row>
    <row r="35" spans="1:84" ht="151.5" customHeight="1" x14ac:dyDescent="0.3">
      <c r="A35" s="218"/>
      <c r="B35" s="125"/>
      <c r="C35" s="212"/>
      <c r="D35" s="128"/>
      <c r="E35" s="212"/>
      <c r="F35" s="212"/>
      <c r="G35" s="222"/>
      <c r="H35" s="131"/>
      <c r="I35" s="131"/>
      <c r="J35" s="212"/>
      <c r="K35" s="214"/>
      <c r="L35" s="216"/>
      <c r="M35" s="226"/>
      <c r="N35" s="228"/>
      <c r="O35" s="226">
        <f t="shared" si="32"/>
        <v>0</v>
      </c>
      <c r="P35" s="216"/>
      <c r="Q35" s="226"/>
      <c r="R35" s="224"/>
      <c r="S35" s="146"/>
      <c r="T35" s="146" t="str">
        <f t="shared" si="5"/>
        <v/>
      </c>
      <c r="U35" s="146"/>
      <c r="V35" s="146" t="str">
        <f t="shared" si="6"/>
        <v/>
      </c>
      <c r="W35" s="146" t="str">
        <f t="shared" si="7"/>
        <v/>
      </c>
      <c r="X35" s="146" t="str">
        <f t="shared" si="8"/>
        <v/>
      </c>
      <c r="Y35" s="6">
        <v>3</v>
      </c>
      <c r="Z35" s="143"/>
      <c r="AA35" s="150" t="str">
        <f>IF(OR(AB35="Preventivo",AB35="Detectivo"),"Probabilidad",IF(AB35="Correctivo","Impacto",""))</f>
        <v/>
      </c>
      <c r="AB35" s="151"/>
      <c r="AC35" s="151"/>
      <c r="AD35" s="152" t="str">
        <f t="shared" si="33"/>
        <v/>
      </c>
      <c r="AE35" s="151"/>
      <c r="AF35" s="151"/>
      <c r="AG35" s="151"/>
      <c r="AH35" s="153" t="str">
        <f>IFERROR(IF(AND(AA34="Probabilidad",AA35="Probabilidad"),(AJ34-(+AJ34*AD35)),IF(AND(AA34="Impacto",AA35="Probabilidad"),(AJ33-(+AJ33*AD35)),IF(AA35="Impacto",AJ34,""))),"")</f>
        <v/>
      </c>
      <c r="AI35" s="154" t="str">
        <f t="shared" si="1"/>
        <v/>
      </c>
      <c r="AJ35" s="155" t="str">
        <f t="shared" si="34"/>
        <v/>
      </c>
      <c r="AK35" s="154" t="str">
        <f t="shared" si="3"/>
        <v/>
      </c>
      <c r="AL35" s="155" t="str">
        <f>IFERROR(IF(AND(AA34="Impacto",AA35="Impacto"),(AL34-(+AL34*AD35)),IF(AND(AA34="Probabilidad",AA35="Impacto"),(AL33-(+AL33*AD35)),IF(AA35="Probabilidad",AL34,""))),"")</f>
        <v/>
      </c>
      <c r="AM35" s="156" t="str">
        <f t="shared" si="35"/>
        <v/>
      </c>
      <c r="AN35" s="157"/>
      <c r="AO35" s="120"/>
      <c r="AP35" s="120"/>
      <c r="AQ35" s="120"/>
      <c r="AR35" s="120"/>
      <c r="AS35" s="120"/>
      <c r="AT35" s="120"/>
      <c r="AU35" s="142"/>
      <c r="AV35" s="122"/>
      <c r="AW35" s="123"/>
      <c r="AX35" s="123"/>
      <c r="AY35" s="121"/>
      <c r="AZ35" s="143"/>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row>
    <row r="36" spans="1:84" ht="151.5" customHeight="1" x14ac:dyDescent="0.3">
      <c r="A36" s="218"/>
      <c r="B36" s="125"/>
      <c r="C36" s="212"/>
      <c r="D36" s="128"/>
      <c r="E36" s="212"/>
      <c r="F36" s="212"/>
      <c r="G36" s="222"/>
      <c r="H36" s="131"/>
      <c r="I36" s="131"/>
      <c r="J36" s="212"/>
      <c r="K36" s="214"/>
      <c r="L36" s="216"/>
      <c r="M36" s="226"/>
      <c r="N36" s="228"/>
      <c r="O36" s="226">
        <f t="shared" si="32"/>
        <v>0</v>
      </c>
      <c r="P36" s="216"/>
      <c r="Q36" s="226"/>
      <c r="R36" s="224"/>
      <c r="S36" s="146"/>
      <c r="T36" s="146" t="str">
        <f t="shared" si="5"/>
        <v/>
      </c>
      <c r="U36" s="146"/>
      <c r="V36" s="146" t="str">
        <f t="shared" si="6"/>
        <v/>
      </c>
      <c r="W36" s="146" t="str">
        <f t="shared" si="7"/>
        <v/>
      </c>
      <c r="X36" s="146" t="str">
        <f t="shared" si="8"/>
        <v/>
      </c>
      <c r="Y36" s="6">
        <v>4</v>
      </c>
      <c r="Z36" s="149"/>
      <c r="AA36" s="150" t="str">
        <f t="shared" ref="AA36:AA38" si="36">IF(OR(AB36="Preventivo",AB36="Detectivo"),"Probabilidad",IF(AB36="Correctivo","Impacto",""))</f>
        <v/>
      </c>
      <c r="AB36" s="151"/>
      <c r="AC36" s="151"/>
      <c r="AD36" s="152" t="str">
        <f t="shared" si="33"/>
        <v/>
      </c>
      <c r="AE36" s="151"/>
      <c r="AF36" s="151"/>
      <c r="AG36" s="151"/>
      <c r="AH36" s="153" t="str">
        <f t="shared" ref="AH36:AH38" si="37">IFERROR(IF(AND(AA35="Probabilidad",AA36="Probabilidad"),(AJ35-(+AJ35*AD36)),IF(AND(AA35="Impacto",AA36="Probabilidad"),(AJ34-(+AJ34*AD36)),IF(AA36="Impacto",AJ35,""))),"")</f>
        <v/>
      </c>
      <c r="AI36" s="154" t="str">
        <f t="shared" si="1"/>
        <v/>
      </c>
      <c r="AJ36" s="155" t="str">
        <f t="shared" si="34"/>
        <v/>
      </c>
      <c r="AK36" s="154" t="str">
        <f t="shared" si="3"/>
        <v/>
      </c>
      <c r="AL36" s="155" t="str">
        <f t="shared" ref="AL36:AL38" si="38">IFERROR(IF(AND(AA35="Impacto",AA36="Impacto"),(AL35-(+AL35*AD36)),IF(AND(AA35="Probabilidad",AA36="Impacto"),(AL34-(+AL34*AD36)),IF(AA36="Probabilidad",AL35,""))),"")</f>
        <v/>
      </c>
      <c r="AM36" s="156" t="str">
        <f>IFERROR(IF(OR(AND(AI36="Muy Baja",AK36="Leve"),AND(AI36="Muy Baja",AK36="Menor"),AND(AI36="Baja",AK36="Leve")),"Bajo",IF(OR(AND(AI36="Muy baja",AK36="Moderado"),AND(AI36="Baja",AK36="Menor"),AND(AI36="Baja",AK36="Moderado"),AND(AI36="Media",AK36="Leve"),AND(AI36="Media",AK36="Menor"),AND(AI36="Media",AK36="Moderado"),AND(AI36="Alta",AK36="Leve"),AND(AI36="Alta",AK36="Menor")),"Moderado",IF(OR(AND(AI36="Muy Baja",AK36="Mayor"),AND(AI36="Baja",AK36="Mayor"),AND(AI36="Media",AK36="Mayor"),AND(AI36="Alta",AK36="Moderado"),AND(AI36="Alta",AK36="Mayor"),AND(AI36="Muy Alta",AK36="Leve"),AND(AI36="Muy Alta",AK36="Menor"),AND(AI36="Muy Alta",AK36="Moderado"),AND(AI36="Muy Alta",AK36="Mayor")),"Alto",IF(OR(AND(AI36="Muy Baja",AK36="Catastrófico"),AND(AI36="Baja",AK36="Catastrófico"),AND(AI36="Media",AK36="Catastrófico"),AND(AI36="Alta",AK36="Catastrófico"),AND(AI36="Muy Alta",AK36="Catastrófico")),"Extremo","")))),"")</f>
        <v/>
      </c>
      <c r="AN36" s="157"/>
      <c r="AO36" s="120"/>
      <c r="AP36" s="120"/>
      <c r="AQ36" s="120"/>
      <c r="AR36" s="120"/>
      <c r="AS36" s="120"/>
      <c r="AT36" s="120"/>
      <c r="AU36" s="142"/>
      <c r="AV36" s="122"/>
      <c r="AW36" s="123"/>
      <c r="AX36" s="123"/>
      <c r="AY36" s="121"/>
      <c r="AZ36" s="143"/>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row>
    <row r="37" spans="1:84" ht="151.5" customHeight="1" x14ac:dyDescent="0.3">
      <c r="A37" s="218"/>
      <c r="B37" s="125"/>
      <c r="C37" s="212"/>
      <c r="D37" s="128"/>
      <c r="E37" s="212"/>
      <c r="F37" s="212"/>
      <c r="G37" s="222"/>
      <c r="H37" s="131"/>
      <c r="I37" s="131"/>
      <c r="J37" s="212"/>
      <c r="K37" s="214"/>
      <c r="L37" s="216"/>
      <c r="M37" s="226"/>
      <c r="N37" s="228"/>
      <c r="O37" s="226">
        <f t="shared" si="32"/>
        <v>0</v>
      </c>
      <c r="P37" s="216"/>
      <c r="Q37" s="226"/>
      <c r="R37" s="224"/>
      <c r="S37" s="146"/>
      <c r="T37" s="146" t="str">
        <f t="shared" si="5"/>
        <v/>
      </c>
      <c r="U37" s="146"/>
      <c r="V37" s="146" t="str">
        <f t="shared" si="6"/>
        <v/>
      </c>
      <c r="W37" s="146" t="str">
        <f t="shared" si="7"/>
        <v/>
      </c>
      <c r="X37" s="146" t="str">
        <f t="shared" si="8"/>
        <v/>
      </c>
      <c r="Y37" s="6">
        <v>5</v>
      </c>
      <c r="Z37" s="149"/>
      <c r="AA37" s="150" t="str">
        <f t="shared" si="36"/>
        <v/>
      </c>
      <c r="AB37" s="151"/>
      <c r="AC37" s="151"/>
      <c r="AD37" s="152" t="str">
        <f t="shared" si="33"/>
        <v/>
      </c>
      <c r="AE37" s="151"/>
      <c r="AF37" s="151"/>
      <c r="AG37" s="151"/>
      <c r="AH37" s="153" t="str">
        <f t="shared" si="37"/>
        <v/>
      </c>
      <c r="AI37" s="154" t="str">
        <f t="shared" si="1"/>
        <v/>
      </c>
      <c r="AJ37" s="155" t="str">
        <f t="shared" si="34"/>
        <v/>
      </c>
      <c r="AK37" s="154" t="str">
        <f t="shared" si="3"/>
        <v/>
      </c>
      <c r="AL37" s="155" t="str">
        <f t="shared" si="38"/>
        <v/>
      </c>
      <c r="AM37" s="156" t="str">
        <f t="shared" ref="AM37:AM38" si="39">IFERROR(IF(OR(AND(AI37="Muy Baja",AK37="Leve"),AND(AI37="Muy Baja",AK37="Menor"),AND(AI37="Baja",AK37="Leve")),"Bajo",IF(OR(AND(AI37="Muy baja",AK37="Moderado"),AND(AI37="Baja",AK37="Menor"),AND(AI37="Baja",AK37="Moderado"),AND(AI37="Media",AK37="Leve"),AND(AI37="Media",AK37="Menor"),AND(AI37="Media",AK37="Moderado"),AND(AI37="Alta",AK37="Leve"),AND(AI37="Alta",AK37="Menor")),"Moderado",IF(OR(AND(AI37="Muy Baja",AK37="Mayor"),AND(AI37="Baja",AK37="Mayor"),AND(AI37="Media",AK37="Mayor"),AND(AI37="Alta",AK37="Moderado"),AND(AI37="Alta",AK37="Mayor"),AND(AI37="Muy Alta",AK37="Leve"),AND(AI37="Muy Alta",AK37="Menor"),AND(AI37="Muy Alta",AK37="Moderado"),AND(AI37="Muy Alta",AK37="Mayor")),"Alto",IF(OR(AND(AI37="Muy Baja",AK37="Catastrófico"),AND(AI37="Baja",AK37="Catastrófico"),AND(AI37="Media",AK37="Catastrófico"),AND(AI37="Alta",AK37="Catastrófico"),AND(AI37="Muy Alta",AK37="Catastrófico")),"Extremo","")))),"")</f>
        <v/>
      </c>
      <c r="AN37" s="157"/>
      <c r="AO37" s="120"/>
      <c r="AP37" s="120"/>
      <c r="AQ37" s="120"/>
      <c r="AR37" s="120"/>
      <c r="AS37" s="120"/>
      <c r="AT37" s="120"/>
      <c r="AU37" s="142"/>
      <c r="AV37" s="122"/>
      <c r="AW37" s="123"/>
      <c r="AX37" s="123"/>
      <c r="AY37" s="121"/>
      <c r="AZ37" s="143"/>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row>
    <row r="38" spans="1:84" ht="151.5" customHeight="1" x14ac:dyDescent="0.3">
      <c r="A38" s="238"/>
      <c r="B38" s="126"/>
      <c r="C38" s="231"/>
      <c r="D38" s="129"/>
      <c r="E38" s="231"/>
      <c r="F38" s="231"/>
      <c r="G38" s="232"/>
      <c r="H38" s="132"/>
      <c r="I38" s="132"/>
      <c r="J38" s="231"/>
      <c r="K38" s="236"/>
      <c r="L38" s="234"/>
      <c r="M38" s="233"/>
      <c r="N38" s="237"/>
      <c r="O38" s="233">
        <f t="shared" si="32"/>
        <v>0</v>
      </c>
      <c r="P38" s="234"/>
      <c r="Q38" s="233"/>
      <c r="R38" s="235"/>
      <c r="S38" s="146"/>
      <c r="T38" s="146" t="str">
        <f t="shared" si="5"/>
        <v/>
      </c>
      <c r="U38" s="146"/>
      <c r="V38" s="146" t="str">
        <f t="shared" si="6"/>
        <v/>
      </c>
      <c r="W38" s="146" t="str">
        <f t="shared" si="7"/>
        <v/>
      </c>
      <c r="X38" s="146" t="str">
        <f t="shared" si="8"/>
        <v/>
      </c>
      <c r="Y38" s="6">
        <v>6</v>
      </c>
      <c r="Z38" s="149"/>
      <c r="AA38" s="150" t="str">
        <f t="shared" si="36"/>
        <v/>
      </c>
      <c r="AB38" s="151"/>
      <c r="AC38" s="151"/>
      <c r="AD38" s="152" t="str">
        <f t="shared" si="33"/>
        <v/>
      </c>
      <c r="AE38" s="151"/>
      <c r="AF38" s="151"/>
      <c r="AG38" s="151"/>
      <c r="AH38" s="153" t="str">
        <f t="shared" si="37"/>
        <v/>
      </c>
      <c r="AI38" s="154" t="str">
        <f t="shared" si="1"/>
        <v/>
      </c>
      <c r="AJ38" s="155" t="str">
        <f t="shared" si="34"/>
        <v/>
      </c>
      <c r="AK38" s="154" t="str">
        <f t="shared" si="3"/>
        <v/>
      </c>
      <c r="AL38" s="155" t="str">
        <f t="shared" si="38"/>
        <v/>
      </c>
      <c r="AM38" s="156" t="str">
        <f t="shared" si="39"/>
        <v/>
      </c>
      <c r="AN38" s="157"/>
      <c r="AO38" s="120"/>
      <c r="AP38" s="120"/>
      <c r="AQ38" s="120"/>
      <c r="AR38" s="120"/>
      <c r="AS38" s="120"/>
      <c r="AT38" s="120"/>
      <c r="AU38" s="142"/>
      <c r="AV38" s="122"/>
      <c r="AW38" s="123"/>
      <c r="AX38" s="123"/>
      <c r="AY38" s="121"/>
      <c r="AZ38" s="143"/>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row>
    <row r="39" spans="1:84" ht="151.5" customHeight="1" x14ac:dyDescent="0.3">
      <c r="A39" s="217">
        <v>6</v>
      </c>
      <c r="B39" s="124"/>
      <c r="C39" s="211"/>
      <c r="D39" s="127"/>
      <c r="E39" s="211"/>
      <c r="F39" s="211"/>
      <c r="G39" s="221"/>
      <c r="H39" s="130"/>
      <c r="I39" s="130"/>
      <c r="J39" s="211"/>
      <c r="K39" s="213"/>
      <c r="L39" s="215" t="str">
        <f>IF(K39&lt;=0,"",IF(K39&lt;=2,"Muy Baja",IF(K39&lt;=24,"Baja",IF(K39&lt;=500,"Media",IF(K39&lt;=5000,"Alta","Muy Alta")))))</f>
        <v/>
      </c>
      <c r="M39" s="225" t="str">
        <f>IF(L39="","",IF(L39="Muy Baja",0.2,IF(L39="Baja",0.4,IF(L39="Media",0.6,IF(L39="Alta",0.8,IF(L39="Muy Alta",1,))))))</f>
        <v/>
      </c>
      <c r="N39" s="227"/>
      <c r="O39" s="225">
        <f>IF(NOT(ISERROR(MATCH(N39,'Tabla Impacto'!$B$221:$B$223,0))),'Tabla Impacto'!$F$223&amp;"Por favor no seleccionar los criterios de impacto(Afectación Económica o presupuestal y Pérdida Reputacional)",N39)</f>
        <v>0</v>
      </c>
      <c r="P39" s="215" t="str">
        <f>IF(OR(O39='Tabla Impacto'!$C$11,O39='Tabla Impacto'!$D$11),"Leve",IF(OR(O39='Tabla Impacto'!$C$12,O39='Tabla Impacto'!$D$12),"Menor",IF(OR(O39='Tabla Impacto'!$C$13,O39='Tabla Impacto'!$D$13),"Moderado",IF(OR(O39='Tabla Impacto'!$C$14,O39='Tabla Impacto'!$D$14),"Mayor",IF(OR(O39='Tabla Impacto'!$C$15,O39='Tabla Impacto'!$D$15),"Catastrófico","")))))</f>
        <v/>
      </c>
      <c r="Q39" s="225" t="str">
        <f>IF(P39="","",IF(P39="Leve",0.2,IF(P39="Menor",0.4,IF(P39="Moderado",0.6,IF(P39="Mayor",0.8,IF(P39="Catastrófico",1,))))))</f>
        <v/>
      </c>
      <c r="R39" s="223" t="str">
        <f>IF(OR(AND(L39="Muy Baja",P39="Leve"),AND(L39="Muy Baja",P39="Menor"),AND(L39="Baja",P39="Leve")),"Bajo",IF(OR(AND(L39="Muy baja",P39="Moderado"),AND(L39="Baja",P39="Menor"),AND(L39="Baja",P39="Moderado"),AND(L39="Media",P39="Leve"),AND(L39="Media",P39="Menor"),AND(L39="Media",P39="Moderado"),AND(L39="Alta",P39="Leve"),AND(L39="Alta",P39="Menor")),"Moderado",IF(OR(AND(L39="Muy Baja",P39="Mayor"),AND(L39="Baja",P39="Mayor"),AND(L39="Media",P39="Mayor"),AND(L39="Alta",P39="Moderado"),AND(L39="Alta",P39="Mayor"),AND(L39="Muy Alta",P39="Leve"),AND(L39="Muy Alta",P39="Menor"),AND(L39="Muy Alta",P39="Moderado"),AND(L39="Muy Alta",P39="Mayor")),"Alto",IF(OR(AND(L39="Muy Baja",P39="Catastrófico"),AND(L39="Baja",P39="Catastrófico"),AND(L39="Media",P39="Catastrófico"),AND(L39="Alta",P39="Catastrófico"),AND(L39="Muy Alta",P39="Catastrófico")),"Extremo",""))))</f>
        <v/>
      </c>
      <c r="S39" s="146"/>
      <c r="T39" s="146" t="str">
        <f t="shared" si="5"/>
        <v/>
      </c>
      <c r="U39" s="146"/>
      <c r="V39" s="146" t="str">
        <f t="shared" si="6"/>
        <v/>
      </c>
      <c r="W39" s="146" t="str">
        <f t="shared" si="7"/>
        <v/>
      </c>
      <c r="X39" s="146" t="str">
        <f t="shared" si="8"/>
        <v/>
      </c>
      <c r="Y39" s="6">
        <v>1</v>
      </c>
      <c r="Z39" s="149"/>
      <c r="AA39" s="150" t="str">
        <f>IF(OR(AB39="Preventivo",AB39="Detectivo"),"Probabilidad",IF(AB39="Correctivo","Impacto",""))</f>
        <v/>
      </c>
      <c r="AB39" s="151"/>
      <c r="AC39" s="151"/>
      <c r="AD39" s="152" t="str">
        <f>IF(AND(AB39="Preventivo",AC39="Automático"),"50%",IF(AND(AB39="Preventivo",AC39="Manual"),"40%",IF(AND(AB39="Detectivo",AC39="Automático"),"40%",IF(AND(AB39="Detectivo",AC39="Manual"),"30%",IF(AND(AB39="Correctivo",AC39="Automático"),"35%",IF(AND(AB39="Correctivo",AC39="Manual"),"25%",""))))))</f>
        <v/>
      </c>
      <c r="AE39" s="151"/>
      <c r="AF39" s="151"/>
      <c r="AG39" s="151"/>
      <c r="AH39" s="153" t="str">
        <f>IFERROR(IF(AA39="Probabilidad",(M39-(+M39*AD39)),IF(AA39="Impacto",M39,"")),"")</f>
        <v/>
      </c>
      <c r="AI39" s="154" t="str">
        <f>IFERROR(IF(AH39="","",IF(AH39&lt;=0.2,"Muy Baja",IF(AH39&lt;=0.4,"Baja",IF(AH39&lt;=0.6,"Media",IF(AH39&lt;=0.8,"Alta","Muy Alta"))))),"")</f>
        <v/>
      </c>
      <c r="AJ39" s="155" t="str">
        <f>+AH39</f>
        <v/>
      </c>
      <c r="AK39" s="154" t="str">
        <f>IFERROR(IF(AL39="","",IF(AL39&lt;=0.2,"Leve",IF(AL39&lt;=0.4,"Menor",IF(AL39&lt;=0.6,"Moderado",IF(AL39&lt;=0.8,"Mayor","Catastrófico"))))),"")</f>
        <v/>
      </c>
      <c r="AL39" s="155" t="str">
        <f>IFERROR(IF(AA39="Impacto",(Q39-(+Q39*AD39)),IF(AA39="Probabilidad",Q39,"")),"")</f>
        <v/>
      </c>
      <c r="AM39" s="156" t="str">
        <f>IFERROR(IF(OR(AND(AI39="Muy Baja",AK39="Leve"),AND(AI39="Muy Baja",AK39="Menor"),AND(AI39="Baja",AK39="Leve")),"Bajo",IF(OR(AND(AI39="Muy baja",AK39="Moderado"),AND(AI39="Baja",AK39="Menor"),AND(AI39="Baja",AK39="Moderado"),AND(AI39="Media",AK39="Leve"),AND(AI39="Media",AK39="Menor"),AND(AI39="Media",AK39="Moderado"),AND(AI39="Alta",AK39="Leve"),AND(AI39="Alta",AK39="Menor")),"Moderado",IF(OR(AND(AI39="Muy Baja",AK39="Mayor"),AND(AI39="Baja",AK39="Mayor"),AND(AI39="Media",AK39="Mayor"),AND(AI39="Alta",AK39="Moderado"),AND(AI39="Alta",AK39="Mayor"),AND(AI39="Muy Alta",AK39="Leve"),AND(AI39="Muy Alta",AK39="Menor"),AND(AI39="Muy Alta",AK39="Moderado"),AND(AI39="Muy Alta",AK39="Mayor")),"Alto",IF(OR(AND(AI39="Muy Baja",AK39="Catastrófico"),AND(AI39="Baja",AK39="Catastrófico"),AND(AI39="Media",AK39="Catastrófico"),AND(AI39="Alta",AK39="Catastrófico"),AND(AI39="Muy Alta",AK39="Catastrófico")),"Extremo","")))),"")</f>
        <v/>
      </c>
      <c r="AN39" s="157"/>
      <c r="AO39" s="120"/>
      <c r="AP39" s="120"/>
      <c r="AQ39" s="120"/>
      <c r="AR39" s="120"/>
      <c r="AS39" s="120"/>
      <c r="AT39" s="120"/>
      <c r="AU39" s="142"/>
      <c r="AV39" s="122"/>
      <c r="AW39" s="123"/>
      <c r="AX39" s="123"/>
      <c r="AY39" s="121"/>
      <c r="AZ39" s="143"/>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row>
    <row r="40" spans="1:84" ht="151.5" customHeight="1" x14ac:dyDescent="0.3">
      <c r="A40" s="218"/>
      <c r="B40" s="125"/>
      <c r="C40" s="212"/>
      <c r="D40" s="128"/>
      <c r="E40" s="212"/>
      <c r="F40" s="212"/>
      <c r="G40" s="222"/>
      <c r="H40" s="131"/>
      <c r="I40" s="131"/>
      <c r="J40" s="212"/>
      <c r="K40" s="214"/>
      <c r="L40" s="216"/>
      <c r="M40" s="226"/>
      <c r="N40" s="228"/>
      <c r="O40" s="226">
        <f t="shared" ref="O40:O44" si="40">IF(NOT(ISERROR(MATCH(N40,_xlfn.ANCHORARRAY(G51),0))),M53&amp;"Por favor no seleccionar los criterios de impacto",N40)</f>
        <v>0</v>
      </c>
      <c r="P40" s="216"/>
      <c r="Q40" s="226"/>
      <c r="R40" s="224"/>
      <c r="S40" s="146"/>
      <c r="T40" s="146" t="str">
        <f t="shared" si="5"/>
        <v/>
      </c>
      <c r="U40" s="146"/>
      <c r="V40" s="146" t="str">
        <f t="shared" si="6"/>
        <v/>
      </c>
      <c r="W40" s="146" t="str">
        <f t="shared" si="7"/>
        <v/>
      </c>
      <c r="X40" s="146" t="str">
        <f t="shared" si="8"/>
        <v/>
      </c>
      <c r="Y40" s="6">
        <v>2</v>
      </c>
      <c r="Z40" s="149"/>
      <c r="AA40" s="150" t="str">
        <f>IF(OR(AB40="Preventivo",AB40="Detectivo"),"Probabilidad",IF(AB40="Correctivo","Impacto",""))</f>
        <v/>
      </c>
      <c r="AB40" s="151"/>
      <c r="AC40" s="151"/>
      <c r="AD40" s="152" t="str">
        <f t="shared" ref="AD40:AD44" si="41">IF(AND(AB40="Preventivo",AC40="Automático"),"50%",IF(AND(AB40="Preventivo",AC40="Manual"),"40%",IF(AND(AB40="Detectivo",AC40="Automático"),"40%",IF(AND(AB40="Detectivo",AC40="Manual"),"30%",IF(AND(AB40="Correctivo",AC40="Automático"),"35%",IF(AND(AB40="Correctivo",AC40="Manual"),"25%",""))))))</f>
        <v/>
      </c>
      <c r="AE40" s="151"/>
      <c r="AF40" s="151"/>
      <c r="AG40" s="151"/>
      <c r="AH40" s="153" t="str">
        <f>IFERROR(IF(AND(AA39="Probabilidad",AA40="Probabilidad"),(AJ39-(+AJ39*AD40)),IF(AA40="Probabilidad",(M39-(+M39*AD40)),IF(AA40="Impacto",AJ39,""))),"")</f>
        <v/>
      </c>
      <c r="AI40" s="154" t="str">
        <f t="shared" si="1"/>
        <v/>
      </c>
      <c r="AJ40" s="155" t="str">
        <f t="shared" ref="AJ40:AJ44" si="42">+AH40</f>
        <v/>
      </c>
      <c r="AK40" s="154" t="str">
        <f t="shared" si="3"/>
        <v/>
      </c>
      <c r="AL40" s="155" t="str">
        <f>IFERROR(IF(AND(AA39="Impacto",AA40="Impacto"),(AL39-(+AL39*AD40)),IF(AA40="Impacto",(Q39-(+Q39*AD40)),IF(AA40="Probabilidad",AL39,""))),"")</f>
        <v/>
      </c>
      <c r="AM40" s="156" t="str">
        <f t="shared" ref="AM40:AM41" si="43">IFERROR(IF(OR(AND(AI40="Muy Baja",AK40="Leve"),AND(AI40="Muy Baja",AK40="Menor"),AND(AI40="Baja",AK40="Leve")),"Bajo",IF(OR(AND(AI40="Muy baja",AK40="Moderado"),AND(AI40="Baja",AK40="Menor"),AND(AI40="Baja",AK40="Moderado"),AND(AI40="Media",AK40="Leve"),AND(AI40="Media",AK40="Menor"),AND(AI40="Media",AK40="Moderado"),AND(AI40="Alta",AK40="Leve"),AND(AI40="Alta",AK40="Menor")),"Moderado",IF(OR(AND(AI40="Muy Baja",AK40="Mayor"),AND(AI40="Baja",AK40="Mayor"),AND(AI40="Media",AK40="Mayor"),AND(AI40="Alta",AK40="Moderado"),AND(AI40="Alta",AK40="Mayor"),AND(AI40="Muy Alta",AK40="Leve"),AND(AI40="Muy Alta",AK40="Menor"),AND(AI40="Muy Alta",AK40="Moderado"),AND(AI40="Muy Alta",AK40="Mayor")),"Alto",IF(OR(AND(AI40="Muy Baja",AK40="Catastrófico"),AND(AI40="Baja",AK40="Catastrófico"),AND(AI40="Media",AK40="Catastrófico"),AND(AI40="Alta",AK40="Catastrófico"),AND(AI40="Muy Alta",AK40="Catastrófico")),"Extremo","")))),"")</f>
        <v/>
      </c>
      <c r="AN40" s="157"/>
      <c r="AO40" s="120"/>
      <c r="AP40" s="120"/>
      <c r="AQ40" s="120"/>
      <c r="AR40" s="120"/>
      <c r="AS40" s="120"/>
      <c r="AT40" s="120"/>
      <c r="AU40" s="142"/>
      <c r="AV40" s="122"/>
      <c r="AW40" s="123"/>
      <c r="AX40" s="123"/>
      <c r="AY40" s="121"/>
      <c r="AZ40" s="143"/>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row>
    <row r="41" spans="1:84" ht="151.5" customHeight="1" x14ac:dyDescent="0.3">
      <c r="A41" s="218"/>
      <c r="B41" s="125"/>
      <c r="C41" s="212"/>
      <c r="D41" s="128"/>
      <c r="E41" s="212"/>
      <c r="F41" s="212"/>
      <c r="G41" s="222"/>
      <c r="H41" s="131"/>
      <c r="I41" s="131"/>
      <c r="J41" s="212"/>
      <c r="K41" s="214"/>
      <c r="L41" s="216"/>
      <c r="M41" s="226"/>
      <c r="N41" s="228"/>
      <c r="O41" s="226">
        <f t="shared" si="40"/>
        <v>0</v>
      </c>
      <c r="P41" s="216"/>
      <c r="Q41" s="226"/>
      <c r="R41" s="224"/>
      <c r="S41" s="146"/>
      <c r="T41" s="146" t="str">
        <f t="shared" si="5"/>
        <v/>
      </c>
      <c r="U41" s="146"/>
      <c r="V41" s="146" t="str">
        <f t="shared" si="6"/>
        <v/>
      </c>
      <c r="W41" s="146" t="str">
        <f t="shared" si="7"/>
        <v/>
      </c>
      <c r="X41" s="146" t="str">
        <f t="shared" si="8"/>
        <v/>
      </c>
      <c r="Y41" s="6">
        <v>3</v>
      </c>
      <c r="Z41" s="143"/>
      <c r="AA41" s="150" t="str">
        <f>IF(OR(AB41="Preventivo",AB41="Detectivo"),"Probabilidad",IF(AB41="Correctivo","Impacto",""))</f>
        <v/>
      </c>
      <c r="AB41" s="151"/>
      <c r="AC41" s="151"/>
      <c r="AD41" s="152" t="str">
        <f t="shared" si="41"/>
        <v/>
      </c>
      <c r="AE41" s="151"/>
      <c r="AF41" s="151"/>
      <c r="AG41" s="151"/>
      <c r="AH41" s="153" t="str">
        <f>IFERROR(IF(AND(AA40="Probabilidad",AA41="Probabilidad"),(AJ40-(+AJ40*AD41)),IF(AND(AA40="Impacto",AA41="Probabilidad"),(AJ39-(+AJ39*AD41)),IF(AA41="Impacto",AJ40,""))),"")</f>
        <v/>
      </c>
      <c r="AI41" s="154" t="str">
        <f t="shared" si="1"/>
        <v/>
      </c>
      <c r="AJ41" s="155" t="str">
        <f t="shared" si="42"/>
        <v/>
      </c>
      <c r="AK41" s="154" t="str">
        <f t="shared" si="3"/>
        <v/>
      </c>
      <c r="AL41" s="155" t="str">
        <f>IFERROR(IF(AND(AA40="Impacto",AA41="Impacto"),(AL40-(+AL40*AD41)),IF(AND(AA40="Probabilidad",AA41="Impacto"),(AL39-(+AL39*AD41)),IF(AA41="Probabilidad",AL40,""))),"")</f>
        <v/>
      </c>
      <c r="AM41" s="156" t="str">
        <f t="shared" si="43"/>
        <v/>
      </c>
      <c r="AN41" s="157"/>
      <c r="AO41" s="120"/>
      <c r="AP41" s="120"/>
      <c r="AQ41" s="120"/>
      <c r="AR41" s="120"/>
      <c r="AS41" s="120"/>
      <c r="AT41" s="120"/>
      <c r="AU41" s="142"/>
      <c r="AV41" s="122"/>
      <c r="AW41" s="123"/>
      <c r="AX41" s="123"/>
      <c r="AY41" s="121"/>
      <c r="AZ41" s="143"/>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row>
    <row r="42" spans="1:84" ht="151.5" customHeight="1" x14ac:dyDescent="0.3">
      <c r="A42" s="218"/>
      <c r="B42" s="125"/>
      <c r="C42" s="212"/>
      <c r="D42" s="128"/>
      <c r="E42" s="212"/>
      <c r="F42" s="212"/>
      <c r="G42" s="222"/>
      <c r="H42" s="131"/>
      <c r="I42" s="131"/>
      <c r="J42" s="212"/>
      <c r="K42" s="214"/>
      <c r="L42" s="216"/>
      <c r="M42" s="226"/>
      <c r="N42" s="228"/>
      <c r="O42" s="226">
        <f t="shared" si="40"/>
        <v>0</v>
      </c>
      <c r="P42" s="216"/>
      <c r="Q42" s="226"/>
      <c r="R42" s="224"/>
      <c r="S42" s="146"/>
      <c r="T42" s="146" t="str">
        <f t="shared" si="5"/>
        <v/>
      </c>
      <c r="U42" s="146"/>
      <c r="V42" s="146" t="str">
        <f t="shared" si="6"/>
        <v/>
      </c>
      <c r="W42" s="146" t="str">
        <f t="shared" si="7"/>
        <v/>
      </c>
      <c r="X42" s="146" t="str">
        <f t="shared" si="8"/>
        <v/>
      </c>
      <c r="Y42" s="6">
        <v>4</v>
      </c>
      <c r="Z42" s="149"/>
      <c r="AA42" s="150" t="str">
        <f t="shared" ref="AA42:AA44" si="44">IF(OR(AB42="Preventivo",AB42="Detectivo"),"Probabilidad",IF(AB42="Correctivo","Impacto",""))</f>
        <v/>
      </c>
      <c r="AB42" s="151"/>
      <c r="AC42" s="151"/>
      <c r="AD42" s="152" t="str">
        <f t="shared" si="41"/>
        <v/>
      </c>
      <c r="AE42" s="151"/>
      <c r="AF42" s="151"/>
      <c r="AG42" s="151"/>
      <c r="AH42" s="153" t="str">
        <f t="shared" ref="AH42:AH44" si="45">IFERROR(IF(AND(AA41="Probabilidad",AA42="Probabilidad"),(AJ41-(+AJ41*AD42)),IF(AND(AA41="Impacto",AA42="Probabilidad"),(AJ40-(+AJ40*AD42)),IF(AA42="Impacto",AJ41,""))),"")</f>
        <v/>
      </c>
      <c r="AI42" s="154" t="str">
        <f t="shared" si="1"/>
        <v/>
      </c>
      <c r="AJ42" s="155" t="str">
        <f t="shared" si="42"/>
        <v/>
      </c>
      <c r="AK42" s="154" t="str">
        <f t="shared" si="3"/>
        <v/>
      </c>
      <c r="AL42" s="155" t="str">
        <f t="shared" ref="AL42:AL44" si="46">IFERROR(IF(AND(AA41="Impacto",AA42="Impacto"),(AL41-(+AL41*AD42)),IF(AND(AA41="Probabilidad",AA42="Impacto"),(AL40-(+AL40*AD42)),IF(AA42="Probabilidad",AL41,""))),"")</f>
        <v/>
      </c>
      <c r="AM42" s="156" t="str">
        <f>IFERROR(IF(OR(AND(AI42="Muy Baja",AK42="Leve"),AND(AI42="Muy Baja",AK42="Menor"),AND(AI42="Baja",AK42="Leve")),"Bajo",IF(OR(AND(AI42="Muy baja",AK42="Moderado"),AND(AI42="Baja",AK42="Menor"),AND(AI42="Baja",AK42="Moderado"),AND(AI42="Media",AK42="Leve"),AND(AI42="Media",AK42="Menor"),AND(AI42="Media",AK42="Moderado"),AND(AI42="Alta",AK42="Leve"),AND(AI42="Alta",AK42="Menor")),"Moderado",IF(OR(AND(AI42="Muy Baja",AK42="Mayor"),AND(AI42="Baja",AK42="Mayor"),AND(AI42="Media",AK42="Mayor"),AND(AI42="Alta",AK42="Moderado"),AND(AI42="Alta",AK42="Mayor"),AND(AI42="Muy Alta",AK42="Leve"),AND(AI42="Muy Alta",AK42="Menor"),AND(AI42="Muy Alta",AK42="Moderado"),AND(AI42="Muy Alta",AK42="Mayor")),"Alto",IF(OR(AND(AI42="Muy Baja",AK42="Catastrófico"),AND(AI42="Baja",AK42="Catastrófico"),AND(AI42="Media",AK42="Catastrófico"),AND(AI42="Alta",AK42="Catastrófico"),AND(AI42="Muy Alta",AK42="Catastrófico")),"Extremo","")))),"")</f>
        <v/>
      </c>
      <c r="AN42" s="157"/>
      <c r="AO42" s="120"/>
      <c r="AP42" s="120"/>
      <c r="AQ42" s="120"/>
      <c r="AR42" s="120"/>
      <c r="AS42" s="120"/>
      <c r="AT42" s="120"/>
      <c r="AU42" s="142"/>
      <c r="AV42" s="122"/>
      <c r="AW42" s="123"/>
      <c r="AX42" s="123"/>
      <c r="AY42" s="121"/>
      <c r="AZ42" s="143"/>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row>
    <row r="43" spans="1:84" ht="151.5" customHeight="1" x14ac:dyDescent="0.3">
      <c r="A43" s="218"/>
      <c r="B43" s="125"/>
      <c r="C43" s="212"/>
      <c r="D43" s="128"/>
      <c r="E43" s="212"/>
      <c r="F43" s="212"/>
      <c r="G43" s="222"/>
      <c r="H43" s="131"/>
      <c r="I43" s="131"/>
      <c r="J43" s="212"/>
      <c r="K43" s="214"/>
      <c r="L43" s="216"/>
      <c r="M43" s="226"/>
      <c r="N43" s="228"/>
      <c r="O43" s="226">
        <f t="shared" si="40"/>
        <v>0</v>
      </c>
      <c r="P43" s="216"/>
      <c r="Q43" s="226"/>
      <c r="R43" s="224"/>
      <c r="S43" s="146"/>
      <c r="T43" s="146" t="str">
        <f t="shared" si="5"/>
        <v/>
      </c>
      <c r="U43" s="146"/>
      <c r="V43" s="146" t="str">
        <f t="shared" si="6"/>
        <v/>
      </c>
      <c r="W43" s="146" t="str">
        <f t="shared" si="7"/>
        <v/>
      </c>
      <c r="X43" s="146" t="str">
        <f t="shared" si="8"/>
        <v/>
      </c>
      <c r="Y43" s="6">
        <v>5</v>
      </c>
      <c r="Z43" s="149"/>
      <c r="AA43" s="150" t="str">
        <f t="shared" si="44"/>
        <v/>
      </c>
      <c r="AB43" s="151"/>
      <c r="AC43" s="151"/>
      <c r="AD43" s="152" t="str">
        <f t="shared" si="41"/>
        <v/>
      </c>
      <c r="AE43" s="151"/>
      <c r="AF43" s="151"/>
      <c r="AG43" s="151"/>
      <c r="AH43" s="153" t="str">
        <f t="shared" si="45"/>
        <v/>
      </c>
      <c r="AI43" s="154" t="str">
        <f t="shared" si="1"/>
        <v/>
      </c>
      <c r="AJ43" s="155" t="str">
        <f t="shared" si="42"/>
        <v/>
      </c>
      <c r="AK43" s="154" t="str">
        <f t="shared" si="3"/>
        <v/>
      </c>
      <c r="AL43" s="155" t="str">
        <f t="shared" si="46"/>
        <v/>
      </c>
      <c r="AM43" s="156" t="str">
        <f t="shared" ref="AM43" si="47">IFERROR(IF(OR(AND(AI43="Muy Baja",AK43="Leve"),AND(AI43="Muy Baja",AK43="Menor"),AND(AI43="Baja",AK43="Leve")),"Bajo",IF(OR(AND(AI43="Muy baja",AK43="Moderado"),AND(AI43="Baja",AK43="Menor"),AND(AI43="Baja",AK43="Moderado"),AND(AI43="Media",AK43="Leve"),AND(AI43="Media",AK43="Menor"),AND(AI43="Media",AK43="Moderado"),AND(AI43="Alta",AK43="Leve"),AND(AI43="Alta",AK43="Menor")),"Moderado",IF(OR(AND(AI43="Muy Baja",AK43="Mayor"),AND(AI43="Baja",AK43="Mayor"),AND(AI43="Media",AK43="Mayor"),AND(AI43="Alta",AK43="Moderado"),AND(AI43="Alta",AK43="Mayor"),AND(AI43="Muy Alta",AK43="Leve"),AND(AI43="Muy Alta",AK43="Menor"),AND(AI43="Muy Alta",AK43="Moderado"),AND(AI43="Muy Alta",AK43="Mayor")),"Alto",IF(OR(AND(AI43="Muy Baja",AK43="Catastrófico"),AND(AI43="Baja",AK43="Catastrófico"),AND(AI43="Media",AK43="Catastrófico"),AND(AI43="Alta",AK43="Catastrófico"),AND(AI43="Muy Alta",AK43="Catastrófico")),"Extremo","")))),"")</f>
        <v/>
      </c>
      <c r="AN43" s="157"/>
      <c r="AO43" s="120"/>
      <c r="AP43" s="120"/>
      <c r="AQ43" s="120"/>
      <c r="AR43" s="120"/>
      <c r="AS43" s="120"/>
      <c r="AT43" s="120"/>
      <c r="AU43" s="142"/>
      <c r="AV43" s="122"/>
      <c r="AW43" s="123"/>
      <c r="AX43" s="123"/>
      <c r="AY43" s="121"/>
      <c r="AZ43" s="143"/>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row>
    <row r="44" spans="1:84" ht="151.5" customHeight="1" x14ac:dyDescent="0.3">
      <c r="A44" s="238"/>
      <c r="B44" s="126"/>
      <c r="C44" s="231"/>
      <c r="D44" s="129"/>
      <c r="E44" s="231"/>
      <c r="F44" s="231"/>
      <c r="G44" s="232"/>
      <c r="H44" s="132"/>
      <c r="I44" s="132"/>
      <c r="J44" s="231"/>
      <c r="K44" s="236"/>
      <c r="L44" s="234"/>
      <c r="M44" s="233"/>
      <c r="N44" s="237"/>
      <c r="O44" s="233">
        <f t="shared" si="40"/>
        <v>0</v>
      </c>
      <c r="P44" s="234"/>
      <c r="Q44" s="233"/>
      <c r="R44" s="235"/>
      <c r="S44" s="146"/>
      <c r="T44" s="146" t="str">
        <f t="shared" si="5"/>
        <v/>
      </c>
      <c r="U44" s="146"/>
      <c r="V44" s="146" t="str">
        <f t="shared" si="6"/>
        <v/>
      </c>
      <c r="W44" s="146" t="str">
        <f t="shared" si="7"/>
        <v/>
      </c>
      <c r="X44" s="146" t="str">
        <f t="shared" si="8"/>
        <v/>
      </c>
      <c r="Y44" s="6">
        <v>6</v>
      </c>
      <c r="Z44" s="149"/>
      <c r="AA44" s="150" t="str">
        <f t="shared" si="44"/>
        <v/>
      </c>
      <c r="AB44" s="151"/>
      <c r="AC44" s="151"/>
      <c r="AD44" s="152" t="str">
        <f t="shared" si="41"/>
        <v/>
      </c>
      <c r="AE44" s="151"/>
      <c r="AF44" s="151"/>
      <c r="AG44" s="151"/>
      <c r="AH44" s="153" t="str">
        <f t="shared" si="45"/>
        <v/>
      </c>
      <c r="AI44" s="154" t="str">
        <f t="shared" si="1"/>
        <v/>
      </c>
      <c r="AJ44" s="155" t="str">
        <f t="shared" si="42"/>
        <v/>
      </c>
      <c r="AK44" s="154" t="str">
        <f>IFERROR(IF(AL44="","",IF(AL44&lt;=0.2,"Leve",IF(AL44&lt;=0.4,"Menor",IF(AL44&lt;=0.6,"Moderado",IF(AL44&lt;=0.8,"Mayor","Catastrófico"))))),"")</f>
        <v/>
      </c>
      <c r="AL44" s="155" t="str">
        <f t="shared" si="46"/>
        <v/>
      </c>
      <c r="AM44" s="156" t="str">
        <f>IFERROR(IF(OR(AND(AI44="Muy Baja",AK44="Leve"),AND(AI44="Muy Baja",AK44="Menor"),AND(AI44="Baja",AK44="Leve")),"Bajo",IF(OR(AND(AI44="Muy baja",AK44="Moderado"),AND(AI44="Baja",AK44="Menor"),AND(AI44="Baja",AK44="Moderado"),AND(AI44="Media",AK44="Leve"),AND(AI44="Media",AK44="Menor"),AND(AI44="Media",AK44="Moderado"),AND(AI44="Alta",AK44="Leve"),AND(AI44="Alta",AK44="Menor")),"Moderado",IF(OR(AND(AI44="Muy Baja",AK44="Mayor"),AND(AI44="Baja",AK44="Mayor"),AND(AI44="Media",AK44="Mayor"),AND(AI44="Alta",AK44="Moderado"),AND(AI44="Alta",AK44="Mayor"),AND(AI44="Muy Alta",AK44="Leve"),AND(AI44="Muy Alta",AK44="Menor"),AND(AI44="Muy Alta",AK44="Moderado"),AND(AI44="Muy Alta",AK44="Mayor")),"Alto",IF(OR(AND(AI44="Muy Baja",AK44="Catastrófico"),AND(AI44="Baja",AK44="Catastrófico"),AND(AI44="Media",AK44="Catastrófico"),AND(AI44="Alta",AK44="Catastrófico"),AND(AI44="Muy Alta",AK44="Catastrófico")),"Extremo","")))),"")</f>
        <v/>
      </c>
      <c r="AN44" s="157"/>
      <c r="AO44" s="120"/>
      <c r="AP44" s="120"/>
      <c r="AQ44" s="120"/>
      <c r="AR44" s="120"/>
      <c r="AS44" s="120"/>
      <c r="AT44" s="120"/>
      <c r="AU44" s="142"/>
      <c r="AV44" s="122"/>
      <c r="AW44" s="123"/>
      <c r="AX44" s="123"/>
      <c r="AY44" s="121"/>
      <c r="AZ44" s="143"/>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row>
    <row r="45" spans="1:84" ht="151.5" customHeight="1" x14ac:dyDescent="0.3">
      <c r="A45" s="217">
        <v>7</v>
      </c>
      <c r="B45" s="124"/>
      <c r="C45" s="211"/>
      <c r="D45" s="127"/>
      <c r="E45" s="211"/>
      <c r="F45" s="211"/>
      <c r="G45" s="221"/>
      <c r="H45" s="130"/>
      <c r="I45" s="130"/>
      <c r="J45" s="211"/>
      <c r="K45" s="213"/>
      <c r="L45" s="215" t="str">
        <f>IF(K45&lt;=0,"",IF(K45&lt;=2,"Muy Baja",IF(K45&lt;=24,"Baja",IF(K45&lt;=500,"Media",IF(K45&lt;=5000,"Alta","Muy Alta")))))</f>
        <v/>
      </c>
      <c r="M45" s="225" t="str">
        <f>IF(L45="","",IF(L45="Muy Baja",0.2,IF(L45="Baja",0.4,IF(L45="Media",0.6,IF(L45="Alta",0.8,IF(L45="Muy Alta",1,))))))</f>
        <v/>
      </c>
      <c r="N45" s="227"/>
      <c r="O45" s="225">
        <f>IF(NOT(ISERROR(MATCH(N45,'Tabla Impacto'!$B$221:$B$223,0))),'Tabla Impacto'!$F$223&amp;"Por favor no seleccionar los criterios de impacto(Afectación Económica o presupuestal y Pérdida Reputacional)",N45)</f>
        <v>0</v>
      </c>
      <c r="P45" s="215" t="str">
        <f>IF(OR(O45='Tabla Impacto'!$C$11,O45='Tabla Impacto'!$D$11),"Leve",IF(OR(O45='Tabla Impacto'!$C$12,O45='Tabla Impacto'!$D$12),"Menor",IF(OR(O45='Tabla Impacto'!$C$13,O45='Tabla Impacto'!$D$13),"Moderado",IF(OR(O45='Tabla Impacto'!$C$14,O45='Tabla Impacto'!$D$14),"Mayor",IF(OR(O45='Tabla Impacto'!$C$15,O45='Tabla Impacto'!$D$15),"Catastrófico","")))))</f>
        <v/>
      </c>
      <c r="Q45" s="225" t="str">
        <f>IF(P45="","",IF(P45="Leve",0.2,IF(P45="Menor",0.4,IF(P45="Moderado",0.6,IF(P45="Mayor",0.8,IF(P45="Catastrófico",1,))))))</f>
        <v/>
      </c>
      <c r="R45" s="223" t="str">
        <f>IF(OR(AND(L45="Muy Baja",P45="Leve"),AND(L45="Muy Baja",P45="Menor"),AND(L45="Baja",P45="Leve")),"Bajo",IF(OR(AND(L45="Muy baja",P45="Moderado"),AND(L45="Baja",P45="Menor"),AND(L45="Baja",P45="Moderado"),AND(L45="Media",P45="Leve"),AND(L45="Media",P45="Menor"),AND(L45="Media",P45="Moderado"),AND(L45="Alta",P45="Leve"),AND(L45="Alta",P45="Menor")),"Moderado",IF(OR(AND(L45="Muy Baja",P45="Mayor"),AND(L45="Baja",P45="Mayor"),AND(L45="Media",P45="Mayor"),AND(L45="Alta",P45="Moderado"),AND(L45="Alta",P45="Mayor"),AND(L45="Muy Alta",P45="Leve"),AND(L45="Muy Alta",P45="Menor"),AND(L45="Muy Alta",P45="Moderado"),AND(L45="Muy Alta",P45="Mayor")),"Alto",IF(OR(AND(L45="Muy Baja",P45="Catastrófico"),AND(L45="Baja",P45="Catastrófico"),AND(L45="Media",P45="Catastrófico"),AND(L45="Alta",P45="Catastrófico"),AND(L45="Muy Alta",P45="Catastrófico")),"Extremo",""))))</f>
        <v/>
      </c>
      <c r="S45" s="146"/>
      <c r="T45" s="146" t="str">
        <f t="shared" si="5"/>
        <v/>
      </c>
      <c r="U45" s="146"/>
      <c r="V45" s="146" t="str">
        <f t="shared" si="6"/>
        <v/>
      </c>
      <c r="W45" s="146" t="str">
        <f t="shared" si="7"/>
        <v/>
      </c>
      <c r="X45" s="146" t="str">
        <f t="shared" si="8"/>
        <v/>
      </c>
      <c r="Y45" s="6">
        <v>1</v>
      </c>
      <c r="Z45" s="149"/>
      <c r="AA45" s="150" t="str">
        <f>IF(OR(AB45="Preventivo",AB45="Detectivo"),"Probabilidad",IF(AB45="Correctivo","Impacto",""))</f>
        <v/>
      </c>
      <c r="AB45" s="151"/>
      <c r="AC45" s="151"/>
      <c r="AD45" s="152" t="str">
        <f>IF(AND(AB45="Preventivo",AC45="Automático"),"50%",IF(AND(AB45="Preventivo",AC45="Manual"),"40%",IF(AND(AB45="Detectivo",AC45="Automático"),"40%",IF(AND(AB45="Detectivo",AC45="Manual"),"30%",IF(AND(AB45="Correctivo",AC45="Automático"),"35%",IF(AND(AB45="Correctivo",AC45="Manual"),"25%",""))))))</f>
        <v/>
      </c>
      <c r="AE45" s="151"/>
      <c r="AF45" s="151"/>
      <c r="AG45" s="151"/>
      <c r="AH45" s="153" t="str">
        <f>IFERROR(IF(AA45="Probabilidad",(M45-(+M45*AD45)),IF(AA45="Impacto",M45,"")),"")</f>
        <v/>
      </c>
      <c r="AI45" s="154" t="str">
        <f>IFERROR(IF(AH45="","",IF(AH45&lt;=0.2,"Muy Baja",IF(AH45&lt;=0.4,"Baja",IF(AH45&lt;=0.6,"Media",IF(AH45&lt;=0.8,"Alta","Muy Alta"))))),"")</f>
        <v/>
      </c>
      <c r="AJ45" s="155" t="str">
        <f>+AH45</f>
        <v/>
      </c>
      <c r="AK45" s="154" t="str">
        <f>IFERROR(IF(AL45="","",IF(AL45&lt;=0.2,"Leve",IF(AL45&lt;=0.4,"Menor",IF(AL45&lt;=0.6,"Moderado",IF(AL45&lt;=0.8,"Mayor","Catastrófico"))))),"")</f>
        <v/>
      </c>
      <c r="AL45" s="155" t="str">
        <f>IFERROR(IF(AA45="Impacto",(Q45-(+Q45*AD45)),IF(AA45="Probabilidad",Q45,"")),"")</f>
        <v/>
      </c>
      <c r="AM45" s="156" t="str">
        <f>IFERROR(IF(OR(AND(AI45="Muy Baja",AK45="Leve"),AND(AI45="Muy Baja",AK45="Menor"),AND(AI45="Baja",AK45="Leve")),"Bajo",IF(OR(AND(AI45="Muy baja",AK45="Moderado"),AND(AI45="Baja",AK45="Menor"),AND(AI45="Baja",AK45="Moderado"),AND(AI45="Media",AK45="Leve"),AND(AI45="Media",AK45="Menor"),AND(AI45="Media",AK45="Moderado"),AND(AI45="Alta",AK45="Leve"),AND(AI45="Alta",AK45="Menor")),"Moderado",IF(OR(AND(AI45="Muy Baja",AK45="Mayor"),AND(AI45="Baja",AK45="Mayor"),AND(AI45="Media",AK45="Mayor"),AND(AI45="Alta",AK45="Moderado"),AND(AI45="Alta",AK45="Mayor"),AND(AI45="Muy Alta",AK45="Leve"),AND(AI45="Muy Alta",AK45="Menor"),AND(AI45="Muy Alta",AK45="Moderado"),AND(AI45="Muy Alta",AK45="Mayor")),"Alto",IF(OR(AND(AI45="Muy Baja",AK45="Catastrófico"),AND(AI45="Baja",AK45="Catastrófico"),AND(AI45="Media",AK45="Catastrófico"),AND(AI45="Alta",AK45="Catastrófico"),AND(AI45="Muy Alta",AK45="Catastrófico")),"Extremo","")))),"")</f>
        <v/>
      </c>
      <c r="AN45" s="157"/>
      <c r="AO45" s="120"/>
      <c r="AP45" s="120"/>
      <c r="AQ45" s="120"/>
      <c r="AR45" s="120"/>
      <c r="AS45" s="120"/>
      <c r="AT45" s="120"/>
      <c r="AU45" s="142"/>
      <c r="AV45" s="122"/>
      <c r="AW45" s="123"/>
      <c r="AX45" s="123"/>
      <c r="AY45" s="121"/>
      <c r="AZ45" s="143"/>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row>
    <row r="46" spans="1:84" ht="151.5" customHeight="1" x14ac:dyDescent="0.3">
      <c r="A46" s="218"/>
      <c r="B46" s="125"/>
      <c r="C46" s="212"/>
      <c r="D46" s="128"/>
      <c r="E46" s="212"/>
      <c r="F46" s="212"/>
      <c r="G46" s="222"/>
      <c r="H46" s="131"/>
      <c r="I46" s="131"/>
      <c r="J46" s="212"/>
      <c r="K46" s="214"/>
      <c r="L46" s="216"/>
      <c r="M46" s="226"/>
      <c r="N46" s="228"/>
      <c r="O46" s="226">
        <f t="shared" ref="O46:O50" si="48">IF(NOT(ISERROR(MATCH(N46,_xlfn.ANCHORARRAY(G57),0))),M59&amp;"Por favor no seleccionar los criterios de impacto",N46)</f>
        <v>0</v>
      </c>
      <c r="P46" s="216"/>
      <c r="Q46" s="226"/>
      <c r="R46" s="224"/>
      <c r="S46" s="146"/>
      <c r="T46" s="146" t="str">
        <f t="shared" si="5"/>
        <v/>
      </c>
      <c r="U46" s="146"/>
      <c r="V46" s="146" t="str">
        <f t="shared" si="6"/>
        <v/>
      </c>
      <c r="W46" s="146" t="str">
        <f t="shared" si="7"/>
        <v/>
      </c>
      <c r="X46" s="146" t="str">
        <f t="shared" si="8"/>
        <v/>
      </c>
      <c r="Y46" s="6">
        <v>2</v>
      </c>
      <c r="Z46" s="149"/>
      <c r="AA46" s="150" t="str">
        <f>IF(OR(AB46="Preventivo",AB46="Detectivo"),"Probabilidad",IF(AB46="Correctivo","Impacto",""))</f>
        <v/>
      </c>
      <c r="AB46" s="151"/>
      <c r="AC46" s="151"/>
      <c r="AD46" s="152" t="str">
        <f t="shared" ref="AD46:AD50" si="49">IF(AND(AB46="Preventivo",AC46="Automático"),"50%",IF(AND(AB46="Preventivo",AC46="Manual"),"40%",IF(AND(AB46="Detectivo",AC46="Automático"),"40%",IF(AND(AB46="Detectivo",AC46="Manual"),"30%",IF(AND(AB46="Correctivo",AC46="Automático"),"35%",IF(AND(AB46="Correctivo",AC46="Manual"),"25%",""))))))</f>
        <v/>
      </c>
      <c r="AE46" s="151"/>
      <c r="AF46" s="151"/>
      <c r="AG46" s="151"/>
      <c r="AH46" s="153" t="str">
        <f>IFERROR(IF(AND(AA45="Probabilidad",AA46="Probabilidad"),(AJ45-(+AJ45*AD46)),IF(AA46="Probabilidad",(M45-(+M45*AD46)),IF(AA46="Impacto",AJ45,""))),"")</f>
        <v/>
      </c>
      <c r="AI46" s="154" t="str">
        <f t="shared" si="1"/>
        <v/>
      </c>
      <c r="AJ46" s="155" t="str">
        <f t="shared" ref="AJ46:AJ50" si="50">+AH46</f>
        <v/>
      </c>
      <c r="AK46" s="154" t="str">
        <f t="shared" si="3"/>
        <v/>
      </c>
      <c r="AL46" s="155" t="str">
        <f>IFERROR(IF(AND(AA45="Impacto",AA46="Impacto"),(AL45-(+AL45*AD46)),IF(AA46="Impacto",(Q45-(+Q45*AD46)),IF(AA46="Probabilidad",AL45,""))),"")</f>
        <v/>
      </c>
      <c r="AM46" s="156" t="str">
        <f t="shared" ref="AM46:AM47" si="51">IFERROR(IF(OR(AND(AI46="Muy Baja",AK46="Leve"),AND(AI46="Muy Baja",AK46="Menor"),AND(AI46="Baja",AK46="Leve")),"Bajo",IF(OR(AND(AI46="Muy baja",AK46="Moderado"),AND(AI46="Baja",AK46="Menor"),AND(AI46="Baja",AK46="Moderado"),AND(AI46="Media",AK46="Leve"),AND(AI46="Media",AK46="Menor"),AND(AI46="Media",AK46="Moderado"),AND(AI46="Alta",AK46="Leve"),AND(AI46="Alta",AK46="Menor")),"Moderado",IF(OR(AND(AI46="Muy Baja",AK46="Mayor"),AND(AI46="Baja",AK46="Mayor"),AND(AI46="Media",AK46="Mayor"),AND(AI46="Alta",AK46="Moderado"),AND(AI46="Alta",AK46="Mayor"),AND(AI46="Muy Alta",AK46="Leve"),AND(AI46="Muy Alta",AK46="Menor"),AND(AI46="Muy Alta",AK46="Moderado"),AND(AI46="Muy Alta",AK46="Mayor")),"Alto",IF(OR(AND(AI46="Muy Baja",AK46="Catastrófico"),AND(AI46="Baja",AK46="Catastrófico"),AND(AI46="Media",AK46="Catastrófico"),AND(AI46="Alta",AK46="Catastrófico"),AND(AI46="Muy Alta",AK46="Catastrófico")),"Extremo","")))),"")</f>
        <v/>
      </c>
      <c r="AN46" s="157"/>
      <c r="AO46" s="120"/>
      <c r="AP46" s="120"/>
      <c r="AQ46" s="120"/>
      <c r="AR46" s="120"/>
      <c r="AS46" s="120"/>
      <c r="AT46" s="120"/>
      <c r="AU46" s="142"/>
      <c r="AV46" s="122"/>
      <c r="AW46" s="123"/>
      <c r="AX46" s="123"/>
      <c r="AY46" s="121"/>
      <c r="AZ46" s="143"/>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row>
    <row r="47" spans="1:84" ht="151.5" customHeight="1" x14ac:dyDescent="0.3">
      <c r="A47" s="218"/>
      <c r="B47" s="125"/>
      <c r="C47" s="212"/>
      <c r="D47" s="128"/>
      <c r="E47" s="212"/>
      <c r="F47" s="212"/>
      <c r="G47" s="222"/>
      <c r="H47" s="131"/>
      <c r="I47" s="131"/>
      <c r="J47" s="212"/>
      <c r="K47" s="214"/>
      <c r="L47" s="216"/>
      <c r="M47" s="226"/>
      <c r="N47" s="228"/>
      <c r="O47" s="226">
        <f t="shared" si="48"/>
        <v>0</v>
      </c>
      <c r="P47" s="216"/>
      <c r="Q47" s="226"/>
      <c r="R47" s="224"/>
      <c r="S47" s="146"/>
      <c r="T47" s="146" t="str">
        <f t="shared" si="5"/>
        <v/>
      </c>
      <c r="U47" s="146"/>
      <c r="V47" s="146" t="str">
        <f t="shared" si="6"/>
        <v/>
      </c>
      <c r="W47" s="146" t="str">
        <f t="shared" si="7"/>
        <v/>
      </c>
      <c r="X47" s="146" t="str">
        <f t="shared" si="8"/>
        <v/>
      </c>
      <c r="Y47" s="6">
        <v>3</v>
      </c>
      <c r="Z47" s="143"/>
      <c r="AA47" s="150" t="str">
        <f>IF(OR(AB47="Preventivo",AB47="Detectivo"),"Probabilidad",IF(AB47="Correctivo","Impacto",""))</f>
        <v/>
      </c>
      <c r="AB47" s="151"/>
      <c r="AC47" s="151"/>
      <c r="AD47" s="152" t="str">
        <f t="shared" si="49"/>
        <v/>
      </c>
      <c r="AE47" s="151"/>
      <c r="AF47" s="151"/>
      <c r="AG47" s="151"/>
      <c r="AH47" s="153" t="str">
        <f>IFERROR(IF(AND(AA46="Probabilidad",AA47="Probabilidad"),(AJ46-(+AJ46*AD47)),IF(AND(AA46="Impacto",AA47="Probabilidad"),(AJ45-(+AJ45*AD47)),IF(AA47="Impacto",AJ46,""))),"")</f>
        <v/>
      </c>
      <c r="AI47" s="154" t="str">
        <f t="shared" si="1"/>
        <v/>
      </c>
      <c r="AJ47" s="155" t="str">
        <f t="shared" si="50"/>
        <v/>
      </c>
      <c r="AK47" s="154" t="str">
        <f t="shared" si="3"/>
        <v/>
      </c>
      <c r="AL47" s="155" t="str">
        <f>IFERROR(IF(AND(AA46="Impacto",AA47="Impacto"),(AL46-(+AL46*AD47)),IF(AND(AA46="Probabilidad",AA47="Impacto"),(AL45-(+AL45*AD47)),IF(AA47="Probabilidad",AL46,""))),"")</f>
        <v/>
      </c>
      <c r="AM47" s="156" t="str">
        <f t="shared" si="51"/>
        <v/>
      </c>
      <c r="AN47" s="157"/>
      <c r="AO47" s="120"/>
      <c r="AP47" s="120"/>
      <c r="AQ47" s="120"/>
      <c r="AR47" s="120"/>
      <c r="AS47" s="120"/>
      <c r="AT47" s="120"/>
      <c r="AU47" s="142"/>
      <c r="AV47" s="122"/>
      <c r="AW47" s="123"/>
      <c r="AX47" s="123"/>
      <c r="AY47" s="121"/>
      <c r="AZ47" s="143"/>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row>
    <row r="48" spans="1:84" ht="151.5" customHeight="1" x14ac:dyDescent="0.3">
      <c r="A48" s="218"/>
      <c r="B48" s="125"/>
      <c r="C48" s="212"/>
      <c r="D48" s="128"/>
      <c r="E48" s="212"/>
      <c r="F48" s="212"/>
      <c r="G48" s="222"/>
      <c r="H48" s="131"/>
      <c r="I48" s="131"/>
      <c r="J48" s="212"/>
      <c r="K48" s="214"/>
      <c r="L48" s="216"/>
      <c r="M48" s="226"/>
      <c r="N48" s="228"/>
      <c r="O48" s="226">
        <f t="shared" si="48"/>
        <v>0</v>
      </c>
      <c r="P48" s="216"/>
      <c r="Q48" s="226"/>
      <c r="R48" s="224"/>
      <c r="S48" s="146"/>
      <c r="T48" s="146" t="str">
        <f t="shared" si="5"/>
        <v/>
      </c>
      <c r="U48" s="146"/>
      <c r="V48" s="146" t="str">
        <f t="shared" si="6"/>
        <v/>
      </c>
      <c r="W48" s="146" t="str">
        <f t="shared" si="7"/>
        <v/>
      </c>
      <c r="X48" s="146" t="str">
        <f t="shared" si="8"/>
        <v/>
      </c>
      <c r="Y48" s="6">
        <v>4</v>
      </c>
      <c r="Z48" s="149"/>
      <c r="AA48" s="150" t="str">
        <f t="shared" ref="AA48:AA50" si="52">IF(OR(AB48="Preventivo",AB48="Detectivo"),"Probabilidad",IF(AB48="Correctivo","Impacto",""))</f>
        <v/>
      </c>
      <c r="AB48" s="151"/>
      <c r="AC48" s="151"/>
      <c r="AD48" s="152" t="str">
        <f t="shared" si="49"/>
        <v/>
      </c>
      <c r="AE48" s="151"/>
      <c r="AF48" s="151"/>
      <c r="AG48" s="151"/>
      <c r="AH48" s="153" t="str">
        <f t="shared" ref="AH48:AH50" si="53">IFERROR(IF(AND(AA47="Probabilidad",AA48="Probabilidad"),(AJ47-(+AJ47*AD48)),IF(AND(AA47="Impacto",AA48="Probabilidad"),(AJ46-(+AJ46*AD48)),IF(AA48="Impacto",AJ47,""))),"")</f>
        <v/>
      </c>
      <c r="AI48" s="154" t="str">
        <f t="shared" si="1"/>
        <v/>
      </c>
      <c r="AJ48" s="155" t="str">
        <f t="shared" si="50"/>
        <v/>
      </c>
      <c r="AK48" s="154" t="str">
        <f t="shared" si="3"/>
        <v/>
      </c>
      <c r="AL48" s="155" t="str">
        <f t="shared" ref="AL48:AL50" si="54">IFERROR(IF(AND(AA47="Impacto",AA48="Impacto"),(AL47-(+AL47*AD48)),IF(AND(AA47="Probabilidad",AA48="Impacto"),(AL46-(+AL46*AD48)),IF(AA48="Probabilidad",AL47,""))),"")</f>
        <v/>
      </c>
      <c r="AM48" s="156" t="str">
        <f>IFERROR(IF(OR(AND(AI48="Muy Baja",AK48="Leve"),AND(AI48="Muy Baja",AK48="Menor"),AND(AI48="Baja",AK48="Leve")),"Bajo",IF(OR(AND(AI48="Muy baja",AK48="Moderado"),AND(AI48="Baja",AK48="Menor"),AND(AI48="Baja",AK48="Moderado"),AND(AI48="Media",AK48="Leve"),AND(AI48="Media",AK48="Menor"),AND(AI48="Media",AK48="Moderado"),AND(AI48="Alta",AK48="Leve"),AND(AI48="Alta",AK48="Menor")),"Moderado",IF(OR(AND(AI48="Muy Baja",AK48="Mayor"),AND(AI48="Baja",AK48="Mayor"),AND(AI48="Media",AK48="Mayor"),AND(AI48="Alta",AK48="Moderado"),AND(AI48="Alta",AK48="Mayor"),AND(AI48="Muy Alta",AK48="Leve"),AND(AI48="Muy Alta",AK48="Menor"),AND(AI48="Muy Alta",AK48="Moderado"),AND(AI48="Muy Alta",AK48="Mayor")),"Alto",IF(OR(AND(AI48="Muy Baja",AK48="Catastrófico"),AND(AI48="Baja",AK48="Catastrófico"),AND(AI48="Media",AK48="Catastrófico"),AND(AI48="Alta",AK48="Catastrófico"),AND(AI48="Muy Alta",AK48="Catastrófico")),"Extremo","")))),"")</f>
        <v/>
      </c>
      <c r="AN48" s="157"/>
      <c r="AO48" s="120"/>
      <c r="AP48" s="120"/>
      <c r="AQ48" s="120"/>
      <c r="AR48" s="120"/>
      <c r="AS48" s="120"/>
      <c r="AT48" s="120"/>
      <c r="AU48" s="142"/>
      <c r="AV48" s="122"/>
      <c r="AW48" s="123"/>
      <c r="AX48" s="123"/>
      <c r="AY48" s="121"/>
      <c r="AZ48" s="143"/>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row>
    <row r="49" spans="1:84" ht="151.5" customHeight="1" x14ac:dyDescent="0.3">
      <c r="A49" s="218"/>
      <c r="B49" s="125"/>
      <c r="C49" s="212"/>
      <c r="D49" s="128"/>
      <c r="E49" s="212"/>
      <c r="F49" s="212"/>
      <c r="G49" s="222"/>
      <c r="H49" s="131"/>
      <c r="I49" s="131"/>
      <c r="J49" s="212"/>
      <c r="K49" s="214"/>
      <c r="L49" s="216"/>
      <c r="M49" s="226"/>
      <c r="N49" s="228"/>
      <c r="O49" s="226">
        <f t="shared" si="48"/>
        <v>0</v>
      </c>
      <c r="P49" s="216"/>
      <c r="Q49" s="226"/>
      <c r="R49" s="224"/>
      <c r="S49" s="146"/>
      <c r="T49" s="146" t="str">
        <f t="shared" si="5"/>
        <v/>
      </c>
      <c r="U49" s="146"/>
      <c r="V49" s="146" t="str">
        <f t="shared" si="6"/>
        <v/>
      </c>
      <c r="W49" s="146" t="str">
        <f t="shared" si="7"/>
        <v/>
      </c>
      <c r="X49" s="146" t="str">
        <f t="shared" si="8"/>
        <v/>
      </c>
      <c r="Y49" s="6">
        <v>5</v>
      </c>
      <c r="Z49" s="149"/>
      <c r="AA49" s="150" t="str">
        <f t="shared" si="52"/>
        <v/>
      </c>
      <c r="AB49" s="151"/>
      <c r="AC49" s="151"/>
      <c r="AD49" s="152" t="str">
        <f t="shared" si="49"/>
        <v/>
      </c>
      <c r="AE49" s="151"/>
      <c r="AF49" s="151"/>
      <c r="AG49" s="151"/>
      <c r="AH49" s="153" t="str">
        <f t="shared" si="53"/>
        <v/>
      </c>
      <c r="AI49" s="154" t="str">
        <f t="shared" si="1"/>
        <v/>
      </c>
      <c r="AJ49" s="155" t="str">
        <f t="shared" si="50"/>
        <v/>
      </c>
      <c r="AK49" s="154" t="str">
        <f t="shared" si="3"/>
        <v/>
      </c>
      <c r="AL49" s="155" t="str">
        <f t="shared" si="54"/>
        <v/>
      </c>
      <c r="AM49" s="156" t="str">
        <f t="shared" ref="AM49:AM50" si="55">IFERROR(IF(OR(AND(AI49="Muy Baja",AK49="Leve"),AND(AI49="Muy Baja",AK49="Menor"),AND(AI49="Baja",AK49="Leve")),"Bajo",IF(OR(AND(AI49="Muy baja",AK49="Moderado"),AND(AI49="Baja",AK49="Menor"),AND(AI49="Baja",AK49="Moderado"),AND(AI49="Media",AK49="Leve"),AND(AI49="Media",AK49="Menor"),AND(AI49="Media",AK49="Moderado"),AND(AI49="Alta",AK49="Leve"),AND(AI49="Alta",AK49="Menor")),"Moderado",IF(OR(AND(AI49="Muy Baja",AK49="Mayor"),AND(AI49="Baja",AK49="Mayor"),AND(AI49="Media",AK49="Mayor"),AND(AI49="Alta",AK49="Moderado"),AND(AI49="Alta",AK49="Mayor"),AND(AI49="Muy Alta",AK49="Leve"),AND(AI49="Muy Alta",AK49="Menor"),AND(AI49="Muy Alta",AK49="Moderado"),AND(AI49="Muy Alta",AK49="Mayor")),"Alto",IF(OR(AND(AI49="Muy Baja",AK49="Catastrófico"),AND(AI49="Baja",AK49="Catastrófico"),AND(AI49="Media",AK49="Catastrófico"),AND(AI49="Alta",AK49="Catastrófico"),AND(AI49="Muy Alta",AK49="Catastrófico")),"Extremo","")))),"")</f>
        <v/>
      </c>
      <c r="AN49" s="157"/>
      <c r="AO49" s="120"/>
      <c r="AP49" s="120"/>
      <c r="AQ49" s="120"/>
      <c r="AR49" s="120"/>
      <c r="AS49" s="120"/>
      <c r="AT49" s="120"/>
      <c r="AU49" s="142"/>
      <c r="AV49" s="122"/>
      <c r="AW49" s="123"/>
      <c r="AX49" s="123"/>
      <c r="AY49" s="121"/>
      <c r="AZ49" s="143"/>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row>
    <row r="50" spans="1:84" ht="151.5" customHeight="1" x14ac:dyDescent="0.3">
      <c r="A50" s="238"/>
      <c r="B50" s="126"/>
      <c r="C50" s="231"/>
      <c r="D50" s="129"/>
      <c r="E50" s="231"/>
      <c r="F50" s="231"/>
      <c r="G50" s="232"/>
      <c r="H50" s="132"/>
      <c r="I50" s="132"/>
      <c r="J50" s="231"/>
      <c r="K50" s="236"/>
      <c r="L50" s="234"/>
      <c r="M50" s="233"/>
      <c r="N50" s="237"/>
      <c r="O50" s="233">
        <f t="shared" si="48"/>
        <v>0</v>
      </c>
      <c r="P50" s="234"/>
      <c r="Q50" s="233"/>
      <c r="R50" s="235"/>
      <c r="S50" s="146"/>
      <c r="T50" s="146" t="str">
        <f t="shared" si="5"/>
        <v/>
      </c>
      <c r="U50" s="146"/>
      <c r="V50" s="146" t="str">
        <f t="shared" si="6"/>
        <v/>
      </c>
      <c r="W50" s="146" t="str">
        <f t="shared" si="7"/>
        <v/>
      </c>
      <c r="X50" s="146" t="str">
        <f t="shared" si="8"/>
        <v/>
      </c>
      <c r="Y50" s="6">
        <v>6</v>
      </c>
      <c r="Z50" s="149"/>
      <c r="AA50" s="150" t="str">
        <f t="shared" si="52"/>
        <v/>
      </c>
      <c r="AB50" s="151"/>
      <c r="AC50" s="151"/>
      <c r="AD50" s="152" t="str">
        <f t="shared" si="49"/>
        <v/>
      </c>
      <c r="AE50" s="151"/>
      <c r="AF50" s="151"/>
      <c r="AG50" s="151"/>
      <c r="AH50" s="153" t="str">
        <f t="shared" si="53"/>
        <v/>
      </c>
      <c r="AI50" s="154" t="str">
        <f t="shared" si="1"/>
        <v/>
      </c>
      <c r="AJ50" s="155" t="str">
        <f t="shared" si="50"/>
        <v/>
      </c>
      <c r="AK50" s="154" t="str">
        <f t="shared" si="3"/>
        <v/>
      </c>
      <c r="AL50" s="155" t="str">
        <f t="shared" si="54"/>
        <v/>
      </c>
      <c r="AM50" s="156" t="str">
        <f t="shared" si="55"/>
        <v/>
      </c>
      <c r="AN50" s="157"/>
      <c r="AO50" s="120"/>
      <c r="AP50" s="120"/>
      <c r="AQ50" s="120"/>
      <c r="AR50" s="120"/>
      <c r="AS50" s="120"/>
      <c r="AT50" s="120"/>
      <c r="AU50" s="142"/>
      <c r="AV50" s="122"/>
      <c r="AW50" s="123"/>
      <c r="AX50" s="123"/>
      <c r="AY50" s="121"/>
      <c r="AZ50" s="143"/>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row>
    <row r="51" spans="1:84" ht="151.5" customHeight="1" x14ac:dyDescent="0.3">
      <c r="A51" s="217">
        <v>8</v>
      </c>
      <c r="B51" s="124"/>
      <c r="C51" s="211"/>
      <c r="D51" s="127"/>
      <c r="E51" s="211"/>
      <c r="F51" s="211"/>
      <c r="G51" s="221"/>
      <c r="H51" s="130"/>
      <c r="I51" s="130"/>
      <c r="J51" s="211"/>
      <c r="K51" s="213"/>
      <c r="L51" s="215" t="str">
        <f>IF(K51&lt;=0,"",IF(K51&lt;=2,"Muy Baja",IF(K51&lt;=24,"Baja",IF(K51&lt;=500,"Media",IF(K51&lt;=5000,"Alta","Muy Alta")))))</f>
        <v/>
      </c>
      <c r="M51" s="225" t="str">
        <f>IF(L51="","",IF(L51="Muy Baja",0.2,IF(L51="Baja",0.4,IF(L51="Media",0.6,IF(L51="Alta",0.8,IF(L51="Muy Alta",1,))))))</f>
        <v/>
      </c>
      <c r="N51" s="227"/>
      <c r="O51" s="225">
        <f>IF(NOT(ISERROR(MATCH(N51,'Tabla Impacto'!$B$221:$B$223,0))),'Tabla Impacto'!$F$223&amp;"Por favor no seleccionar los criterios de impacto(Afectación Económica o presupuestal y Pérdida Reputacional)",N51)</f>
        <v>0</v>
      </c>
      <c r="P51" s="215" t="str">
        <f>IF(OR(O51='Tabla Impacto'!$C$11,O51='Tabla Impacto'!$D$11),"Leve",IF(OR(O51='Tabla Impacto'!$C$12,O51='Tabla Impacto'!$D$12),"Menor",IF(OR(O51='Tabla Impacto'!$C$13,O51='Tabla Impacto'!$D$13),"Moderado",IF(OR(O51='Tabla Impacto'!$C$14,O51='Tabla Impacto'!$D$14),"Mayor",IF(OR(O51='Tabla Impacto'!$C$15,O51='Tabla Impacto'!$D$15),"Catastrófico","")))))</f>
        <v/>
      </c>
      <c r="Q51" s="225" t="str">
        <f>IF(P51="","",IF(P51="Leve",0.2,IF(P51="Menor",0.4,IF(P51="Moderado",0.6,IF(P51="Mayor",0.8,IF(P51="Catastrófico",1,))))))</f>
        <v/>
      </c>
      <c r="R51" s="223" t="str">
        <f>IF(OR(AND(L51="Muy Baja",P51="Leve"),AND(L51="Muy Baja",P51="Menor"),AND(L51="Baja",P51="Leve")),"Bajo",IF(OR(AND(L51="Muy baja",P51="Moderado"),AND(L51="Baja",P51="Menor"),AND(L51="Baja",P51="Moderado"),AND(L51="Media",P51="Leve"),AND(L51="Media",P51="Menor"),AND(L51="Media",P51="Moderado"),AND(L51="Alta",P51="Leve"),AND(L51="Alta",P51="Menor")),"Moderado",IF(OR(AND(L51="Muy Baja",P51="Mayor"),AND(L51="Baja",P51="Mayor"),AND(L51="Media",P51="Mayor"),AND(L51="Alta",P51="Moderado"),AND(L51="Alta",P51="Mayor"),AND(L51="Muy Alta",P51="Leve"),AND(L51="Muy Alta",P51="Menor"),AND(L51="Muy Alta",P51="Moderado"),AND(L51="Muy Alta",P51="Mayor")),"Alto",IF(OR(AND(L51="Muy Baja",P51="Catastrófico"),AND(L51="Baja",P51="Catastrófico"),AND(L51="Media",P51="Catastrófico"),AND(L51="Alta",P51="Catastrófico"),AND(L51="Muy Alta",P51="Catastrófico")),"Extremo",""))))</f>
        <v/>
      </c>
      <c r="S51" s="146"/>
      <c r="T51" s="146" t="str">
        <f t="shared" si="5"/>
        <v/>
      </c>
      <c r="U51" s="146"/>
      <c r="V51" s="146" t="str">
        <f t="shared" si="6"/>
        <v/>
      </c>
      <c r="W51" s="146" t="str">
        <f t="shared" si="7"/>
        <v/>
      </c>
      <c r="X51" s="146" t="str">
        <f t="shared" si="8"/>
        <v/>
      </c>
      <c r="Y51" s="6">
        <v>1</v>
      </c>
      <c r="Z51" s="149"/>
      <c r="AA51" s="150" t="str">
        <f>IF(OR(AB51="Preventivo",AB51="Detectivo"),"Probabilidad",IF(AB51="Correctivo","Impacto",""))</f>
        <v/>
      </c>
      <c r="AB51" s="151"/>
      <c r="AC51" s="151"/>
      <c r="AD51" s="152" t="str">
        <f>IF(AND(AB51="Preventivo",AC51="Automático"),"50%",IF(AND(AB51="Preventivo",AC51="Manual"),"40%",IF(AND(AB51="Detectivo",AC51="Automático"),"40%",IF(AND(AB51="Detectivo",AC51="Manual"),"30%",IF(AND(AB51="Correctivo",AC51="Automático"),"35%",IF(AND(AB51="Correctivo",AC51="Manual"),"25%",""))))))</f>
        <v/>
      </c>
      <c r="AE51" s="151"/>
      <c r="AF51" s="151"/>
      <c r="AG51" s="151"/>
      <c r="AH51" s="153" t="str">
        <f>IFERROR(IF(AA51="Probabilidad",(M51-(+M51*AD51)),IF(AA51="Impacto",M51,"")),"")</f>
        <v/>
      </c>
      <c r="AI51" s="154" t="str">
        <f>IFERROR(IF(AH51="","",IF(AH51&lt;=0.2,"Muy Baja",IF(AH51&lt;=0.4,"Baja",IF(AH51&lt;=0.6,"Media",IF(AH51&lt;=0.8,"Alta","Muy Alta"))))),"")</f>
        <v/>
      </c>
      <c r="AJ51" s="155" t="str">
        <f>+AH51</f>
        <v/>
      </c>
      <c r="AK51" s="154" t="str">
        <f>IFERROR(IF(AL51="","",IF(AL51&lt;=0.2,"Leve",IF(AL51&lt;=0.4,"Menor",IF(AL51&lt;=0.6,"Moderado",IF(AL51&lt;=0.8,"Mayor","Catastrófico"))))),"")</f>
        <v/>
      </c>
      <c r="AL51" s="155" t="str">
        <f>IFERROR(IF(AA51="Impacto",(Q51-(+Q51*AD51)),IF(AA51="Probabilidad",Q51,"")),"")</f>
        <v/>
      </c>
      <c r="AM51" s="156" t="str">
        <f>IFERROR(IF(OR(AND(AI51="Muy Baja",AK51="Leve"),AND(AI51="Muy Baja",AK51="Menor"),AND(AI51="Baja",AK51="Leve")),"Bajo",IF(OR(AND(AI51="Muy baja",AK51="Moderado"),AND(AI51="Baja",AK51="Menor"),AND(AI51="Baja",AK51="Moderado"),AND(AI51="Media",AK51="Leve"),AND(AI51="Media",AK51="Menor"),AND(AI51="Media",AK51="Moderado"),AND(AI51="Alta",AK51="Leve"),AND(AI51="Alta",AK51="Menor")),"Moderado",IF(OR(AND(AI51="Muy Baja",AK51="Mayor"),AND(AI51="Baja",AK51="Mayor"),AND(AI51="Media",AK51="Mayor"),AND(AI51="Alta",AK51="Moderado"),AND(AI51="Alta",AK51="Mayor"),AND(AI51="Muy Alta",AK51="Leve"),AND(AI51="Muy Alta",AK51="Menor"),AND(AI51="Muy Alta",AK51="Moderado"),AND(AI51="Muy Alta",AK51="Mayor")),"Alto",IF(OR(AND(AI51="Muy Baja",AK51="Catastrófico"),AND(AI51="Baja",AK51="Catastrófico"),AND(AI51="Media",AK51="Catastrófico"),AND(AI51="Alta",AK51="Catastrófico"),AND(AI51="Muy Alta",AK51="Catastrófico")),"Extremo","")))),"")</f>
        <v/>
      </c>
      <c r="AN51" s="157"/>
      <c r="AO51" s="120"/>
      <c r="AP51" s="120"/>
      <c r="AQ51" s="120"/>
      <c r="AR51" s="120"/>
      <c r="AS51" s="120"/>
      <c r="AT51" s="120"/>
      <c r="AU51" s="142"/>
      <c r="AV51" s="122"/>
      <c r="AW51" s="123"/>
      <c r="AX51" s="123"/>
      <c r="AY51" s="121"/>
      <c r="AZ51" s="143"/>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row>
    <row r="52" spans="1:84" ht="151.5" customHeight="1" x14ac:dyDescent="0.3">
      <c r="A52" s="218"/>
      <c r="B52" s="125"/>
      <c r="C52" s="212"/>
      <c r="D52" s="128"/>
      <c r="E52" s="212"/>
      <c r="F52" s="212"/>
      <c r="G52" s="222"/>
      <c r="H52" s="131"/>
      <c r="I52" s="131"/>
      <c r="J52" s="212"/>
      <c r="K52" s="214"/>
      <c r="L52" s="216"/>
      <c r="M52" s="226"/>
      <c r="N52" s="228"/>
      <c r="O52" s="226">
        <f>IF(NOT(ISERROR(MATCH(N52,_xlfn.ANCHORARRAY(G63),0))),M65&amp;"Por favor no seleccionar los criterios de impacto",N52)</f>
        <v>0</v>
      </c>
      <c r="P52" s="216"/>
      <c r="Q52" s="226"/>
      <c r="R52" s="224"/>
      <c r="S52" s="146"/>
      <c r="T52" s="146" t="str">
        <f t="shared" si="5"/>
        <v/>
      </c>
      <c r="U52" s="146"/>
      <c r="V52" s="146" t="str">
        <f t="shared" si="6"/>
        <v/>
      </c>
      <c r="W52" s="146" t="str">
        <f t="shared" si="7"/>
        <v/>
      </c>
      <c r="X52" s="146" t="str">
        <f t="shared" si="8"/>
        <v/>
      </c>
      <c r="Y52" s="6">
        <v>2</v>
      </c>
      <c r="Z52" s="149"/>
      <c r="AA52" s="150" t="str">
        <f>IF(OR(AB52="Preventivo",AB52="Detectivo"),"Probabilidad",IF(AB52="Correctivo","Impacto",""))</f>
        <v/>
      </c>
      <c r="AB52" s="151"/>
      <c r="AC52" s="151"/>
      <c r="AD52" s="152" t="str">
        <f t="shared" ref="AD52:AD56" si="56">IF(AND(AB52="Preventivo",AC52="Automático"),"50%",IF(AND(AB52="Preventivo",AC52="Manual"),"40%",IF(AND(AB52="Detectivo",AC52="Automático"),"40%",IF(AND(AB52="Detectivo",AC52="Manual"),"30%",IF(AND(AB52="Correctivo",AC52="Automático"),"35%",IF(AND(AB52="Correctivo",AC52="Manual"),"25%",""))))))</f>
        <v/>
      </c>
      <c r="AE52" s="151"/>
      <c r="AF52" s="151"/>
      <c r="AG52" s="151"/>
      <c r="AH52" s="153" t="str">
        <f>IFERROR(IF(AND(AA51="Probabilidad",AA52="Probabilidad"),(AJ51-(+AJ51*AD52)),IF(AA52="Probabilidad",(M51-(+M51*AD52)),IF(AA52="Impacto",AJ51,""))),"")</f>
        <v/>
      </c>
      <c r="AI52" s="154" t="str">
        <f t="shared" si="1"/>
        <v/>
      </c>
      <c r="AJ52" s="155" t="str">
        <f t="shared" ref="AJ52:AJ56" si="57">+AH52</f>
        <v/>
      </c>
      <c r="AK52" s="154" t="str">
        <f t="shared" si="3"/>
        <v/>
      </c>
      <c r="AL52" s="155" t="str">
        <f>IFERROR(IF(AND(AA51="Impacto",AA52="Impacto"),(AL51-(+AL51*AD52)),IF(AA52="Impacto",(Q51-(+Q51*AD52)),IF(AA52="Probabilidad",AL51,""))),"")</f>
        <v/>
      </c>
      <c r="AM52" s="156" t="str">
        <f t="shared" ref="AM52:AM53" si="58">IFERROR(IF(OR(AND(AI52="Muy Baja",AK52="Leve"),AND(AI52="Muy Baja",AK52="Menor"),AND(AI52="Baja",AK52="Leve")),"Bajo",IF(OR(AND(AI52="Muy baja",AK52="Moderado"),AND(AI52="Baja",AK52="Menor"),AND(AI52="Baja",AK52="Moderado"),AND(AI52="Media",AK52="Leve"),AND(AI52="Media",AK52="Menor"),AND(AI52="Media",AK52="Moderado"),AND(AI52="Alta",AK52="Leve"),AND(AI52="Alta",AK52="Menor")),"Moderado",IF(OR(AND(AI52="Muy Baja",AK52="Mayor"),AND(AI52="Baja",AK52="Mayor"),AND(AI52="Media",AK52="Mayor"),AND(AI52="Alta",AK52="Moderado"),AND(AI52="Alta",AK52="Mayor"),AND(AI52="Muy Alta",AK52="Leve"),AND(AI52="Muy Alta",AK52="Menor"),AND(AI52="Muy Alta",AK52="Moderado"),AND(AI52="Muy Alta",AK52="Mayor")),"Alto",IF(OR(AND(AI52="Muy Baja",AK52="Catastrófico"),AND(AI52="Baja",AK52="Catastrófico"),AND(AI52="Media",AK52="Catastrófico"),AND(AI52="Alta",AK52="Catastrófico"),AND(AI52="Muy Alta",AK52="Catastrófico")),"Extremo","")))),"")</f>
        <v/>
      </c>
      <c r="AN52" s="157"/>
      <c r="AO52" s="120"/>
      <c r="AP52" s="120"/>
      <c r="AQ52" s="120"/>
      <c r="AR52" s="120"/>
      <c r="AS52" s="120"/>
      <c r="AT52" s="120"/>
      <c r="AU52" s="142"/>
      <c r="AV52" s="122"/>
      <c r="AW52" s="123"/>
      <c r="AX52" s="123"/>
      <c r="AY52" s="121"/>
      <c r="AZ52" s="143"/>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row>
    <row r="53" spans="1:84" ht="151.5" customHeight="1" x14ac:dyDescent="0.3">
      <c r="A53" s="218"/>
      <c r="B53" s="125"/>
      <c r="C53" s="212"/>
      <c r="D53" s="128"/>
      <c r="E53" s="212"/>
      <c r="F53" s="212"/>
      <c r="G53" s="222"/>
      <c r="H53" s="131"/>
      <c r="I53" s="131"/>
      <c r="J53" s="212"/>
      <c r="K53" s="214"/>
      <c r="L53" s="216"/>
      <c r="M53" s="226"/>
      <c r="N53" s="228"/>
      <c r="O53" s="226">
        <f>IF(NOT(ISERROR(MATCH(N53,_xlfn.ANCHORARRAY(G64),0))),M66&amp;"Por favor no seleccionar los criterios de impacto",N53)</f>
        <v>0</v>
      </c>
      <c r="P53" s="216"/>
      <c r="Q53" s="226"/>
      <c r="R53" s="224"/>
      <c r="S53" s="146"/>
      <c r="T53" s="146" t="str">
        <f t="shared" si="5"/>
        <v/>
      </c>
      <c r="U53" s="146"/>
      <c r="V53" s="146" t="str">
        <f t="shared" si="6"/>
        <v/>
      </c>
      <c r="W53" s="146" t="str">
        <f t="shared" si="7"/>
        <v/>
      </c>
      <c r="X53" s="146" t="str">
        <f t="shared" si="8"/>
        <v/>
      </c>
      <c r="Y53" s="6">
        <v>3</v>
      </c>
      <c r="Z53" s="143"/>
      <c r="AA53" s="150" t="str">
        <f>IF(OR(AB53="Preventivo",AB53="Detectivo"),"Probabilidad",IF(AB53="Correctivo","Impacto",""))</f>
        <v/>
      </c>
      <c r="AB53" s="151"/>
      <c r="AC53" s="151"/>
      <c r="AD53" s="152" t="str">
        <f t="shared" si="56"/>
        <v/>
      </c>
      <c r="AE53" s="151"/>
      <c r="AF53" s="151"/>
      <c r="AG53" s="151"/>
      <c r="AH53" s="153" t="str">
        <f>IFERROR(IF(AND(AA52="Probabilidad",AA53="Probabilidad"),(AJ52-(+AJ52*AD53)),IF(AND(AA52="Impacto",AA53="Probabilidad"),(AJ51-(+AJ51*AD53)),IF(AA53="Impacto",AJ52,""))),"")</f>
        <v/>
      </c>
      <c r="AI53" s="154" t="str">
        <f t="shared" si="1"/>
        <v/>
      </c>
      <c r="AJ53" s="155" t="str">
        <f t="shared" si="57"/>
        <v/>
      </c>
      <c r="AK53" s="154" t="str">
        <f t="shared" si="3"/>
        <v/>
      </c>
      <c r="AL53" s="155" t="str">
        <f>IFERROR(IF(AND(AA52="Impacto",AA53="Impacto"),(AL52-(+AL52*AD53)),IF(AND(AA52="Probabilidad",AA53="Impacto"),(AL51-(+AL51*AD53)),IF(AA53="Probabilidad",AL52,""))),"")</f>
        <v/>
      </c>
      <c r="AM53" s="156" t="str">
        <f t="shared" si="58"/>
        <v/>
      </c>
      <c r="AN53" s="157"/>
      <c r="AO53" s="120"/>
      <c r="AP53" s="120"/>
      <c r="AQ53" s="120"/>
      <c r="AR53" s="120"/>
      <c r="AS53" s="120"/>
      <c r="AT53" s="120"/>
      <c r="AU53" s="142"/>
      <c r="AV53" s="122"/>
      <c r="AW53" s="123"/>
      <c r="AX53" s="123"/>
      <c r="AY53" s="121"/>
      <c r="AZ53" s="143"/>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row>
    <row r="54" spans="1:84" ht="151.5" customHeight="1" x14ac:dyDescent="0.3">
      <c r="A54" s="218"/>
      <c r="B54" s="125"/>
      <c r="C54" s="212"/>
      <c r="D54" s="128"/>
      <c r="E54" s="212"/>
      <c r="F54" s="212"/>
      <c r="G54" s="222"/>
      <c r="H54" s="131"/>
      <c r="I54" s="131"/>
      <c r="J54" s="212"/>
      <c r="K54" s="214"/>
      <c r="L54" s="216"/>
      <c r="M54" s="226"/>
      <c r="N54" s="228"/>
      <c r="O54" s="226">
        <f>IF(NOT(ISERROR(MATCH(N54,_xlfn.ANCHORARRAY(G65),0))),M67&amp;"Por favor no seleccionar los criterios de impacto",N54)</f>
        <v>0</v>
      </c>
      <c r="P54" s="216"/>
      <c r="Q54" s="226"/>
      <c r="R54" s="224"/>
      <c r="S54" s="146"/>
      <c r="T54" s="146" t="str">
        <f t="shared" si="5"/>
        <v/>
      </c>
      <c r="U54" s="146"/>
      <c r="V54" s="146" t="str">
        <f t="shared" si="6"/>
        <v/>
      </c>
      <c r="W54" s="146" t="str">
        <f t="shared" si="7"/>
        <v/>
      </c>
      <c r="X54" s="146" t="str">
        <f t="shared" si="8"/>
        <v/>
      </c>
      <c r="Y54" s="6">
        <v>4</v>
      </c>
      <c r="Z54" s="149"/>
      <c r="AA54" s="150" t="str">
        <f t="shared" ref="AA54:AA56" si="59">IF(OR(AB54="Preventivo",AB54="Detectivo"),"Probabilidad",IF(AB54="Correctivo","Impacto",""))</f>
        <v/>
      </c>
      <c r="AB54" s="151"/>
      <c r="AC54" s="151"/>
      <c r="AD54" s="152" t="str">
        <f t="shared" si="56"/>
        <v/>
      </c>
      <c r="AE54" s="151"/>
      <c r="AF54" s="151"/>
      <c r="AG54" s="151"/>
      <c r="AH54" s="153" t="str">
        <f t="shared" ref="AH54:AH56" si="60">IFERROR(IF(AND(AA53="Probabilidad",AA54="Probabilidad"),(AJ53-(+AJ53*AD54)),IF(AND(AA53="Impacto",AA54="Probabilidad"),(AJ52-(+AJ52*AD54)),IF(AA54="Impacto",AJ53,""))),"")</f>
        <v/>
      </c>
      <c r="AI54" s="154" t="str">
        <f t="shared" si="1"/>
        <v/>
      </c>
      <c r="AJ54" s="155" t="str">
        <f t="shared" si="57"/>
        <v/>
      </c>
      <c r="AK54" s="154" t="str">
        <f t="shared" si="3"/>
        <v/>
      </c>
      <c r="AL54" s="155" t="str">
        <f t="shared" ref="AL54:AL56" si="61">IFERROR(IF(AND(AA53="Impacto",AA54="Impacto"),(AL53-(+AL53*AD54)),IF(AND(AA53="Probabilidad",AA54="Impacto"),(AL52-(+AL52*AD54)),IF(AA54="Probabilidad",AL53,""))),"")</f>
        <v/>
      </c>
      <c r="AM54" s="156" t="str">
        <f>IFERROR(IF(OR(AND(AI54="Muy Baja",AK54="Leve"),AND(AI54="Muy Baja",AK54="Menor"),AND(AI54="Baja",AK54="Leve")),"Bajo",IF(OR(AND(AI54="Muy baja",AK54="Moderado"),AND(AI54="Baja",AK54="Menor"),AND(AI54="Baja",AK54="Moderado"),AND(AI54="Media",AK54="Leve"),AND(AI54="Media",AK54="Menor"),AND(AI54="Media",AK54="Moderado"),AND(AI54="Alta",AK54="Leve"),AND(AI54="Alta",AK54="Menor")),"Moderado",IF(OR(AND(AI54="Muy Baja",AK54="Mayor"),AND(AI54="Baja",AK54="Mayor"),AND(AI54="Media",AK54="Mayor"),AND(AI54="Alta",AK54="Moderado"),AND(AI54="Alta",AK54="Mayor"),AND(AI54="Muy Alta",AK54="Leve"),AND(AI54="Muy Alta",AK54="Menor"),AND(AI54="Muy Alta",AK54="Moderado"),AND(AI54="Muy Alta",AK54="Mayor")),"Alto",IF(OR(AND(AI54="Muy Baja",AK54="Catastrófico"),AND(AI54="Baja",AK54="Catastrófico"),AND(AI54="Media",AK54="Catastrófico"),AND(AI54="Alta",AK54="Catastrófico"),AND(AI54="Muy Alta",AK54="Catastrófico")),"Extremo","")))),"")</f>
        <v/>
      </c>
      <c r="AN54" s="157"/>
      <c r="AO54" s="120"/>
      <c r="AP54" s="120"/>
      <c r="AQ54" s="120"/>
      <c r="AR54" s="120"/>
      <c r="AS54" s="120"/>
      <c r="AT54" s="120"/>
      <c r="AU54" s="142"/>
      <c r="AV54" s="122"/>
      <c r="AW54" s="123"/>
      <c r="AX54" s="123"/>
      <c r="AY54" s="121"/>
      <c r="AZ54" s="143"/>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row>
    <row r="55" spans="1:84" ht="151.5" customHeight="1" x14ac:dyDescent="0.3">
      <c r="A55" s="218"/>
      <c r="B55" s="125"/>
      <c r="C55" s="212"/>
      <c r="D55" s="128"/>
      <c r="E55" s="212"/>
      <c r="F55" s="212"/>
      <c r="G55" s="222"/>
      <c r="H55" s="131"/>
      <c r="I55" s="131"/>
      <c r="J55" s="212"/>
      <c r="K55" s="214"/>
      <c r="L55" s="216"/>
      <c r="M55" s="226"/>
      <c r="N55" s="228"/>
      <c r="O55" s="226">
        <f>IF(NOT(ISERROR(MATCH(N55,_xlfn.ANCHORARRAY(G66),0))),M68&amp;"Por favor no seleccionar los criterios de impacto",N55)</f>
        <v>0</v>
      </c>
      <c r="P55" s="216"/>
      <c r="Q55" s="226"/>
      <c r="R55" s="224"/>
      <c r="S55" s="146"/>
      <c r="T55" s="146" t="str">
        <f t="shared" si="5"/>
        <v/>
      </c>
      <c r="U55" s="146"/>
      <c r="V55" s="146" t="str">
        <f t="shared" si="6"/>
        <v/>
      </c>
      <c r="W55" s="146" t="str">
        <f t="shared" si="7"/>
        <v/>
      </c>
      <c r="X55" s="146" t="str">
        <f t="shared" si="8"/>
        <v/>
      </c>
      <c r="Y55" s="6">
        <v>5</v>
      </c>
      <c r="Z55" s="149"/>
      <c r="AA55" s="150" t="str">
        <f t="shared" si="59"/>
        <v/>
      </c>
      <c r="AB55" s="151"/>
      <c r="AC55" s="151"/>
      <c r="AD55" s="152" t="str">
        <f t="shared" si="56"/>
        <v/>
      </c>
      <c r="AE55" s="151"/>
      <c r="AF55" s="151"/>
      <c r="AG55" s="151"/>
      <c r="AH55" s="153" t="str">
        <f t="shared" si="60"/>
        <v/>
      </c>
      <c r="AI55" s="154" t="str">
        <f t="shared" si="1"/>
        <v/>
      </c>
      <c r="AJ55" s="155" t="str">
        <f t="shared" si="57"/>
        <v/>
      </c>
      <c r="AK55" s="154" t="str">
        <f t="shared" si="3"/>
        <v/>
      </c>
      <c r="AL55" s="155" t="str">
        <f t="shared" si="61"/>
        <v/>
      </c>
      <c r="AM55" s="156" t="str">
        <f t="shared" ref="AM55:AM56" si="62">IFERROR(IF(OR(AND(AI55="Muy Baja",AK55="Leve"),AND(AI55="Muy Baja",AK55="Menor"),AND(AI55="Baja",AK55="Leve")),"Bajo",IF(OR(AND(AI55="Muy baja",AK55="Moderado"),AND(AI55="Baja",AK55="Menor"),AND(AI55="Baja",AK55="Moderado"),AND(AI55="Media",AK55="Leve"),AND(AI55="Media",AK55="Menor"),AND(AI55="Media",AK55="Moderado"),AND(AI55="Alta",AK55="Leve"),AND(AI55="Alta",AK55="Menor")),"Moderado",IF(OR(AND(AI55="Muy Baja",AK55="Mayor"),AND(AI55="Baja",AK55="Mayor"),AND(AI55="Media",AK55="Mayor"),AND(AI55="Alta",AK55="Moderado"),AND(AI55="Alta",AK55="Mayor"),AND(AI55="Muy Alta",AK55="Leve"),AND(AI55="Muy Alta",AK55="Menor"),AND(AI55="Muy Alta",AK55="Moderado"),AND(AI55="Muy Alta",AK55="Mayor")),"Alto",IF(OR(AND(AI55="Muy Baja",AK55="Catastrófico"),AND(AI55="Baja",AK55="Catastrófico"),AND(AI55="Media",AK55="Catastrófico"),AND(AI55="Alta",AK55="Catastrófico"),AND(AI55="Muy Alta",AK55="Catastrófico")),"Extremo","")))),"")</f>
        <v/>
      </c>
      <c r="AN55" s="157"/>
      <c r="AO55" s="120"/>
      <c r="AP55" s="120"/>
      <c r="AQ55" s="120"/>
      <c r="AR55" s="120"/>
      <c r="AS55" s="120"/>
      <c r="AT55" s="120"/>
      <c r="AU55" s="142"/>
      <c r="AV55" s="122"/>
      <c r="AW55" s="123"/>
      <c r="AX55" s="123"/>
      <c r="AY55" s="121"/>
      <c r="AZ55" s="143"/>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row>
    <row r="56" spans="1:84" ht="151.5" customHeight="1" x14ac:dyDescent="0.3">
      <c r="A56" s="238"/>
      <c r="B56" s="126"/>
      <c r="C56" s="231"/>
      <c r="D56" s="129"/>
      <c r="E56" s="231"/>
      <c r="F56" s="231"/>
      <c r="G56" s="232"/>
      <c r="H56" s="132"/>
      <c r="I56" s="132"/>
      <c r="J56" s="231"/>
      <c r="K56" s="236"/>
      <c r="L56" s="234"/>
      <c r="M56" s="233"/>
      <c r="N56" s="237"/>
      <c r="O56" s="233">
        <f>IF(NOT(ISERROR(MATCH(N56,_xlfn.ANCHORARRAY(G67),0))),M69&amp;"Por favor no seleccionar los criterios de impacto",N56)</f>
        <v>0</v>
      </c>
      <c r="P56" s="234"/>
      <c r="Q56" s="233"/>
      <c r="R56" s="235"/>
      <c r="S56" s="146"/>
      <c r="T56" s="146" t="str">
        <f t="shared" si="5"/>
        <v/>
      </c>
      <c r="U56" s="146"/>
      <c r="V56" s="146" t="str">
        <f t="shared" si="6"/>
        <v/>
      </c>
      <c r="W56" s="146" t="str">
        <f t="shared" si="7"/>
        <v/>
      </c>
      <c r="X56" s="146" t="str">
        <f t="shared" si="8"/>
        <v/>
      </c>
      <c r="Y56" s="6">
        <v>6</v>
      </c>
      <c r="Z56" s="149"/>
      <c r="AA56" s="150" t="str">
        <f t="shared" si="59"/>
        <v/>
      </c>
      <c r="AB56" s="151"/>
      <c r="AC56" s="151"/>
      <c r="AD56" s="152" t="str">
        <f t="shared" si="56"/>
        <v/>
      </c>
      <c r="AE56" s="151"/>
      <c r="AF56" s="151"/>
      <c r="AG56" s="151"/>
      <c r="AH56" s="153" t="str">
        <f t="shared" si="60"/>
        <v/>
      </c>
      <c r="AI56" s="154" t="str">
        <f t="shared" si="1"/>
        <v/>
      </c>
      <c r="AJ56" s="155" t="str">
        <f t="shared" si="57"/>
        <v/>
      </c>
      <c r="AK56" s="154" t="str">
        <f t="shared" si="3"/>
        <v/>
      </c>
      <c r="AL56" s="155" t="str">
        <f t="shared" si="61"/>
        <v/>
      </c>
      <c r="AM56" s="156" t="str">
        <f t="shared" si="62"/>
        <v/>
      </c>
      <c r="AN56" s="157"/>
      <c r="AO56" s="120"/>
      <c r="AP56" s="120"/>
      <c r="AQ56" s="120"/>
      <c r="AR56" s="120"/>
      <c r="AS56" s="120"/>
      <c r="AT56" s="120"/>
      <c r="AU56" s="142"/>
      <c r="AV56" s="122"/>
      <c r="AW56" s="123"/>
      <c r="AX56" s="123"/>
      <c r="AY56" s="121"/>
      <c r="AZ56" s="143"/>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row>
    <row r="57" spans="1:84" ht="151.5" customHeight="1" x14ac:dyDescent="0.3">
      <c r="A57" s="217">
        <v>9</v>
      </c>
      <c r="B57" s="124"/>
      <c r="C57" s="211"/>
      <c r="D57" s="127"/>
      <c r="E57" s="211"/>
      <c r="F57" s="211"/>
      <c r="G57" s="221"/>
      <c r="H57" s="130"/>
      <c r="I57" s="130"/>
      <c r="J57" s="211"/>
      <c r="K57" s="213"/>
      <c r="L57" s="215" t="str">
        <f>IF(K57&lt;=0,"",IF(K57&lt;=2,"Muy Baja",IF(K57&lt;=24,"Baja",IF(K57&lt;=500,"Media",IF(K57&lt;=5000,"Alta","Muy Alta")))))</f>
        <v/>
      </c>
      <c r="M57" s="225" t="str">
        <f>IF(L57="","",IF(L57="Muy Baja",0.2,IF(L57="Baja",0.4,IF(L57="Media",0.6,IF(L57="Alta",0.8,IF(L57="Muy Alta",1,))))))</f>
        <v/>
      </c>
      <c r="N57" s="227"/>
      <c r="O57" s="225">
        <f>IF(NOT(ISERROR(MATCH(N57,'Tabla Impacto'!$B$221:$B$223,0))),'Tabla Impacto'!$F$223&amp;"Por favor no seleccionar los criterios de impacto(Afectación Económica o presupuestal y Pérdida Reputacional)",N57)</f>
        <v>0</v>
      </c>
      <c r="P57" s="215" t="str">
        <f>IF(OR(O57='Tabla Impacto'!$C$11,O57='Tabla Impacto'!$D$11),"Leve",IF(OR(O57='Tabla Impacto'!$C$12,O57='Tabla Impacto'!$D$12),"Menor",IF(OR(O57='Tabla Impacto'!$C$13,O57='Tabla Impacto'!$D$13),"Moderado",IF(OR(O57='Tabla Impacto'!$C$14,O57='Tabla Impacto'!$D$14),"Mayor",IF(OR(O57='Tabla Impacto'!$C$15,O57='Tabla Impacto'!$D$15),"Catastrófico","")))))</f>
        <v/>
      </c>
      <c r="Q57" s="225" t="str">
        <f>IF(P57="","",IF(P57="Leve",0.2,IF(P57="Menor",0.4,IF(P57="Moderado",0.6,IF(P57="Mayor",0.8,IF(P57="Catastrófico",1,))))))</f>
        <v/>
      </c>
      <c r="R57" s="223" t="str">
        <f>IF(OR(AND(L57="Muy Baja",P57="Leve"),AND(L57="Muy Baja",P57="Menor"),AND(L57="Baja",P57="Leve")),"Bajo",IF(OR(AND(L57="Muy baja",P57="Moderado"),AND(L57="Baja",P57="Menor"),AND(L57="Baja",P57="Moderado"),AND(L57="Media",P57="Leve"),AND(L57="Media",P57="Menor"),AND(L57="Media",P57="Moderado"),AND(L57="Alta",P57="Leve"),AND(L57="Alta",P57="Menor")),"Moderado",IF(OR(AND(L57="Muy Baja",P57="Mayor"),AND(L57="Baja",P57="Mayor"),AND(L57="Media",P57="Mayor"),AND(L57="Alta",P57="Moderado"),AND(L57="Alta",P57="Mayor"),AND(L57="Muy Alta",P57="Leve"),AND(L57="Muy Alta",P57="Menor"),AND(L57="Muy Alta",P57="Moderado"),AND(L57="Muy Alta",P57="Mayor")),"Alto",IF(OR(AND(L57="Muy Baja",P57="Catastrófico"),AND(L57="Baja",P57="Catastrófico"),AND(L57="Media",P57="Catastrófico"),AND(L57="Alta",P57="Catastrófico"),AND(L57="Muy Alta",P57="Catastrófico")),"Extremo",""))))</f>
        <v/>
      </c>
      <c r="S57" s="146"/>
      <c r="T57" s="146"/>
      <c r="U57" s="146"/>
      <c r="V57" s="146"/>
      <c r="W57" s="146"/>
      <c r="X57" s="146"/>
      <c r="Y57" s="6">
        <v>1</v>
      </c>
      <c r="Z57" s="149"/>
      <c r="AA57" s="150" t="str">
        <f>IF(OR(AB57="Preventivo",AB57="Detectivo"),"Probabilidad",IF(AB57="Correctivo","Impacto",""))</f>
        <v/>
      </c>
      <c r="AB57" s="151"/>
      <c r="AC57" s="151"/>
      <c r="AD57" s="152" t="str">
        <f>IF(AND(AB57="Preventivo",AC57="Automático"),"50%",IF(AND(AB57="Preventivo",AC57="Manual"),"40%",IF(AND(AB57="Detectivo",AC57="Automático"),"40%",IF(AND(AB57="Detectivo",AC57="Manual"),"30%",IF(AND(AB57="Correctivo",AC57="Automático"),"35%",IF(AND(AB57="Correctivo",AC57="Manual"),"25%",""))))))</f>
        <v/>
      </c>
      <c r="AE57" s="151"/>
      <c r="AF57" s="151"/>
      <c r="AG57" s="151"/>
      <c r="AH57" s="153" t="str">
        <f>IFERROR(IF(AA57="Probabilidad",(M57-(+M57*AD57)),IF(AA57="Impacto",M57,"")),"")</f>
        <v/>
      </c>
      <c r="AI57" s="154" t="str">
        <f>IFERROR(IF(AH57="","",IF(AH57&lt;=0.2,"Muy Baja",IF(AH57&lt;=0.4,"Baja",IF(AH57&lt;=0.6,"Media",IF(AH57&lt;=0.8,"Alta","Muy Alta"))))),"")</f>
        <v/>
      </c>
      <c r="AJ57" s="155" t="str">
        <f>+AH57</f>
        <v/>
      </c>
      <c r="AK57" s="154" t="str">
        <f>IFERROR(IF(AL57="","",IF(AL57&lt;=0.2,"Leve",IF(AL57&lt;=0.4,"Menor",IF(AL57&lt;=0.6,"Moderado",IF(AL57&lt;=0.8,"Mayor","Catastrófico"))))),"")</f>
        <v/>
      </c>
      <c r="AL57" s="155" t="str">
        <f>IFERROR(IF(AA57="Impacto",(Q57-(+Q57*AD57)),IF(AA57="Probabilidad",Q57,"")),"")</f>
        <v/>
      </c>
      <c r="AM57" s="156" t="str">
        <f>IFERROR(IF(OR(AND(AI57="Muy Baja",AK57="Leve"),AND(AI57="Muy Baja",AK57="Menor"),AND(AI57="Baja",AK57="Leve")),"Bajo",IF(OR(AND(AI57="Muy baja",AK57="Moderado"),AND(AI57="Baja",AK57="Menor"),AND(AI57="Baja",AK57="Moderado"),AND(AI57="Media",AK57="Leve"),AND(AI57="Media",AK57="Menor"),AND(AI57="Media",AK57="Moderado"),AND(AI57="Alta",AK57="Leve"),AND(AI57="Alta",AK57="Menor")),"Moderado",IF(OR(AND(AI57="Muy Baja",AK57="Mayor"),AND(AI57="Baja",AK57="Mayor"),AND(AI57="Media",AK57="Mayor"),AND(AI57="Alta",AK57="Moderado"),AND(AI57="Alta",AK57="Mayor"),AND(AI57="Muy Alta",AK57="Leve"),AND(AI57="Muy Alta",AK57="Menor"),AND(AI57="Muy Alta",AK57="Moderado"),AND(AI57="Muy Alta",AK57="Mayor")),"Alto",IF(OR(AND(AI57="Muy Baja",AK57="Catastrófico"),AND(AI57="Baja",AK57="Catastrófico"),AND(AI57="Media",AK57="Catastrófico"),AND(AI57="Alta",AK57="Catastrófico"),AND(AI57="Muy Alta",AK57="Catastrófico")),"Extremo","")))),"")</f>
        <v/>
      </c>
      <c r="AN57" s="157"/>
      <c r="AO57" s="157"/>
      <c r="AP57" s="157"/>
      <c r="AQ57" s="157"/>
      <c r="AR57" s="157"/>
      <c r="AS57" s="157"/>
      <c r="AT57" s="157"/>
      <c r="AU57" s="142"/>
      <c r="AV57" s="122"/>
      <c r="AW57" s="123"/>
      <c r="AX57" s="123"/>
      <c r="AY57" s="121"/>
      <c r="AZ57" s="143"/>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row>
    <row r="58" spans="1:84" ht="151.5" customHeight="1" x14ac:dyDescent="0.3">
      <c r="A58" s="218"/>
      <c r="B58" s="125"/>
      <c r="C58" s="212"/>
      <c r="D58" s="128"/>
      <c r="E58" s="212"/>
      <c r="F58" s="212"/>
      <c r="G58" s="222"/>
      <c r="H58" s="131"/>
      <c r="I58" s="131"/>
      <c r="J58" s="212"/>
      <c r="K58" s="214"/>
      <c r="L58" s="216"/>
      <c r="M58" s="226"/>
      <c r="N58" s="228"/>
      <c r="O58" s="226">
        <f>IF(NOT(ISERROR(MATCH(N58,_xlfn.ANCHORARRAY(G69),0))),M71&amp;"Por favor no seleccionar los criterios de impacto",N58)</f>
        <v>0</v>
      </c>
      <c r="P58" s="216"/>
      <c r="Q58" s="226"/>
      <c r="R58" s="224"/>
      <c r="Y58" s="6">
        <v>2</v>
      </c>
      <c r="Z58" s="149"/>
      <c r="AA58" s="150" t="str">
        <f>IF(OR(AB58="Preventivo",AB58="Detectivo"),"Probabilidad",IF(AB58="Correctivo","Impacto",""))</f>
        <v/>
      </c>
      <c r="AB58" s="151"/>
      <c r="AC58" s="151"/>
      <c r="AD58" s="152" t="str">
        <f t="shared" ref="AD58:AD62" si="63">IF(AND(AB58="Preventivo",AC58="Automático"),"50%",IF(AND(AB58="Preventivo",AC58="Manual"),"40%",IF(AND(AB58="Detectivo",AC58="Automático"),"40%",IF(AND(AB58="Detectivo",AC58="Manual"),"30%",IF(AND(AB58="Correctivo",AC58="Automático"),"35%",IF(AND(AB58="Correctivo",AC58="Manual"),"25%",""))))))</f>
        <v/>
      </c>
      <c r="AE58" s="151"/>
      <c r="AF58" s="151"/>
      <c r="AG58" s="151"/>
      <c r="AH58" s="153" t="str">
        <f>IFERROR(IF(AND(AA57="Probabilidad",AA58="Probabilidad"),(AJ57-(+AJ57*AD58)),IF(AA58="Probabilidad",(M57-(+M57*AD58)),IF(AA58="Impacto",AJ57,""))),"")</f>
        <v/>
      </c>
      <c r="AI58" s="154" t="str">
        <f t="shared" si="1"/>
        <v/>
      </c>
      <c r="AJ58" s="155" t="str">
        <f t="shared" ref="AJ58:AJ62" si="64">+AH58</f>
        <v/>
      </c>
      <c r="AK58" s="154" t="str">
        <f t="shared" si="3"/>
        <v/>
      </c>
      <c r="AL58" s="155" t="str">
        <f>IFERROR(IF(AND(AA57="Impacto",AA58="Impacto"),(AL57-(+AL57*AD58)),IF(AA58="Impacto",(Q57-(+Q57*AD58)),IF(AA58="Probabilidad",AL57,""))),"")</f>
        <v/>
      </c>
      <c r="AM58" s="156" t="str">
        <f t="shared" ref="AM58:AM59" si="65">IFERROR(IF(OR(AND(AI58="Muy Baja",AK58="Leve"),AND(AI58="Muy Baja",AK58="Menor"),AND(AI58="Baja",AK58="Leve")),"Bajo",IF(OR(AND(AI58="Muy baja",AK58="Moderado"),AND(AI58="Baja",AK58="Menor"),AND(AI58="Baja",AK58="Moderado"),AND(AI58="Media",AK58="Leve"),AND(AI58="Media",AK58="Menor"),AND(AI58="Media",AK58="Moderado"),AND(AI58="Alta",AK58="Leve"),AND(AI58="Alta",AK58="Menor")),"Moderado",IF(OR(AND(AI58="Muy Baja",AK58="Mayor"),AND(AI58="Baja",AK58="Mayor"),AND(AI58="Media",AK58="Mayor"),AND(AI58="Alta",AK58="Moderado"),AND(AI58="Alta",AK58="Mayor"),AND(AI58="Muy Alta",AK58="Leve"),AND(AI58="Muy Alta",AK58="Menor"),AND(AI58="Muy Alta",AK58="Moderado"),AND(AI58="Muy Alta",AK58="Mayor")),"Alto",IF(OR(AND(AI58="Muy Baja",AK58="Catastrófico"),AND(AI58="Baja",AK58="Catastrófico"),AND(AI58="Media",AK58="Catastrófico"),AND(AI58="Alta",AK58="Catastrófico"),AND(AI58="Muy Alta",AK58="Catastrófico")),"Extremo","")))),"")</f>
        <v/>
      </c>
      <c r="AN58" s="157"/>
      <c r="AU58" s="142"/>
      <c r="AV58" s="122"/>
      <c r="AW58" s="123"/>
      <c r="AX58" s="123"/>
      <c r="AY58" s="121"/>
      <c r="AZ58" s="143"/>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row>
    <row r="59" spans="1:84" ht="151.5" customHeight="1" x14ac:dyDescent="0.3">
      <c r="A59" s="218"/>
      <c r="B59" s="125"/>
      <c r="C59" s="212"/>
      <c r="D59" s="128"/>
      <c r="E59" s="212"/>
      <c r="F59" s="212"/>
      <c r="G59" s="222"/>
      <c r="H59" s="131"/>
      <c r="I59" s="131"/>
      <c r="J59" s="212"/>
      <c r="K59" s="214"/>
      <c r="L59" s="216"/>
      <c r="M59" s="226"/>
      <c r="N59" s="228"/>
      <c r="O59" s="226">
        <f>IF(NOT(ISERROR(MATCH(N59,_xlfn.ANCHORARRAY(G70),0))),M72&amp;"Por favor no seleccionar los criterios de impacto",N59)</f>
        <v>0</v>
      </c>
      <c r="P59" s="216"/>
      <c r="Q59" s="226"/>
      <c r="R59" s="224"/>
      <c r="Y59" s="6">
        <v>3</v>
      </c>
      <c r="Z59" s="143"/>
      <c r="AA59" s="150" t="str">
        <f>IF(OR(AB59="Preventivo",AB59="Detectivo"),"Probabilidad",IF(AB59="Correctivo","Impacto",""))</f>
        <v/>
      </c>
      <c r="AB59" s="151"/>
      <c r="AC59" s="151"/>
      <c r="AD59" s="152" t="str">
        <f t="shared" si="63"/>
        <v/>
      </c>
      <c r="AE59" s="151"/>
      <c r="AF59" s="151"/>
      <c r="AG59" s="151"/>
      <c r="AH59" s="153" t="str">
        <f>IFERROR(IF(AND(AA58="Probabilidad",AA59="Probabilidad"),(AJ58-(+AJ58*AD59)),IF(AND(AA58="Impacto",AA59="Probabilidad"),(AJ57-(+AJ57*AD59)),IF(AA59="Impacto",AJ58,""))),"")</f>
        <v/>
      </c>
      <c r="AI59" s="154" t="str">
        <f t="shared" si="1"/>
        <v/>
      </c>
      <c r="AJ59" s="155" t="str">
        <f t="shared" si="64"/>
        <v/>
      </c>
      <c r="AK59" s="154" t="str">
        <f t="shared" si="3"/>
        <v/>
      </c>
      <c r="AL59" s="155" t="str">
        <f>IFERROR(IF(AND(AA58="Impacto",AA59="Impacto"),(AL58-(+AL58*AD59)),IF(AND(AA58="Probabilidad",AA59="Impacto"),(AL57-(+AL57*AD59)),IF(AA59="Probabilidad",AL58,""))),"")</f>
        <v/>
      </c>
      <c r="AM59" s="156" t="str">
        <f t="shared" si="65"/>
        <v/>
      </c>
      <c r="AN59" s="157"/>
      <c r="AU59" s="142"/>
      <c r="AV59" s="122"/>
      <c r="AW59" s="123"/>
      <c r="AX59" s="123"/>
      <c r="AY59" s="121"/>
      <c r="AZ59" s="143"/>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row>
    <row r="60" spans="1:84" ht="151.5" customHeight="1" x14ac:dyDescent="0.3">
      <c r="A60" s="218"/>
      <c r="B60" s="125"/>
      <c r="C60" s="212"/>
      <c r="D60" s="128"/>
      <c r="E60" s="212"/>
      <c r="F60" s="212"/>
      <c r="G60" s="222"/>
      <c r="H60" s="131"/>
      <c r="I60" s="131"/>
      <c r="J60" s="212"/>
      <c r="K60" s="214"/>
      <c r="L60" s="216"/>
      <c r="M60" s="226"/>
      <c r="N60" s="228"/>
      <c r="O60" s="226">
        <f>IF(NOT(ISERROR(MATCH(N60,_xlfn.ANCHORARRAY(G71),0))),M73&amp;"Por favor no seleccionar los criterios de impacto",N60)</f>
        <v>0</v>
      </c>
      <c r="P60" s="216"/>
      <c r="Q60" s="226"/>
      <c r="R60" s="224"/>
      <c r="Y60" s="6">
        <v>4</v>
      </c>
      <c r="Z60" s="149"/>
      <c r="AA60" s="150" t="str">
        <f t="shared" ref="AA60:AA62" si="66">IF(OR(AB60="Preventivo",AB60="Detectivo"),"Probabilidad",IF(AB60="Correctivo","Impacto",""))</f>
        <v/>
      </c>
      <c r="AB60" s="151"/>
      <c r="AC60" s="151"/>
      <c r="AD60" s="152" t="str">
        <f t="shared" si="63"/>
        <v/>
      </c>
      <c r="AE60" s="151"/>
      <c r="AF60" s="151"/>
      <c r="AG60" s="151"/>
      <c r="AH60" s="153" t="str">
        <f t="shared" ref="AH60:AH62" si="67">IFERROR(IF(AND(AA59="Probabilidad",AA60="Probabilidad"),(AJ59-(+AJ59*AD60)),IF(AND(AA59="Impacto",AA60="Probabilidad"),(AJ58-(+AJ58*AD60)),IF(AA60="Impacto",AJ59,""))),"")</f>
        <v/>
      </c>
      <c r="AI60" s="154" t="str">
        <f t="shared" si="1"/>
        <v/>
      </c>
      <c r="AJ60" s="155" t="str">
        <f t="shared" si="64"/>
        <v/>
      </c>
      <c r="AK60" s="154" t="str">
        <f t="shared" si="3"/>
        <v/>
      </c>
      <c r="AL60" s="155" t="str">
        <f t="shared" ref="AL60:AL62" si="68">IFERROR(IF(AND(AA59="Impacto",AA60="Impacto"),(AL59-(+AL59*AD60)),IF(AND(AA59="Probabilidad",AA60="Impacto"),(AL58-(+AL58*AD60)),IF(AA60="Probabilidad",AL59,""))),"")</f>
        <v/>
      </c>
      <c r="AM60" s="156" t="str">
        <f>IFERROR(IF(OR(AND(AI60="Muy Baja",AK60="Leve"),AND(AI60="Muy Baja",AK60="Menor"),AND(AI60="Baja",AK60="Leve")),"Bajo",IF(OR(AND(AI60="Muy baja",AK60="Moderado"),AND(AI60="Baja",AK60="Menor"),AND(AI60="Baja",AK60="Moderado"),AND(AI60="Media",AK60="Leve"),AND(AI60="Media",AK60="Menor"),AND(AI60="Media",AK60="Moderado"),AND(AI60="Alta",AK60="Leve"),AND(AI60="Alta",AK60="Menor")),"Moderado",IF(OR(AND(AI60="Muy Baja",AK60="Mayor"),AND(AI60="Baja",AK60="Mayor"),AND(AI60="Media",AK60="Mayor"),AND(AI60="Alta",AK60="Moderado"),AND(AI60="Alta",AK60="Mayor"),AND(AI60="Muy Alta",AK60="Leve"),AND(AI60="Muy Alta",AK60="Menor"),AND(AI60="Muy Alta",AK60="Moderado"),AND(AI60="Muy Alta",AK60="Mayor")),"Alto",IF(OR(AND(AI60="Muy Baja",AK60="Catastrófico"),AND(AI60="Baja",AK60="Catastrófico"),AND(AI60="Media",AK60="Catastrófico"),AND(AI60="Alta",AK60="Catastrófico"),AND(AI60="Muy Alta",AK60="Catastrófico")),"Extremo","")))),"")</f>
        <v/>
      </c>
      <c r="AN60" s="157"/>
      <c r="AU60" s="142"/>
      <c r="AV60" s="122"/>
      <c r="AW60" s="123"/>
      <c r="AX60" s="123"/>
      <c r="AY60" s="121"/>
      <c r="AZ60" s="143"/>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row>
    <row r="61" spans="1:84" ht="151.5" customHeight="1" x14ac:dyDescent="0.3">
      <c r="A61" s="218"/>
      <c r="B61" s="125"/>
      <c r="C61" s="212"/>
      <c r="D61" s="128"/>
      <c r="E61" s="212"/>
      <c r="F61" s="212"/>
      <c r="G61" s="222"/>
      <c r="H61" s="131"/>
      <c r="I61" s="131"/>
      <c r="J61" s="212"/>
      <c r="K61" s="214"/>
      <c r="L61" s="216"/>
      <c r="M61" s="226"/>
      <c r="N61" s="228"/>
      <c r="O61" s="226">
        <f>IF(NOT(ISERROR(MATCH(N61,_xlfn.ANCHORARRAY(G72),0))),M74&amp;"Por favor no seleccionar los criterios de impacto",N61)</f>
        <v>0</v>
      </c>
      <c r="P61" s="216"/>
      <c r="Q61" s="226"/>
      <c r="R61" s="224"/>
      <c r="Y61" s="6">
        <v>5</v>
      </c>
      <c r="Z61" s="149"/>
      <c r="AA61" s="150" t="str">
        <f t="shared" si="66"/>
        <v/>
      </c>
      <c r="AB61" s="151"/>
      <c r="AC61" s="151"/>
      <c r="AD61" s="152" t="str">
        <f t="shared" si="63"/>
        <v/>
      </c>
      <c r="AE61" s="151"/>
      <c r="AF61" s="151"/>
      <c r="AG61" s="151"/>
      <c r="AH61" s="153" t="str">
        <f t="shared" si="67"/>
        <v/>
      </c>
      <c r="AI61" s="154" t="str">
        <f t="shared" si="1"/>
        <v/>
      </c>
      <c r="AJ61" s="155" t="str">
        <f t="shared" si="64"/>
        <v/>
      </c>
      <c r="AK61" s="154" t="str">
        <f t="shared" si="3"/>
        <v/>
      </c>
      <c r="AL61" s="155" t="str">
        <f t="shared" si="68"/>
        <v/>
      </c>
      <c r="AM61" s="156" t="str">
        <f t="shared" ref="AM61:AM62" si="69">IFERROR(IF(OR(AND(AI61="Muy Baja",AK61="Leve"),AND(AI61="Muy Baja",AK61="Menor"),AND(AI61="Baja",AK61="Leve")),"Bajo",IF(OR(AND(AI61="Muy baja",AK61="Moderado"),AND(AI61="Baja",AK61="Menor"),AND(AI61="Baja",AK61="Moderado"),AND(AI61="Media",AK61="Leve"),AND(AI61="Media",AK61="Menor"),AND(AI61="Media",AK61="Moderado"),AND(AI61="Alta",AK61="Leve"),AND(AI61="Alta",AK61="Menor")),"Moderado",IF(OR(AND(AI61="Muy Baja",AK61="Mayor"),AND(AI61="Baja",AK61="Mayor"),AND(AI61="Media",AK61="Mayor"),AND(AI61="Alta",AK61="Moderado"),AND(AI61="Alta",AK61="Mayor"),AND(AI61="Muy Alta",AK61="Leve"),AND(AI61="Muy Alta",AK61="Menor"),AND(AI61="Muy Alta",AK61="Moderado"),AND(AI61="Muy Alta",AK61="Mayor")),"Alto",IF(OR(AND(AI61="Muy Baja",AK61="Catastrófico"),AND(AI61="Baja",AK61="Catastrófico"),AND(AI61="Media",AK61="Catastrófico"),AND(AI61="Alta",AK61="Catastrófico"),AND(AI61="Muy Alta",AK61="Catastrófico")),"Extremo","")))),"")</f>
        <v/>
      </c>
      <c r="AN61" s="157"/>
      <c r="AU61" s="142"/>
      <c r="AV61" s="122"/>
      <c r="AW61" s="123"/>
      <c r="AX61" s="123"/>
      <c r="AY61" s="121"/>
      <c r="AZ61" s="143"/>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row>
    <row r="62" spans="1:84" ht="151.5" customHeight="1" x14ac:dyDescent="0.3">
      <c r="A62" s="238"/>
      <c r="B62" s="126"/>
      <c r="C62" s="231"/>
      <c r="D62" s="129"/>
      <c r="E62" s="231"/>
      <c r="F62" s="231"/>
      <c r="G62" s="232"/>
      <c r="H62" s="132"/>
      <c r="I62" s="132"/>
      <c r="J62" s="231"/>
      <c r="K62" s="236"/>
      <c r="L62" s="234"/>
      <c r="M62" s="233"/>
      <c r="N62" s="237"/>
      <c r="O62" s="233">
        <f>IF(NOT(ISERROR(MATCH(N62,_xlfn.ANCHORARRAY(G73),0))),M75&amp;"Por favor no seleccionar los criterios de impacto",N62)</f>
        <v>0</v>
      </c>
      <c r="P62" s="234"/>
      <c r="Q62" s="233"/>
      <c r="R62" s="235"/>
      <c r="Y62" s="6">
        <v>6</v>
      </c>
      <c r="Z62" s="149"/>
      <c r="AA62" s="150" t="str">
        <f t="shared" si="66"/>
        <v/>
      </c>
      <c r="AB62" s="151"/>
      <c r="AC62" s="151"/>
      <c r="AD62" s="152" t="str">
        <f t="shared" si="63"/>
        <v/>
      </c>
      <c r="AE62" s="151"/>
      <c r="AF62" s="151"/>
      <c r="AG62" s="151"/>
      <c r="AH62" s="153" t="str">
        <f t="shared" si="67"/>
        <v/>
      </c>
      <c r="AI62" s="154" t="str">
        <f t="shared" si="1"/>
        <v/>
      </c>
      <c r="AJ62" s="155" t="str">
        <f t="shared" si="64"/>
        <v/>
      </c>
      <c r="AK62" s="154" t="str">
        <f t="shared" si="3"/>
        <v/>
      </c>
      <c r="AL62" s="155" t="str">
        <f t="shared" si="68"/>
        <v/>
      </c>
      <c r="AM62" s="156" t="str">
        <f t="shared" si="69"/>
        <v/>
      </c>
      <c r="AN62" s="157"/>
      <c r="AU62" s="142"/>
      <c r="AV62" s="122"/>
      <c r="AW62" s="123"/>
      <c r="AX62" s="123"/>
      <c r="AY62" s="121"/>
      <c r="AZ62" s="143"/>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row>
    <row r="63" spans="1:84" ht="151.5" customHeight="1" x14ac:dyDescent="0.3">
      <c r="A63" s="217">
        <v>10</v>
      </c>
      <c r="B63" s="124"/>
      <c r="C63" s="211"/>
      <c r="D63" s="127"/>
      <c r="E63" s="211"/>
      <c r="F63" s="211"/>
      <c r="G63" s="221"/>
      <c r="H63" s="130"/>
      <c r="I63" s="130"/>
      <c r="J63" s="211"/>
      <c r="K63" s="213"/>
      <c r="L63" s="215" t="str">
        <f>IF(K63&lt;=0,"",IF(K63&lt;=2,"Muy Baja",IF(K63&lt;=24,"Baja",IF(K63&lt;=500,"Media",IF(K63&lt;=5000,"Alta","Muy Alta")))))</f>
        <v/>
      </c>
      <c r="M63" s="225" t="str">
        <f>IF(L63="","",IF(L63="Muy Baja",0.2,IF(L63="Baja",0.4,IF(L63="Media",0.6,IF(L63="Alta",0.8,IF(L63="Muy Alta",1,))))))</f>
        <v/>
      </c>
      <c r="N63" s="227"/>
      <c r="O63" s="225">
        <f>IF(NOT(ISERROR(MATCH(N63,'Tabla Impacto'!$B$221:$B$223,0))),'Tabla Impacto'!$F$223&amp;"Por favor no seleccionar los criterios de impacto(Afectación Económica o presupuestal y Pérdida Reputacional)",N63)</f>
        <v>0</v>
      </c>
      <c r="P63" s="215" t="str">
        <f>IF(OR(O63='Tabla Impacto'!$C$11,O63='Tabla Impacto'!$D$11),"Leve",IF(OR(O63='Tabla Impacto'!$C$12,O63='Tabla Impacto'!$D$12),"Menor",IF(OR(O63='Tabla Impacto'!$C$13,O63='Tabla Impacto'!$D$13),"Moderado",IF(OR(O63='Tabla Impacto'!$C$14,O63='Tabla Impacto'!$D$14),"Mayor",IF(OR(O63='Tabla Impacto'!$C$15,O63='Tabla Impacto'!$D$15),"Catastrófico","")))))</f>
        <v/>
      </c>
      <c r="Q63" s="225" t="str">
        <f>IF(P63="","",IF(P63="Leve",0.2,IF(P63="Menor",0.4,IF(P63="Moderado",0.6,IF(P63="Mayor",0.8,IF(P63="Catastrófico",1,))))))</f>
        <v/>
      </c>
      <c r="R63" s="223" t="str">
        <f>IF(OR(AND(L63="Muy Baja",P63="Leve"),AND(L63="Muy Baja",P63="Menor"),AND(L63="Baja",P63="Leve")),"Bajo",IF(OR(AND(L63="Muy baja",P63="Moderado"),AND(L63="Baja",P63="Menor"),AND(L63="Baja",P63="Moderado"),AND(L63="Media",P63="Leve"),AND(L63="Media",P63="Menor"),AND(L63="Media",P63="Moderado"),AND(L63="Alta",P63="Leve"),AND(L63="Alta",P63="Menor")),"Moderado",IF(OR(AND(L63="Muy Baja",P63="Mayor"),AND(L63="Baja",P63="Mayor"),AND(L63="Media",P63="Mayor"),AND(L63="Alta",P63="Moderado"),AND(L63="Alta",P63="Mayor"),AND(L63="Muy Alta",P63="Leve"),AND(L63="Muy Alta",P63="Menor"),AND(L63="Muy Alta",P63="Moderado"),AND(L63="Muy Alta",P63="Mayor")),"Alto",IF(OR(AND(L63="Muy Baja",P63="Catastrófico"),AND(L63="Baja",P63="Catastrófico"),AND(L63="Media",P63="Catastrófico"),AND(L63="Alta",P63="Catastrófico"),AND(L63="Muy Alta",P63="Catastrófico")),"Extremo",""))))</f>
        <v/>
      </c>
      <c r="Y63" s="6">
        <v>1</v>
      </c>
      <c r="Z63" s="149"/>
      <c r="AA63" s="150" t="str">
        <f>IF(OR(AB63="Preventivo",AB63="Detectivo"),"Probabilidad",IF(AB63="Correctivo","Impacto",""))</f>
        <v/>
      </c>
      <c r="AB63" s="151"/>
      <c r="AC63" s="151"/>
      <c r="AD63" s="152" t="str">
        <f>IF(AND(AB63="Preventivo",AC63="Automático"),"50%",IF(AND(AB63="Preventivo",AC63="Manual"),"40%",IF(AND(AB63="Detectivo",AC63="Automático"),"40%",IF(AND(AB63="Detectivo",AC63="Manual"),"30%",IF(AND(AB63="Correctivo",AC63="Automático"),"35%",IF(AND(AB63="Correctivo",AC63="Manual"),"25%",""))))))</f>
        <v/>
      </c>
      <c r="AE63" s="151"/>
      <c r="AF63" s="151"/>
      <c r="AG63" s="151"/>
      <c r="AH63" s="153" t="str">
        <f>IFERROR(IF(AA63="Probabilidad",(M63-(+M63*AD63)),IF(AA63="Impacto",M63,"")),"")</f>
        <v/>
      </c>
      <c r="AI63" s="154" t="str">
        <f>IFERROR(IF(AH63="","",IF(AH63&lt;=0.2,"Muy Baja",IF(AH63&lt;=0.4,"Baja",IF(AH63&lt;=0.6,"Media",IF(AH63&lt;=0.8,"Alta","Muy Alta"))))),"")</f>
        <v/>
      </c>
      <c r="AJ63" s="155" t="str">
        <f>+AH63</f>
        <v/>
      </c>
      <c r="AK63" s="154" t="str">
        <f>IFERROR(IF(AL63="","",IF(AL63&lt;=0.2,"Leve",IF(AL63&lt;=0.4,"Menor",IF(AL63&lt;=0.6,"Moderado",IF(AL63&lt;=0.8,"Mayor","Catastrófico"))))),"")</f>
        <v/>
      </c>
      <c r="AL63" s="155" t="str">
        <f>IFERROR(IF(AA63="Impacto",(Q63-(+Q63*AD63)),IF(AA63="Probabilidad",Q63,"")),"")</f>
        <v/>
      </c>
      <c r="AM63" s="156" t="str">
        <f>IFERROR(IF(OR(AND(AI63="Muy Baja",AK63="Leve"),AND(AI63="Muy Baja",AK63="Menor"),AND(AI63="Baja",AK63="Leve")),"Bajo",IF(OR(AND(AI63="Muy baja",AK63="Moderado"),AND(AI63="Baja",AK63="Menor"),AND(AI63="Baja",AK63="Moderado"),AND(AI63="Media",AK63="Leve"),AND(AI63="Media",AK63="Menor"),AND(AI63="Media",AK63="Moderado"),AND(AI63="Alta",AK63="Leve"),AND(AI63="Alta",AK63="Menor")),"Moderado",IF(OR(AND(AI63="Muy Baja",AK63="Mayor"),AND(AI63="Baja",AK63="Mayor"),AND(AI63="Media",AK63="Mayor"),AND(AI63="Alta",AK63="Moderado"),AND(AI63="Alta",AK63="Mayor"),AND(AI63="Muy Alta",AK63="Leve"),AND(AI63="Muy Alta",AK63="Menor"),AND(AI63="Muy Alta",AK63="Moderado"),AND(AI63="Muy Alta",AK63="Mayor")),"Alto",IF(OR(AND(AI63="Muy Baja",AK63="Catastrófico"),AND(AI63="Baja",AK63="Catastrófico"),AND(AI63="Media",AK63="Catastrófico"),AND(AI63="Alta",AK63="Catastrófico"),AND(AI63="Muy Alta",AK63="Catastrófico")),"Extremo","")))),"")</f>
        <v/>
      </c>
      <c r="AN63" s="157"/>
      <c r="AU63" s="142"/>
      <c r="AV63" s="122"/>
      <c r="AW63" s="123"/>
      <c r="AX63" s="123"/>
      <c r="AY63" s="121"/>
      <c r="AZ63" s="143"/>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row>
    <row r="64" spans="1:84" ht="151.5" customHeight="1" x14ac:dyDescent="0.3">
      <c r="A64" s="218"/>
      <c r="B64" s="125"/>
      <c r="C64" s="212"/>
      <c r="D64" s="128"/>
      <c r="E64" s="212"/>
      <c r="F64" s="212"/>
      <c r="G64" s="222"/>
      <c r="H64" s="131"/>
      <c r="I64" s="131"/>
      <c r="J64" s="212"/>
      <c r="K64" s="214"/>
      <c r="L64" s="216"/>
      <c r="M64" s="226"/>
      <c r="N64" s="228"/>
      <c r="O64" s="226">
        <f>IF(NOT(ISERROR(MATCH(N64,_xlfn.ANCHORARRAY(G75),0))),M77&amp;"Por favor no seleccionar los criterios de impacto",N64)</f>
        <v>0</v>
      </c>
      <c r="P64" s="216"/>
      <c r="Q64" s="226"/>
      <c r="R64" s="224"/>
      <c r="Y64" s="6">
        <v>2</v>
      </c>
      <c r="Z64" s="149"/>
      <c r="AA64" s="150" t="str">
        <f>IF(OR(AB64="Preventivo",AB64="Detectivo"),"Probabilidad",IF(AB64="Correctivo","Impacto",""))</f>
        <v/>
      </c>
      <c r="AB64" s="151"/>
      <c r="AC64" s="151"/>
      <c r="AD64" s="152" t="str">
        <f t="shared" ref="AD64:AD68" si="70">IF(AND(AB64="Preventivo",AC64="Automático"),"50%",IF(AND(AB64="Preventivo",AC64="Manual"),"40%",IF(AND(AB64="Detectivo",AC64="Automático"),"40%",IF(AND(AB64="Detectivo",AC64="Manual"),"30%",IF(AND(AB64="Correctivo",AC64="Automático"),"35%",IF(AND(AB64="Correctivo",AC64="Manual"),"25%",""))))))</f>
        <v/>
      </c>
      <c r="AE64" s="151"/>
      <c r="AF64" s="151"/>
      <c r="AG64" s="151"/>
      <c r="AH64" s="153" t="str">
        <f>IFERROR(IF(AND(AA63="Probabilidad",AA64="Probabilidad"),(AJ63-(+AJ63*AD64)),IF(AA64="Probabilidad",(M63-(+M63*AD64)),IF(AA64="Impacto",AJ63,""))),"")</f>
        <v/>
      </c>
      <c r="AI64" s="154" t="str">
        <f t="shared" si="1"/>
        <v/>
      </c>
      <c r="AJ64" s="155" t="str">
        <f t="shared" ref="AJ64:AJ68" si="71">+AH64</f>
        <v/>
      </c>
      <c r="AK64" s="154" t="str">
        <f t="shared" si="3"/>
        <v/>
      </c>
      <c r="AL64" s="155" t="str">
        <f>IFERROR(IF(AND(AA63="Impacto",AA64="Impacto"),(AL63-(+AL63*AD64)),IF(AA64="Impacto",(Q63-(+Q63*AD64)),IF(AA64="Probabilidad",AL63,""))),"")</f>
        <v/>
      </c>
      <c r="AM64" s="156" t="str">
        <f t="shared" ref="AM64:AM65" si="72">IFERROR(IF(OR(AND(AI64="Muy Baja",AK64="Leve"),AND(AI64="Muy Baja",AK64="Menor"),AND(AI64="Baja",AK64="Leve")),"Bajo",IF(OR(AND(AI64="Muy baja",AK64="Moderado"),AND(AI64="Baja",AK64="Menor"),AND(AI64="Baja",AK64="Moderado"),AND(AI64="Media",AK64="Leve"),AND(AI64="Media",AK64="Menor"),AND(AI64="Media",AK64="Moderado"),AND(AI64="Alta",AK64="Leve"),AND(AI64="Alta",AK64="Menor")),"Moderado",IF(OR(AND(AI64="Muy Baja",AK64="Mayor"),AND(AI64="Baja",AK64="Mayor"),AND(AI64="Media",AK64="Mayor"),AND(AI64="Alta",AK64="Moderado"),AND(AI64="Alta",AK64="Mayor"),AND(AI64="Muy Alta",AK64="Leve"),AND(AI64="Muy Alta",AK64="Menor"),AND(AI64="Muy Alta",AK64="Moderado"),AND(AI64="Muy Alta",AK64="Mayor")),"Alto",IF(OR(AND(AI64="Muy Baja",AK64="Catastrófico"),AND(AI64="Baja",AK64="Catastrófico"),AND(AI64="Media",AK64="Catastrófico"),AND(AI64="Alta",AK64="Catastrófico"),AND(AI64="Muy Alta",AK64="Catastrófico")),"Extremo","")))),"")</f>
        <v/>
      </c>
      <c r="AN64" s="157"/>
      <c r="AU64" s="142"/>
      <c r="AV64" s="122"/>
      <c r="AW64" s="123"/>
      <c r="AX64" s="123"/>
      <c r="AY64" s="121"/>
      <c r="AZ64" s="143"/>
    </row>
    <row r="65" spans="1:52" ht="151.5" customHeight="1" x14ac:dyDescent="0.3">
      <c r="A65" s="218"/>
      <c r="B65" s="125"/>
      <c r="C65" s="212"/>
      <c r="D65" s="128"/>
      <c r="E65" s="212"/>
      <c r="F65" s="212"/>
      <c r="G65" s="222"/>
      <c r="H65" s="131"/>
      <c r="I65" s="131"/>
      <c r="J65" s="212"/>
      <c r="K65" s="214"/>
      <c r="L65" s="216"/>
      <c r="M65" s="226"/>
      <c r="N65" s="228"/>
      <c r="O65" s="226">
        <f>IF(NOT(ISERROR(MATCH(N65,_xlfn.ANCHORARRAY(G76),0))),M78&amp;"Por favor no seleccionar los criterios de impacto",N65)</f>
        <v>0</v>
      </c>
      <c r="P65" s="216"/>
      <c r="Q65" s="226"/>
      <c r="R65" s="224"/>
      <c r="Y65" s="6">
        <v>3</v>
      </c>
      <c r="Z65" s="143"/>
      <c r="AA65" s="150" t="str">
        <f>IF(OR(AB65="Preventivo",AB65="Detectivo"),"Probabilidad",IF(AB65="Correctivo","Impacto",""))</f>
        <v/>
      </c>
      <c r="AB65" s="151"/>
      <c r="AC65" s="151"/>
      <c r="AD65" s="152" t="str">
        <f t="shared" si="70"/>
        <v/>
      </c>
      <c r="AE65" s="151"/>
      <c r="AF65" s="151"/>
      <c r="AG65" s="151"/>
      <c r="AH65" s="153" t="str">
        <f>IFERROR(IF(AND(AA64="Probabilidad",AA65="Probabilidad"),(AJ64-(+AJ64*AD65)),IF(AND(AA64="Impacto",AA65="Probabilidad"),(AJ63-(+AJ63*AD65)),IF(AA65="Impacto",AJ64,""))),"")</f>
        <v/>
      </c>
      <c r="AI65" s="154" t="str">
        <f t="shared" si="1"/>
        <v/>
      </c>
      <c r="AJ65" s="155" t="str">
        <f t="shared" si="71"/>
        <v/>
      </c>
      <c r="AK65" s="154" t="str">
        <f t="shared" si="3"/>
        <v/>
      </c>
      <c r="AL65" s="155" t="str">
        <f>IFERROR(IF(AND(AA64="Impacto",AA65="Impacto"),(AL64-(+AL64*AD65)),IF(AND(AA64="Probabilidad",AA65="Impacto"),(AL63-(+AL63*AD65)),IF(AA65="Probabilidad",AL64,""))),"")</f>
        <v/>
      </c>
      <c r="AM65" s="156" t="str">
        <f t="shared" si="72"/>
        <v/>
      </c>
      <c r="AN65" s="157"/>
      <c r="AU65" s="142"/>
      <c r="AV65" s="122"/>
      <c r="AW65" s="123"/>
      <c r="AX65" s="123"/>
      <c r="AY65" s="121"/>
      <c r="AZ65" s="143"/>
    </row>
    <row r="66" spans="1:52" ht="151.5" customHeight="1" x14ac:dyDescent="0.3">
      <c r="A66" s="218"/>
      <c r="B66" s="125"/>
      <c r="C66" s="212"/>
      <c r="D66" s="128"/>
      <c r="E66" s="212"/>
      <c r="F66" s="212"/>
      <c r="G66" s="222"/>
      <c r="H66" s="131"/>
      <c r="I66" s="131"/>
      <c r="J66" s="212"/>
      <c r="K66" s="214"/>
      <c r="L66" s="216"/>
      <c r="M66" s="226"/>
      <c r="N66" s="228"/>
      <c r="O66" s="226">
        <f>IF(NOT(ISERROR(MATCH(N66,_xlfn.ANCHORARRAY(G77),0))),M79&amp;"Por favor no seleccionar los criterios de impacto",N66)</f>
        <v>0</v>
      </c>
      <c r="P66" s="216"/>
      <c r="Q66" s="226"/>
      <c r="R66" s="224"/>
      <c r="Y66" s="6">
        <v>4</v>
      </c>
      <c r="Z66" s="149"/>
      <c r="AA66" s="150" t="str">
        <f t="shared" ref="AA66:AA68" si="73">IF(OR(AB66="Preventivo",AB66="Detectivo"),"Probabilidad",IF(AB66="Correctivo","Impacto",""))</f>
        <v/>
      </c>
      <c r="AB66" s="151"/>
      <c r="AC66" s="151"/>
      <c r="AD66" s="152" t="str">
        <f t="shared" si="70"/>
        <v/>
      </c>
      <c r="AE66" s="151"/>
      <c r="AF66" s="151"/>
      <c r="AG66" s="151"/>
      <c r="AH66" s="153" t="str">
        <f t="shared" ref="AH66:AH68" si="74">IFERROR(IF(AND(AA65="Probabilidad",AA66="Probabilidad"),(AJ65-(+AJ65*AD66)),IF(AND(AA65="Impacto",AA66="Probabilidad"),(AJ64-(+AJ64*AD66)),IF(AA66="Impacto",AJ65,""))),"")</f>
        <v/>
      </c>
      <c r="AI66" s="154" t="str">
        <f t="shared" si="1"/>
        <v/>
      </c>
      <c r="AJ66" s="155" t="str">
        <f t="shared" si="71"/>
        <v/>
      </c>
      <c r="AK66" s="154" t="str">
        <f t="shared" si="3"/>
        <v/>
      </c>
      <c r="AL66" s="155" t="str">
        <f t="shared" ref="AL66:AL68" si="75">IFERROR(IF(AND(AA65="Impacto",AA66="Impacto"),(AL65-(+AL65*AD66)),IF(AND(AA65="Probabilidad",AA66="Impacto"),(AL64-(+AL64*AD66)),IF(AA66="Probabilidad",AL65,""))),"")</f>
        <v/>
      </c>
      <c r="AM66" s="156" t="str">
        <f>IFERROR(IF(OR(AND(AI66="Muy Baja",AK66="Leve"),AND(AI66="Muy Baja",AK66="Menor"),AND(AI66="Baja",AK66="Leve")),"Bajo",IF(OR(AND(AI66="Muy baja",AK66="Moderado"),AND(AI66="Baja",AK66="Menor"),AND(AI66="Baja",AK66="Moderado"),AND(AI66="Media",AK66="Leve"),AND(AI66="Media",AK66="Menor"),AND(AI66="Media",AK66="Moderado"),AND(AI66="Alta",AK66="Leve"),AND(AI66="Alta",AK66="Menor")),"Moderado",IF(OR(AND(AI66="Muy Baja",AK66="Mayor"),AND(AI66="Baja",AK66="Mayor"),AND(AI66="Media",AK66="Mayor"),AND(AI66="Alta",AK66="Moderado"),AND(AI66="Alta",AK66="Mayor"),AND(AI66="Muy Alta",AK66="Leve"),AND(AI66="Muy Alta",AK66="Menor"),AND(AI66="Muy Alta",AK66="Moderado"),AND(AI66="Muy Alta",AK66="Mayor")),"Alto",IF(OR(AND(AI66="Muy Baja",AK66="Catastrófico"),AND(AI66="Baja",AK66="Catastrófico"),AND(AI66="Media",AK66="Catastrófico"),AND(AI66="Alta",AK66="Catastrófico"),AND(AI66="Muy Alta",AK66="Catastrófico")),"Extremo","")))),"")</f>
        <v/>
      </c>
      <c r="AN66" s="157"/>
      <c r="AU66" s="142"/>
      <c r="AV66" s="122"/>
      <c r="AW66" s="123"/>
      <c r="AX66" s="123"/>
      <c r="AY66" s="121"/>
      <c r="AZ66" s="143"/>
    </row>
    <row r="67" spans="1:52" ht="151.5" customHeight="1" x14ac:dyDescent="0.3">
      <c r="A67" s="218"/>
      <c r="B67" s="125"/>
      <c r="C67" s="212"/>
      <c r="D67" s="128"/>
      <c r="E67" s="212"/>
      <c r="F67" s="212"/>
      <c r="G67" s="222"/>
      <c r="H67" s="131"/>
      <c r="I67" s="131"/>
      <c r="J67" s="212"/>
      <c r="K67" s="214"/>
      <c r="L67" s="216"/>
      <c r="M67" s="226"/>
      <c r="N67" s="228"/>
      <c r="O67" s="226">
        <f>IF(NOT(ISERROR(MATCH(N67,_xlfn.ANCHORARRAY(G78),0))),M80&amp;"Por favor no seleccionar los criterios de impacto",N67)</f>
        <v>0</v>
      </c>
      <c r="P67" s="216"/>
      <c r="Q67" s="226"/>
      <c r="R67" s="224"/>
      <c r="Y67" s="6">
        <v>5</v>
      </c>
      <c r="Z67" s="149"/>
      <c r="AA67" s="150" t="str">
        <f t="shared" si="73"/>
        <v/>
      </c>
      <c r="AB67" s="151"/>
      <c r="AC67" s="151"/>
      <c r="AD67" s="152" t="str">
        <f t="shared" si="70"/>
        <v/>
      </c>
      <c r="AE67" s="151"/>
      <c r="AF67" s="151"/>
      <c r="AG67" s="151"/>
      <c r="AH67" s="153" t="str">
        <f t="shared" si="74"/>
        <v/>
      </c>
      <c r="AI67" s="154" t="str">
        <f t="shared" si="1"/>
        <v/>
      </c>
      <c r="AJ67" s="155" t="str">
        <f t="shared" si="71"/>
        <v/>
      </c>
      <c r="AK67" s="154" t="str">
        <f t="shared" si="3"/>
        <v/>
      </c>
      <c r="AL67" s="155" t="str">
        <f t="shared" si="75"/>
        <v/>
      </c>
      <c r="AM67" s="156" t="str">
        <f t="shared" ref="AM67:AM68" si="76">IFERROR(IF(OR(AND(AI67="Muy Baja",AK67="Leve"),AND(AI67="Muy Baja",AK67="Menor"),AND(AI67="Baja",AK67="Leve")),"Bajo",IF(OR(AND(AI67="Muy baja",AK67="Moderado"),AND(AI67="Baja",AK67="Menor"),AND(AI67="Baja",AK67="Moderado"),AND(AI67="Media",AK67="Leve"),AND(AI67="Media",AK67="Menor"),AND(AI67="Media",AK67="Moderado"),AND(AI67="Alta",AK67="Leve"),AND(AI67="Alta",AK67="Menor")),"Moderado",IF(OR(AND(AI67="Muy Baja",AK67="Mayor"),AND(AI67="Baja",AK67="Mayor"),AND(AI67="Media",AK67="Mayor"),AND(AI67="Alta",AK67="Moderado"),AND(AI67="Alta",AK67="Mayor"),AND(AI67="Muy Alta",AK67="Leve"),AND(AI67="Muy Alta",AK67="Menor"),AND(AI67="Muy Alta",AK67="Moderado"),AND(AI67="Muy Alta",AK67="Mayor")),"Alto",IF(OR(AND(AI67="Muy Baja",AK67="Catastrófico"),AND(AI67="Baja",AK67="Catastrófico"),AND(AI67="Media",AK67="Catastrófico"),AND(AI67="Alta",AK67="Catastrófico"),AND(AI67="Muy Alta",AK67="Catastrófico")),"Extremo","")))),"")</f>
        <v/>
      </c>
      <c r="AN67" s="157"/>
      <c r="AU67" s="142"/>
      <c r="AV67" s="122"/>
      <c r="AW67" s="123"/>
      <c r="AX67" s="123"/>
      <c r="AY67" s="121"/>
      <c r="AZ67" s="143"/>
    </row>
    <row r="68" spans="1:52" ht="151.5" customHeight="1" x14ac:dyDescent="0.3">
      <c r="A68" s="238"/>
      <c r="B68" s="126"/>
      <c r="C68" s="231"/>
      <c r="D68" s="129"/>
      <c r="E68" s="231"/>
      <c r="F68" s="231"/>
      <c r="G68" s="232"/>
      <c r="H68" s="132"/>
      <c r="I68" s="132"/>
      <c r="J68" s="231"/>
      <c r="K68" s="236"/>
      <c r="L68" s="234"/>
      <c r="M68" s="233"/>
      <c r="N68" s="237"/>
      <c r="O68" s="233">
        <f>IF(NOT(ISERROR(MATCH(N68,_xlfn.ANCHORARRAY(G79),0))),M81&amp;"Por favor no seleccionar los criterios de impacto",N68)</f>
        <v>0</v>
      </c>
      <c r="P68" s="234"/>
      <c r="Q68" s="233"/>
      <c r="R68" s="235"/>
      <c r="Y68" s="6">
        <v>6</v>
      </c>
      <c r="Z68" s="149"/>
      <c r="AA68" s="150" t="str">
        <f t="shared" si="73"/>
        <v/>
      </c>
      <c r="AB68" s="151"/>
      <c r="AC68" s="151"/>
      <c r="AD68" s="152" t="str">
        <f t="shared" si="70"/>
        <v/>
      </c>
      <c r="AE68" s="151"/>
      <c r="AF68" s="151"/>
      <c r="AG68" s="151"/>
      <c r="AH68" s="153" t="str">
        <f t="shared" si="74"/>
        <v/>
      </c>
      <c r="AI68" s="154" t="str">
        <f t="shared" si="1"/>
        <v/>
      </c>
      <c r="AJ68" s="155" t="str">
        <f t="shared" si="71"/>
        <v/>
      </c>
      <c r="AK68" s="154" t="str">
        <f t="shared" si="3"/>
        <v/>
      </c>
      <c r="AL68" s="155" t="str">
        <f t="shared" si="75"/>
        <v/>
      </c>
      <c r="AM68" s="156" t="str">
        <f t="shared" si="76"/>
        <v/>
      </c>
      <c r="AN68" s="157"/>
      <c r="AU68" s="142"/>
      <c r="AV68" s="122"/>
      <c r="AW68" s="123"/>
      <c r="AX68" s="123"/>
      <c r="AY68" s="121"/>
      <c r="AZ68" s="143"/>
    </row>
    <row r="69" spans="1:52" ht="49.5" customHeight="1" x14ac:dyDescent="0.3">
      <c r="A69" s="6"/>
      <c r="B69" s="137"/>
      <c r="C69" s="266" t="s">
        <v>122</v>
      </c>
      <c r="D69" s="267"/>
      <c r="E69" s="267"/>
      <c r="F69" s="267"/>
      <c r="G69" s="267"/>
      <c r="H69" s="267"/>
      <c r="I69" s="267"/>
      <c r="J69" s="267"/>
      <c r="K69" s="267"/>
      <c r="L69" s="267"/>
      <c r="M69" s="267"/>
      <c r="N69" s="267"/>
      <c r="O69" s="267"/>
      <c r="P69" s="267"/>
      <c r="Q69" s="267"/>
      <c r="R69" s="267"/>
      <c r="S69" s="267"/>
      <c r="T69" s="267"/>
      <c r="U69" s="267"/>
      <c r="V69" s="267"/>
      <c r="W69" s="267"/>
      <c r="X69" s="267"/>
      <c r="Y69" s="267"/>
      <c r="Z69" s="267"/>
      <c r="AA69" s="267"/>
      <c r="AB69" s="267"/>
      <c r="AC69" s="267"/>
      <c r="AD69" s="267"/>
      <c r="AE69" s="267"/>
      <c r="AF69" s="267"/>
      <c r="AG69" s="267"/>
      <c r="AH69" s="267"/>
      <c r="AI69" s="267"/>
      <c r="AJ69" s="267"/>
      <c r="AK69" s="267"/>
      <c r="AL69" s="267"/>
      <c r="AM69" s="267"/>
      <c r="AN69" s="267"/>
      <c r="AO69" s="267"/>
      <c r="AP69" s="267"/>
      <c r="AQ69" s="267"/>
      <c r="AR69" s="267"/>
      <c r="AS69" s="267"/>
      <c r="AT69" s="267"/>
      <c r="AU69" s="267"/>
      <c r="AV69" s="267"/>
      <c r="AW69" s="267"/>
      <c r="AX69" s="267"/>
      <c r="AY69" s="267"/>
      <c r="AZ69" s="268"/>
    </row>
    <row r="71" spans="1:52" x14ac:dyDescent="0.3">
      <c r="A71" s="1"/>
      <c r="B71" s="1"/>
      <c r="C71" s="24" t="s">
        <v>123</v>
      </c>
      <c r="D71" s="24"/>
      <c r="E71" s="1"/>
      <c r="F71" s="1"/>
      <c r="J71" s="1"/>
    </row>
  </sheetData>
  <dataConsolidate/>
  <mergeCells count="208">
    <mergeCell ref="S8:X8"/>
    <mergeCell ref="S9:V9"/>
    <mergeCell ref="W9:X9"/>
    <mergeCell ref="S10:T10"/>
    <mergeCell ref="U10:V10"/>
    <mergeCell ref="AO8:AT8"/>
    <mergeCell ref="AO9:AR9"/>
    <mergeCell ref="AS9:AT9"/>
    <mergeCell ref="AO10:AP10"/>
    <mergeCell ref="AQ10:AR10"/>
    <mergeCell ref="AJ9:AJ10"/>
    <mergeCell ref="AA9:AA10"/>
    <mergeCell ref="AB9:AG9"/>
    <mergeCell ref="D5:R5"/>
    <mergeCell ref="D6:R6"/>
    <mergeCell ref="D7:R7"/>
    <mergeCell ref="A1:E4"/>
    <mergeCell ref="F1:M4"/>
    <mergeCell ref="N1:R1"/>
    <mergeCell ref="N2:R2"/>
    <mergeCell ref="N3:R3"/>
    <mergeCell ref="N4:R4"/>
    <mergeCell ref="L8:R8"/>
    <mergeCell ref="Y8:AG8"/>
    <mergeCell ref="AH8:AN8"/>
    <mergeCell ref="AU8:AZ8"/>
    <mergeCell ref="C69:AZ69"/>
    <mergeCell ref="Q57:Q62"/>
    <mergeCell ref="R57:R62"/>
    <mergeCell ref="A63:A68"/>
    <mergeCell ref="C63:C68"/>
    <mergeCell ref="E63:E68"/>
    <mergeCell ref="F63:F68"/>
    <mergeCell ref="G63:G68"/>
    <mergeCell ref="J63:J68"/>
    <mergeCell ref="K63:K68"/>
    <mergeCell ref="L63:L68"/>
    <mergeCell ref="M63:M68"/>
    <mergeCell ref="N63:N68"/>
    <mergeCell ref="O63:O68"/>
    <mergeCell ref="P63:P68"/>
    <mergeCell ref="Q63:Q68"/>
    <mergeCell ref="R63:R68"/>
    <mergeCell ref="N57:N62"/>
    <mergeCell ref="O57:O62"/>
    <mergeCell ref="P57:P62"/>
    <mergeCell ref="A57:A62"/>
    <mergeCell ref="C57:C62"/>
    <mergeCell ref="E57:E62"/>
    <mergeCell ref="F57:F62"/>
    <mergeCell ref="G57:G62"/>
    <mergeCell ref="J57:J62"/>
    <mergeCell ref="K57:K62"/>
    <mergeCell ref="L57:L62"/>
    <mergeCell ref="M57:M62"/>
    <mergeCell ref="Q45:Q50"/>
    <mergeCell ref="R45:R50"/>
    <mergeCell ref="J51:J56"/>
    <mergeCell ref="K51:K56"/>
    <mergeCell ref="L51:L56"/>
    <mergeCell ref="M51:M56"/>
    <mergeCell ref="N51:N56"/>
    <mergeCell ref="J45:J50"/>
    <mergeCell ref="K45:K50"/>
    <mergeCell ref="L45:L50"/>
    <mergeCell ref="M45:M50"/>
    <mergeCell ref="O51:O56"/>
    <mergeCell ref="P51:P56"/>
    <mergeCell ref="Q51:Q56"/>
    <mergeCell ref="R51:R56"/>
    <mergeCell ref="M33:M38"/>
    <mergeCell ref="N33:N38"/>
    <mergeCell ref="K39:K44"/>
    <mergeCell ref="L39:L44"/>
    <mergeCell ref="M39:M44"/>
    <mergeCell ref="O33:O38"/>
    <mergeCell ref="P33:P38"/>
    <mergeCell ref="A51:A56"/>
    <mergeCell ref="C51:C56"/>
    <mergeCell ref="E51:E56"/>
    <mergeCell ref="F51:F56"/>
    <mergeCell ref="G51:G56"/>
    <mergeCell ref="A45:A50"/>
    <mergeCell ref="C45:C50"/>
    <mergeCell ref="E45:E50"/>
    <mergeCell ref="F45:F50"/>
    <mergeCell ref="G45:G50"/>
    <mergeCell ref="Q33:Q38"/>
    <mergeCell ref="R33:R38"/>
    <mergeCell ref="Q39:Q44"/>
    <mergeCell ref="R39:R44"/>
    <mergeCell ref="N45:N50"/>
    <mergeCell ref="O45:O50"/>
    <mergeCell ref="P45:P50"/>
    <mergeCell ref="A33:A38"/>
    <mergeCell ref="C33:C38"/>
    <mergeCell ref="E33:E38"/>
    <mergeCell ref="A39:A44"/>
    <mergeCell ref="C39:C44"/>
    <mergeCell ref="E39:E44"/>
    <mergeCell ref="F39:F44"/>
    <mergeCell ref="G39:G44"/>
    <mergeCell ref="J39:J44"/>
    <mergeCell ref="F33:F38"/>
    <mergeCell ref="G33:G38"/>
    <mergeCell ref="N39:N44"/>
    <mergeCell ref="O39:O44"/>
    <mergeCell ref="P39:P44"/>
    <mergeCell ref="J33:J38"/>
    <mergeCell ref="K33:K38"/>
    <mergeCell ref="L33:L38"/>
    <mergeCell ref="L21:L26"/>
    <mergeCell ref="M21:M26"/>
    <mergeCell ref="Q21:Q26"/>
    <mergeCell ref="R21:R26"/>
    <mergeCell ref="A27:A32"/>
    <mergeCell ref="C27:C32"/>
    <mergeCell ref="E27:E32"/>
    <mergeCell ref="F27:F32"/>
    <mergeCell ref="G27:G32"/>
    <mergeCell ref="J27:J32"/>
    <mergeCell ref="K27:K32"/>
    <mergeCell ref="L27:L32"/>
    <mergeCell ref="M27:M32"/>
    <mergeCell ref="N27:N32"/>
    <mergeCell ref="O27:O32"/>
    <mergeCell ref="P27:P32"/>
    <mergeCell ref="Q27:Q32"/>
    <mergeCell ref="R27:R32"/>
    <mergeCell ref="N21:N26"/>
    <mergeCell ref="O21:O26"/>
    <mergeCell ref="P21:P26"/>
    <mergeCell ref="C15:C20"/>
    <mergeCell ref="E15:E20"/>
    <mergeCell ref="A21:A26"/>
    <mergeCell ref="C21:C26"/>
    <mergeCell ref="E21:E26"/>
    <mergeCell ref="F21:F26"/>
    <mergeCell ref="G21:G26"/>
    <mergeCell ref="J21:J26"/>
    <mergeCell ref="K21:K26"/>
    <mergeCell ref="AU9:AU10"/>
    <mergeCell ref="AZ9:AZ10"/>
    <mergeCell ref="AY9:AY10"/>
    <mergeCell ref="AX9:AX10"/>
    <mergeCell ref="AW9:AW10"/>
    <mergeCell ref="AV9:AV10"/>
    <mergeCell ref="A5:C5"/>
    <mergeCell ref="A6:C6"/>
    <mergeCell ref="A7:C7"/>
    <mergeCell ref="A9:A10"/>
    <mergeCell ref="J9:J10"/>
    <mergeCell ref="G9:G10"/>
    <mergeCell ref="F9:F10"/>
    <mergeCell ref="E9:E10"/>
    <mergeCell ref="AN9:AN10"/>
    <mergeCell ref="Y9:Y10"/>
    <mergeCell ref="AM9:AM10"/>
    <mergeCell ref="AL9:AL10"/>
    <mergeCell ref="AH9:AH10"/>
    <mergeCell ref="Z9:Z10"/>
    <mergeCell ref="AK9:AK10"/>
    <mergeCell ref="AI9:AI10"/>
    <mergeCell ref="Y5:AA5"/>
    <mergeCell ref="A8:K8"/>
    <mergeCell ref="K9:K10"/>
    <mergeCell ref="L9:L10"/>
    <mergeCell ref="M9:M10"/>
    <mergeCell ref="P9:P10"/>
    <mergeCell ref="Q9:Q10"/>
    <mergeCell ref="C9:C10"/>
    <mergeCell ref="R9:R10"/>
    <mergeCell ref="N9:N10"/>
    <mergeCell ref="O9:O10"/>
    <mergeCell ref="A11:A14"/>
    <mergeCell ref="C11:C14"/>
    <mergeCell ref="E11:E14"/>
    <mergeCell ref="F11:F14"/>
    <mergeCell ref="G11:G14"/>
    <mergeCell ref="R11:R14"/>
    <mergeCell ref="M11:M14"/>
    <mergeCell ref="N11:N14"/>
    <mergeCell ref="O11:O14"/>
    <mergeCell ref="P11:P14"/>
    <mergeCell ref="Q11:Q14"/>
    <mergeCell ref="B11:B17"/>
    <mergeCell ref="F15:F20"/>
    <mergeCell ref="G15:G20"/>
    <mergeCell ref="O15:O20"/>
    <mergeCell ref="P15:P20"/>
    <mergeCell ref="Q15:Q20"/>
    <mergeCell ref="R15:R20"/>
    <mergeCell ref="J15:J20"/>
    <mergeCell ref="K15:K20"/>
    <mergeCell ref="L15:L20"/>
    <mergeCell ref="M15:M20"/>
    <mergeCell ref="N15:N20"/>
    <mergeCell ref="A15:A20"/>
    <mergeCell ref="H11:H13"/>
    <mergeCell ref="S11:S12"/>
    <mergeCell ref="T11:T12"/>
    <mergeCell ref="U11:U12"/>
    <mergeCell ref="V11:V12"/>
    <mergeCell ref="W11:W12"/>
    <mergeCell ref="X11:X12"/>
    <mergeCell ref="J11:J14"/>
    <mergeCell ref="K11:K14"/>
    <mergeCell ref="L11:L14"/>
  </mergeCells>
  <conditionalFormatting sqref="L11 AI11:AI68 L15">
    <cfRule type="cellIs" dxfId="94" priority="329" operator="equal">
      <formula>"Media"</formula>
    </cfRule>
    <cfRule type="cellIs" dxfId="93" priority="328" operator="equal">
      <formula>"Alta"</formula>
    </cfRule>
    <cfRule type="cellIs" dxfId="92" priority="327" operator="equal">
      <formula>"Muy Alta"</formula>
    </cfRule>
    <cfRule type="cellIs" dxfId="91" priority="330" operator="equal">
      <formula>"Baja"</formula>
    </cfRule>
    <cfRule type="cellIs" dxfId="90" priority="331" operator="equal">
      <formula>"Muy Baja"</formula>
    </cfRule>
  </conditionalFormatting>
  <conditionalFormatting sqref="L21">
    <cfRule type="cellIs" dxfId="89" priority="229" operator="equal">
      <formula>"Muy Alta"</formula>
    </cfRule>
    <cfRule type="cellIs" dxfId="88" priority="233" operator="equal">
      <formula>"Muy Baja"</formula>
    </cfRule>
    <cfRule type="cellIs" dxfId="87" priority="232" operator="equal">
      <formula>"Baja"</formula>
    </cfRule>
    <cfRule type="cellIs" dxfId="86" priority="231" operator="equal">
      <formula>"Media"</formula>
    </cfRule>
    <cfRule type="cellIs" dxfId="85" priority="230" operator="equal">
      <formula>"Alta"</formula>
    </cfRule>
  </conditionalFormatting>
  <conditionalFormatting sqref="L27">
    <cfRule type="cellIs" dxfId="84" priority="205" operator="equal">
      <formula>"Muy Baja"</formula>
    </cfRule>
    <cfRule type="cellIs" dxfId="83" priority="204" operator="equal">
      <formula>"Baja"</formula>
    </cfRule>
    <cfRule type="cellIs" dxfId="82" priority="203" operator="equal">
      <formula>"Media"</formula>
    </cfRule>
    <cfRule type="cellIs" dxfId="81" priority="202" operator="equal">
      <formula>"Alta"</formula>
    </cfRule>
    <cfRule type="cellIs" dxfId="80" priority="201" operator="equal">
      <formula>"Muy Alta"</formula>
    </cfRule>
  </conditionalFormatting>
  <conditionalFormatting sqref="L33">
    <cfRule type="cellIs" dxfId="79" priority="174" operator="equal">
      <formula>"Alta"</formula>
    </cfRule>
    <cfRule type="cellIs" dxfId="78" priority="177" operator="equal">
      <formula>"Muy Baja"</formula>
    </cfRule>
    <cfRule type="cellIs" dxfId="77" priority="173" operator="equal">
      <formula>"Muy Alta"</formula>
    </cfRule>
    <cfRule type="cellIs" dxfId="76" priority="176" operator="equal">
      <formula>"Baja"</formula>
    </cfRule>
    <cfRule type="cellIs" dxfId="75" priority="175" operator="equal">
      <formula>"Media"</formula>
    </cfRule>
  </conditionalFormatting>
  <conditionalFormatting sqref="L39">
    <cfRule type="cellIs" dxfId="74" priority="146" operator="equal">
      <formula>"Alta"</formula>
    </cfRule>
    <cfRule type="cellIs" dxfId="73" priority="148" operator="equal">
      <formula>"Baja"</formula>
    </cfRule>
    <cfRule type="cellIs" dxfId="72" priority="149" operator="equal">
      <formula>"Muy Baja"</formula>
    </cfRule>
    <cfRule type="cellIs" dxfId="71" priority="147" operator="equal">
      <formula>"Media"</formula>
    </cfRule>
    <cfRule type="cellIs" dxfId="70" priority="145" operator="equal">
      <formula>"Muy Alta"</formula>
    </cfRule>
  </conditionalFormatting>
  <conditionalFormatting sqref="L45">
    <cfRule type="cellIs" dxfId="69" priority="118" operator="equal">
      <formula>"Alta"</formula>
    </cfRule>
    <cfRule type="cellIs" dxfId="68" priority="119" operator="equal">
      <formula>"Media"</formula>
    </cfRule>
    <cfRule type="cellIs" dxfId="67" priority="120" operator="equal">
      <formula>"Baja"</formula>
    </cfRule>
    <cfRule type="cellIs" dxfId="66" priority="121" operator="equal">
      <formula>"Muy Baja"</formula>
    </cfRule>
    <cfRule type="cellIs" dxfId="65" priority="117" operator="equal">
      <formula>"Muy Alta"</formula>
    </cfRule>
  </conditionalFormatting>
  <conditionalFormatting sqref="L51">
    <cfRule type="cellIs" dxfId="64" priority="93" operator="equal">
      <formula>"Muy Baja"</formula>
    </cfRule>
    <cfRule type="cellIs" dxfId="63" priority="92" operator="equal">
      <formula>"Baja"</formula>
    </cfRule>
    <cfRule type="cellIs" dxfId="62" priority="90" operator="equal">
      <formula>"Alta"</formula>
    </cfRule>
    <cfRule type="cellIs" dxfId="61" priority="91" operator="equal">
      <formula>"Media"</formula>
    </cfRule>
    <cfRule type="cellIs" dxfId="60" priority="89" operator="equal">
      <formula>"Muy Alta"</formula>
    </cfRule>
  </conditionalFormatting>
  <conditionalFormatting sqref="L57">
    <cfRule type="cellIs" dxfId="59" priority="62" operator="equal">
      <formula>"Alta"</formula>
    </cfRule>
    <cfRule type="cellIs" dxfId="58" priority="64" operator="equal">
      <formula>"Baja"</formula>
    </cfRule>
    <cfRule type="cellIs" dxfId="57" priority="65" operator="equal">
      <formula>"Muy Baja"</formula>
    </cfRule>
    <cfRule type="cellIs" dxfId="56" priority="63" operator="equal">
      <formula>"Media"</formula>
    </cfRule>
    <cfRule type="cellIs" dxfId="55" priority="61" operator="equal">
      <formula>"Muy Alta"</formula>
    </cfRule>
  </conditionalFormatting>
  <conditionalFormatting sqref="L63">
    <cfRule type="cellIs" dxfId="54" priority="37" operator="equal">
      <formula>"Muy Baja"</formula>
    </cfRule>
    <cfRule type="cellIs" dxfId="53" priority="34" operator="equal">
      <formula>"Alta"</formula>
    </cfRule>
    <cfRule type="cellIs" dxfId="52" priority="33" operator="equal">
      <formula>"Muy Alta"</formula>
    </cfRule>
    <cfRule type="cellIs" dxfId="51" priority="35" operator="equal">
      <formula>"Media"</formula>
    </cfRule>
    <cfRule type="cellIs" dxfId="50" priority="36" operator="equal">
      <formula>"Baja"</formula>
    </cfRule>
  </conditionalFormatting>
  <conditionalFormatting sqref="O11:O68">
    <cfRule type="containsText" dxfId="49" priority="9" operator="containsText" text="❌">
      <formula>NOT(ISERROR(SEARCH("❌",O11)))</formula>
    </cfRule>
  </conditionalFormatting>
  <conditionalFormatting sqref="P11 AK11:AK68 P15 P21 P27 P33 P39 P45 P51 P57 P63">
    <cfRule type="cellIs" dxfId="48" priority="322" operator="equal">
      <formula>"Catastrófico"</formula>
    </cfRule>
    <cfRule type="cellIs" dxfId="47" priority="323" operator="equal">
      <formula>"Mayor"</formula>
    </cfRule>
    <cfRule type="cellIs" dxfId="46" priority="324" operator="equal">
      <formula>"Moderado"</formula>
    </cfRule>
    <cfRule type="cellIs" dxfId="45" priority="325" operator="equal">
      <formula>"Menor"</formula>
    </cfRule>
    <cfRule type="cellIs" dxfId="44" priority="326" operator="equal">
      <formula>"Leve"</formula>
    </cfRule>
  </conditionalFormatting>
  <conditionalFormatting sqref="R21">
    <cfRule type="cellIs" dxfId="43" priority="221" operator="equal">
      <formula>"Alto"</formula>
    </cfRule>
    <cfRule type="cellIs" dxfId="42" priority="222" operator="equal">
      <formula>"Moderado"</formula>
    </cfRule>
    <cfRule type="cellIs" dxfId="41" priority="220" operator="equal">
      <formula>"Extremo"</formula>
    </cfRule>
    <cfRule type="cellIs" dxfId="40" priority="223" operator="equal">
      <formula>"Bajo"</formula>
    </cfRule>
  </conditionalFormatting>
  <conditionalFormatting sqref="R27">
    <cfRule type="cellIs" dxfId="39" priority="194" operator="equal">
      <formula>"Moderado"</formula>
    </cfRule>
    <cfRule type="cellIs" dxfId="38" priority="192" operator="equal">
      <formula>"Extremo"</formula>
    </cfRule>
    <cfRule type="cellIs" dxfId="37" priority="193" operator="equal">
      <formula>"Alto"</formula>
    </cfRule>
    <cfRule type="cellIs" dxfId="36" priority="195" operator="equal">
      <formula>"Bajo"</formula>
    </cfRule>
  </conditionalFormatting>
  <conditionalFormatting sqref="R33">
    <cfRule type="cellIs" dxfId="35" priority="167" operator="equal">
      <formula>"Bajo"</formula>
    </cfRule>
    <cfRule type="cellIs" dxfId="34" priority="164" operator="equal">
      <formula>"Extremo"</formula>
    </cfRule>
    <cfRule type="cellIs" dxfId="33" priority="165" operator="equal">
      <formula>"Alto"</formula>
    </cfRule>
    <cfRule type="cellIs" dxfId="32" priority="166" operator="equal">
      <formula>"Moderado"</formula>
    </cfRule>
  </conditionalFormatting>
  <conditionalFormatting sqref="R39">
    <cfRule type="cellIs" dxfId="31" priority="138" operator="equal">
      <formula>"Moderado"</formula>
    </cfRule>
    <cfRule type="cellIs" dxfId="30" priority="139" operator="equal">
      <formula>"Bajo"</formula>
    </cfRule>
    <cfRule type="cellIs" dxfId="29" priority="136" operator="equal">
      <formula>"Extremo"</formula>
    </cfRule>
    <cfRule type="cellIs" dxfId="28" priority="137" operator="equal">
      <formula>"Alto"</formula>
    </cfRule>
  </conditionalFormatting>
  <conditionalFormatting sqref="R45">
    <cfRule type="cellIs" dxfId="27" priority="111" operator="equal">
      <formula>"Bajo"</formula>
    </cfRule>
    <cfRule type="cellIs" dxfId="26" priority="110" operator="equal">
      <formula>"Moderado"</formula>
    </cfRule>
    <cfRule type="cellIs" dxfId="25" priority="109" operator="equal">
      <formula>"Alto"</formula>
    </cfRule>
    <cfRule type="cellIs" dxfId="24" priority="108" operator="equal">
      <formula>"Extremo"</formula>
    </cfRule>
  </conditionalFormatting>
  <conditionalFormatting sqref="R51">
    <cfRule type="cellIs" dxfId="23" priority="83" operator="equal">
      <formula>"Bajo"</formula>
    </cfRule>
    <cfRule type="cellIs" dxfId="22" priority="82" operator="equal">
      <formula>"Moderado"</formula>
    </cfRule>
    <cfRule type="cellIs" dxfId="21" priority="81" operator="equal">
      <formula>"Alto"</formula>
    </cfRule>
    <cfRule type="cellIs" dxfId="20" priority="80" operator="equal">
      <formula>"Extremo"</formula>
    </cfRule>
  </conditionalFormatting>
  <conditionalFormatting sqref="R57">
    <cfRule type="cellIs" dxfId="19" priority="55" operator="equal">
      <formula>"Bajo"</formula>
    </cfRule>
    <cfRule type="cellIs" dxfId="18" priority="54" operator="equal">
      <formula>"Moderado"</formula>
    </cfRule>
    <cfRule type="cellIs" dxfId="17" priority="53" operator="equal">
      <formula>"Alto"</formula>
    </cfRule>
    <cfRule type="cellIs" dxfId="16" priority="52" operator="equal">
      <formula>"Extremo"</formula>
    </cfRule>
  </conditionalFormatting>
  <conditionalFormatting sqref="R63">
    <cfRule type="cellIs" dxfId="15" priority="26" operator="equal">
      <formula>"Moderado"</formula>
    </cfRule>
    <cfRule type="cellIs" dxfId="14" priority="27" operator="equal">
      <formula>"Bajo"</formula>
    </cfRule>
    <cfRule type="cellIs" dxfId="13" priority="25" operator="equal">
      <formula>"Alto"</formula>
    </cfRule>
    <cfRule type="cellIs" dxfId="12" priority="24" operator="equal">
      <formula>"Extremo"</formula>
    </cfRule>
  </conditionalFormatting>
  <conditionalFormatting sqref="R11:X11">
    <cfRule type="cellIs" dxfId="11" priority="6" operator="equal">
      <formula>"Alto"</formula>
    </cfRule>
    <cfRule type="cellIs" dxfId="10" priority="5" operator="equal">
      <formula>"Extremo"</formula>
    </cfRule>
    <cfRule type="cellIs" dxfId="9" priority="8" operator="equal">
      <formula>"Bajo"</formula>
    </cfRule>
    <cfRule type="cellIs" dxfId="8" priority="7" operator="equal">
      <formula>"Moderado"</formula>
    </cfRule>
  </conditionalFormatting>
  <conditionalFormatting sqref="AM11:AM68 AO13:AT28 S13:X56 R15">
    <cfRule type="cellIs" dxfId="7" priority="248" operator="equal">
      <formula>"Extremo"</formula>
    </cfRule>
    <cfRule type="cellIs" dxfId="6" priority="249" operator="equal">
      <formula>"Alto"</formula>
    </cfRule>
    <cfRule type="cellIs" dxfId="5" priority="251" operator="equal">
      <formula>"Bajo"</formula>
    </cfRule>
    <cfRule type="cellIs" dxfId="4" priority="250" operator="equal">
      <formula>"Moderado"</formula>
    </cfRule>
  </conditionalFormatting>
  <conditionalFormatting sqref="AO11:AT11">
    <cfRule type="cellIs" dxfId="3" priority="4" operator="equal">
      <formula>"Bajo"</formula>
    </cfRule>
    <cfRule type="cellIs" dxfId="2" priority="3" operator="equal">
      <formula>"Moderado"</formula>
    </cfRule>
    <cfRule type="cellIs" dxfId="1" priority="2" operator="equal">
      <formula>"Alto"</formula>
    </cfRule>
    <cfRule type="cellIs" dxfId="0" priority="1" operator="equal">
      <formula>"Extremo"</formula>
    </cfRule>
  </conditionalFormatting>
  <dataValidations count="2">
    <dataValidation type="custom" allowBlank="1" showInputMessage="1" showErrorMessage="1" error="Recuerde que las acciones se generan bajo la medida de mitigar el riesgo" sqref="AX21:AY22 AX15:AY17 AX11:AY13" xr:uid="{00000000-0002-0000-0100-000000000000}"/>
    <dataValidation type="list" allowBlank="1" showInputMessage="1" showErrorMessage="1" sqref="AZ21:AZ22" xr:uid="{00000000-0002-0000-0100-000001000000}"/>
  </dataValidations>
  <pageMargins left="0.7" right="0.7" top="0.75" bottom="0.75" header="0.3" footer="0.3"/>
  <pageSetup orientation="portrait" r:id="rId1"/>
  <ignoredErrors>
    <ignoredError sqref="AL13" formula="1"/>
  </ignoredErrors>
  <drawing r:id="rId2"/>
  <legacyDrawing r:id="rId3"/>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6000000}">
          <x14:formula1>
            <xm:f>'Opciones Tratamiento'!$B$9:$B$10</xm:f>
          </x14:formula1>
          <xm:sqref>AZ66:AZ67 AZ60:AZ61 AZ63:AZ64 AZ24:AZ25 AZ27:AZ28 AZ30:AZ31 AZ33:AZ34 AZ36:AZ37 AZ39:AZ40 AZ42:AZ43 AZ45:AZ46 AZ48:AZ49 AZ51:AZ52 AZ54:AZ55 AZ57:AZ58 AZ11:AZ19</xm:sqref>
        </x14:dataValidation>
        <x14:dataValidation type="list" allowBlank="1" showInputMessage="1" showErrorMessage="1" xr:uid="{00000000-0002-0000-0100-000009000000}">
          <x14:formula1>
            <xm:f>'Opciones Tratamiento'!$E$2:$E$4</xm:f>
          </x14:formula1>
          <xm:sqref>D14 D19:D68 C11:C68</xm:sqref>
        </x14:dataValidation>
        <x14:dataValidation type="custom" allowBlank="1" showInputMessage="1" showErrorMessage="1" error="Recuerde que las acciones se generan bajo la medida de mitigar el riesgo" xr:uid="{00000000-0002-0000-0100-00000C000000}">
          <x14:formula1>
            <xm:f>IF(OR(AN24='Opciones Tratamiento'!$B$2,AN24='Opciones Tratamiento'!$B$3,AN24='Opciones Tratamiento'!$B$4),ISBLANK(AN24),ISTEXT(AN24))</xm:f>
          </x14:formula1>
          <xm:sqref>AU24:AU68</xm:sqref>
        </x14:dataValidation>
        <x14:dataValidation type="custom" allowBlank="1" showInputMessage="1" showErrorMessage="1" error="Recuerde que las acciones se generan bajo la medida de mitigar el riesgo" xr:uid="{00000000-0002-0000-0100-00000D000000}">
          <x14:formula1>
            <xm:f>IF(OR(AN24='Opciones Tratamiento'!$B$2,AN24='Opciones Tratamiento'!$B$3,AN24='Opciones Tratamiento'!$B$4),ISBLANK(AN24),ISTEXT(AN24))</xm:f>
          </x14:formula1>
          <xm:sqref>AV24:AV68</xm:sqref>
        </x14:dataValidation>
        <x14:dataValidation type="custom" allowBlank="1" showInputMessage="1" showErrorMessage="1" error="Recuerde que las acciones se generan bajo la medida de mitigar el riesgo" xr:uid="{00000000-0002-0000-0100-00000E000000}">
          <x14:formula1>
            <xm:f>IF(OR(AN24='Opciones Tratamiento'!$B$2,AN24='Opciones Tratamiento'!$B$3,AN24='Opciones Tratamiento'!$B$4),ISBLANK(AN24),ISTEXT(AN24))</xm:f>
          </x14:formula1>
          <xm:sqref>AW24:AW68</xm:sqref>
        </x14:dataValidation>
        <x14:dataValidation type="custom" allowBlank="1" showInputMessage="1" showErrorMessage="1" error="Recuerde que las acciones se generan bajo la medida de mitigar el riesgo" xr:uid="{00000000-0002-0000-0100-00000F000000}">
          <x14:formula1>
            <xm:f>IF(OR(AN14='Opciones Tratamiento'!$B$2,AN14='Opciones Tratamiento'!$B$3,AN14='Opciones Tratamiento'!$B$4),ISBLANK(AN14),ISTEXT(AN14))</xm:f>
          </x14:formula1>
          <xm:sqref>AX23:AX68 AX18:AX20 AX14</xm:sqref>
        </x14:dataValidation>
        <x14:dataValidation type="custom" allowBlank="1" showInputMessage="1" showErrorMessage="1" error="Recuerde que las acciones se generan bajo la medida de mitigar el riesgo" xr:uid="{00000000-0002-0000-0100-000010000000}">
          <x14:formula1>
            <xm:f>IF(OR(AN14='Opciones Tratamiento'!$B$2,AN14='Opciones Tratamiento'!$B$3,AN14='Opciones Tratamiento'!$B$4),ISBLANK(AN14),ISTEXT(AN14))</xm:f>
          </x14:formula1>
          <xm:sqref>AY23:AY68 AY18:AY20 AY14</xm:sqref>
        </x14:dataValidation>
        <x14:dataValidation type="list" allowBlank="1" showInputMessage="1" showErrorMessage="1" xr:uid="{00000000-0002-0000-0100-000011000000}">
          <x14:formula1>
            <xm:f>'E:\Mapas de riesgos_2025\[2025_ PCE_3_Mapa de Riesgos y Oportunidades_ Proceso Gestión y Mejora del Sistema.xlsx]Opciones Tratamiento'!#REF!</xm:f>
          </x14:formula1>
          <xm:sqref>AO29:AT56</xm:sqref>
        </x14:dataValidation>
        <x14:dataValidation type="list" allowBlank="1" showInputMessage="1" showErrorMessage="1" xr:uid="{00000000-0002-0000-0100-000002000000}">
          <x14:formula1>
            <xm:f>'Tabla Valoración controles'!$D$4:$D$6</xm:f>
          </x14:formula1>
          <xm:sqref>AB11:AB68</xm:sqref>
        </x14:dataValidation>
        <x14:dataValidation type="list" allowBlank="1" showInputMessage="1" showErrorMessage="1" xr:uid="{00000000-0002-0000-0100-000003000000}">
          <x14:formula1>
            <xm:f>'Tabla Valoración controles'!$D$7:$D$8</xm:f>
          </x14:formula1>
          <xm:sqref>AC11:AC68</xm:sqref>
        </x14:dataValidation>
        <x14:dataValidation type="list" allowBlank="1" showInputMessage="1" showErrorMessage="1" xr:uid="{00000000-0002-0000-0100-000004000000}">
          <x14:formula1>
            <xm:f>'Tabla Valoración controles'!$D$9:$D$10</xm:f>
          </x14:formula1>
          <xm:sqref>AE11:AE68</xm:sqref>
        </x14:dataValidation>
        <x14:dataValidation type="list" allowBlank="1" showInputMessage="1" showErrorMessage="1" xr:uid="{00000000-0002-0000-0100-000005000000}">
          <x14:formula1>
            <xm:f>'Tabla Valoración controles'!$D$11:$D$12</xm:f>
          </x14:formula1>
          <xm:sqref>AF11:AF68</xm:sqref>
        </x14:dataValidation>
        <x14:dataValidation type="list" allowBlank="1" showInputMessage="1" showErrorMessage="1" xr:uid="{00000000-0002-0000-0100-000007000000}">
          <x14:formula1>
            <xm:f>'Tabla Valoración controles'!$D$13:$D$14</xm:f>
          </x14:formula1>
          <xm:sqref>AG11:AG68</xm:sqref>
        </x14:dataValidation>
        <x14:dataValidation type="list" allowBlank="1" showInputMessage="1" showErrorMessage="1" xr:uid="{00000000-0002-0000-0100-000008000000}">
          <x14:formula1>
            <xm:f>'Opciones Tratamiento'!$B$13:$B$19</xm:f>
          </x14:formula1>
          <xm:sqref>J11:J68</xm:sqref>
        </x14:dataValidation>
        <x14:dataValidation type="list" allowBlank="1" showInputMessage="1" showErrorMessage="1" xr:uid="{00000000-0002-0000-0100-00000A000000}">
          <x14:formula1>
            <xm:f>'Opciones Tratamiento'!$B$2:$B$5</xm:f>
          </x14:formula1>
          <xm:sqref>AN11:AN68</xm:sqref>
        </x14:dataValidation>
        <x14:dataValidation type="list" allowBlank="1" showInputMessage="1" showErrorMessage="1" xr:uid="{00000000-0002-0000-0100-00000B000000}">
          <x14:formula1>
            <xm:f>'Tabla Impacto'!$F$210:$F$221</xm:f>
          </x14:formula1>
          <xm:sqref>N11:N68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topLeftCell="A4" zoomScale="50" zoomScaleNormal="50" workbookViewId="0">
      <selection activeCell="G57" sqref="G57:G59"/>
    </sheetView>
  </sheetViews>
  <sheetFormatPr baseColWidth="10" defaultColWidth="11.42578125" defaultRowHeight="15" x14ac:dyDescent="0.25"/>
  <cols>
    <col min="2" max="39" width="5.7109375" customWidth="1"/>
    <col min="41" max="46" width="5.7109375" customWidth="1"/>
  </cols>
  <sheetData>
    <row r="1" spans="1:99"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row>
    <row r="2" spans="1:99" ht="18" customHeight="1" x14ac:dyDescent="0.25">
      <c r="A2" s="80"/>
      <c r="B2" s="342" t="s">
        <v>124</v>
      </c>
      <c r="C2" s="342"/>
      <c r="D2" s="342"/>
      <c r="E2" s="342"/>
      <c r="F2" s="342"/>
      <c r="G2" s="342"/>
      <c r="H2" s="342"/>
      <c r="I2" s="342"/>
      <c r="J2" s="379" t="s">
        <v>15</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c r="AL2" s="379"/>
      <c r="AM2" s="379"/>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row>
    <row r="3" spans="1:99" ht="18.75" customHeight="1" x14ac:dyDescent="0.25">
      <c r="A3" s="80"/>
      <c r="B3" s="342"/>
      <c r="C3" s="342"/>
      <c r="D3" s="342"/>
      <c r="E3" s="342"/>
      <c r="F3" s="342"/>
      <c r="G3" s="342"/>
      <c r="H3" s="342"/>
      <c r="I3" s="342"/>
      <c r="J3" s="379"/>
      <c r="K3" s="379"/>
      <c r="L3" s="379"/>
      <c r="M3" s="379"/>
      <c r="N3" s="379"/>
      <c r="O3" s="379"/>
      <c r="P3" s="379"/>
      <c r="Q3" s="379"/>
      <c r="R3" s="379"/>
      <c r="S3" s="379"/>
      <c r="T3" s="379"/>
      <c r="U3" s="379"/>
      <c r="V3" s="379"/>
      <c r="W3" s="379"/>
      <c r="X3" s="379"/>
      <c r="Y3" s="379"/>
      <c r="Z3" s="379"/>
      <c r="AA3" s="379"/>
      <c r="AB3" s="379"/>
      <c r="AC3" s="379"/>
      <c r="AD3" s="379"/>
      <c r="AE3" s="379"/>
      <c r="AF3" s="379"/>
      <c r="AG3" s="379"/>
      <c r="AH3" s="379"/>
      <c r="AI3" s="379"/>
      <c r="AJ3" s="379"/>
      <c r="AK3" s="379"/>
      <c r="AL3" s="379"/>
      <c r="AM3" s="379"/>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row>
    <row r="4" spans="1:99" ht="15" customHeight="1" x14ac:dyDescent="0.25">
      <c r="A4" s="80"/>
      <c r="B4" s="342"/>
      <c r="C4" s="342"/>
      <c r="D4" s="342"/>
      <c r="E4" s="342"/>
      <c r="F4" s="342"/>
      <c r="G4" s="342"/>
      <c r="H4" s="342"/>
      <c r="I4" s="342"/>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c r="AL4" s="379"/>
      <c r="AM4" s="379"/>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row>
    <row r="5" spans="1:99"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row>
    <row r="6" spans="1:99" ht="15" customHeight="1" x14ac:dyDescent="0.25">
      <c r="A6" s="80"/>
      <c r="B6" s="390" t="s">
        <v>125</v>
      </c>
      <c r="C6" s="390"/>
      <c r="D6" s="391"/>
      <c r="E6" s="380" t="s">
        <v>126</v>
      </c>
      <c r="F6" s="381"/>
      <c r="G6" s="381"/>
      <c r="H6" s="381"/>
      <c r="I6" s="382"/>
      <c r="J6" s="376" t="str">
        <f>IF(AND('Mapa final'!$L$11="Muy Alta",'Mapa final'!$P$11="Leve"),CONCATENATE("R",'Mapa final'!$A$11),"")</f>
        <v/>
      </c>
      <c r="K6" s="377"/>
      <c r="L6" s="377" t="str">
        <f>IF(AND('Mapa final'!$L$15="Muy Alta",'Mapa final'!$P$15="Leve"),CONCATENATE("R",'Mapa final'!$A$15),"")</f>
        <v/>
      </c>
      <c r="M6" s="377"/>
      <c r="N6" s="377" t="str">
        <f>IF(AND('Mapa final'!$L$21="Muy Alta",'Mapa final'!$P$21="Leve"),CONCATENATE("R",'Mapa final'!$A$21),"")</f>
        <v/>
      </c>
      <c r="O6" s="378"/>
      <c r="P6" s="376" t="str">
        <f>IF(AND('Mapa final'!$L$11="Muy Alta",'Mapa final'!$P$11="Menor"),CONCATENATE("R",'Mapa final'!$A$11),"")</f>
        <v/>
      </c>
      <c r="Q6" s="377"/>
      <c r="R6" s="377" t="str">
        <f>IF(AND('Mapa final'!$L$15="Muy Alta",'Mapa final'!$P$15="Menor"),CONCATENATE("R",'Mapa final'!$A$15),"")</f>
        <v/>
      </c>
      <c r="S6" s="377"/>
      <c r="T6" s="377" t="str">
        <f>IF(AND('Mapa final'!$L$21="Muy Alta",'Mapa final'!$P$21="Menor"),CONCATENATE("R",'Mapa final'!$A$21),"")</f>
        <v/>
      </c>
      <c r="U6" s="378"/>
      <c r="V6" s="376" t="str">
        <f>IF(AND('Mapa final'!$L$11="Muy Alta",'Mapa final'!$P$11="Moderado"),CONCATENATE("R",'Mapa final'!$A$11),"")</f>
        <v/>
      </c>
      <c r="W6" s="377"/>
      <c r="X6" s="377" t="str">
        <f>IF(AND('Mapa final'!$L$15="Muy Alta",'Mapa final'!$P$15="Moderado"),CONCATENATE("R",'Mapa final'!$A$15),"")</f>
        <v/>
      </c>
      <c r="Y6" s="377"/>
      <c r="Z6" s="377" t="str">
        <f>IF(AND('Mapa final'!$L$21="Muy Alta",'Mapa final'!$P$21="Moderado"),CONCATENATE("R",'Mapa final'!$A$21),"")</f>
        <v/>
      </c>
      <c r="AA6" s="378"/>
      <c r="AB6" s="376" t="str">
        <f>IF(AND('Mapa final'!$L$11="Muy Alta",'Mapa final'!$P$11="Mayor"),CONCATENATE("R",'Mapa final'!$A$11),"")</f>
        <v/>
      </c>
      <c r="AC6" s="377"/>
      <c r="AD6" s="377" t="str">
        <f>IF(AND('Mapa final'!$L$15="Muy Alta",'Mapa final'!$P$15="Mayor"),CONCATENATE("R",'Mapa final'!$A$15),"")</f>
        <v/>
      </c>
      <c r="AE6" s="377"/>
      <c r="AF6" s="377" t="str">
        <f>IF(AND('Mapa final'!$L$21="Muy Alta",'Mapa final'!$P$21="Mayor"),CONCATENATE("R",'Mapa final'!$A$21),"")</f>
        <v/>
      </c>
      <c r="AG6" s="378"/>
      <c r="AH6" s="367" t="str">
        <f>IF(AND('Mapa final'!$L$11="Muy Alta",'Mapa final'!$P$11="Catastrófico"),CONCATENATE("R",'Mapa final'!$A$11),"")</f>
        <v/>
      </c>
      <c r="AI6" s="368"/>
      <c r="AJ6" s="368" t="str">
        <f>IF(AND('Mapa final'!$L$15="Muy Alta",'Mapa final'!$P$15="Catastrófico"),CONCATENATE("R",'Mapa final'!$A$15),"")</f>
        <v/>
      </c>
      <c r="AK6" s="368"/>
      <c r="AL6" s="368" t="str">
        <f>IF(AND('Mapa final'!$L$21="Muy Alta",'Mapa final'!$P$21="Catastrófico"),CONCATENATE("R",'Mapa final'!$A$21),"")</f>
        <v/>
      </c>
      <c r="AM6" s="369"/>
      <c r="AO6" s="392" t="s">
        <v>127</v>
      </c>
      <c r="AP6" s="393"/>
      <c r="AQ6" s="393"/>
      <c r="AR6" s="393"/>
      <c r="AS6" s="393"/>
      <c r="AT6" s="394"/>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row>
    <row r="7" spans="1:99" ht="15" customHeight="1" x14ac:dyDescent="0.25">
      <c r="A7" s="80"/>
      <c r="B7" s="390"/>
      <c r="C7" s="390"/>
      <c r="D7" s="391"/>
      <c r="E7" s="383"/>
      <c r="F7" s="384"/>
      <c r="G7" s="384"/>
      <c r="H7" s="384"/>
      <c r="I7" s="385"/>
      <c r="J7" s="370"/>
      <c r="K7" s="371"/>
      <c r="L7" s="371"/>
      <c r="M7" s="371"/>
      <c r="N7" s="371"/>
      <c r="O7" s="372"/>
      <c r="P7" s="370"/>
      <c r="Q7" s="371"/>
      <c r="R7" s="371"/>
      <c r="S7" s="371"/>
      <c r="T7" s="371"/>
      <c r="U7" s="372"/>
      <c r="V7" s="370"/>
      <c r="W7" s="371"/>
      <c r="X7" s="371"/>
      <c r="Y7" s="371"/>
      <c r="Z7" s="371"/>
      <c r="AA7" s="372"/>
      <c r="AB7" s="370"/>
      <c r="AC7" s="371"/>
      <c r="AD7" s="371"/>
      <c r="AE7" s="371"/>
      <c r="AF7" s="371"/>
      <c r="AG7" s="372"/>
      <c r="AH7" s="361"/>
      <c r="AI7" s="362"/>
      <c r="AJ7" s="362"/>
      <c r="AK7" s="362"/>
      <c r="AL7" s="362"/>
      <c r="AM7" s="363"/>
      <c r="AN7" s="80"/>
      <c r="AO7" s="395"/>
      <c r="AP7" s="396"/>
      <c r="AQ7" s="396"/>
      <c r="AR7" s="396"/>
      <c r="AS7" s="396"/>
      <c r="AT7" s="397"/>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row>
    <row r="8" spans="1:99" ht="15" customHeight="1" x14ac:dyDescent="0.25">
      <c r="A8" s="80"/>
      <c r="B8" s="390"/>
      <c r="C8" s="390"/>
      <c r="D8" s="391"/>
      <c r="E8" s="383"/>
      <c r="F8" s="384"/>
      <c r="G8" s="384"/>
      <c r="H8" s="384"/>
      <c r="I8" s="385"/>
      <c r="J8" s="370" t="str">
        <f>IF(AND('Mapa final'!$L$27="Muy Alta",'Mapa final'!$P$27="Leve"),CONCATENATE("R",'Mapa final'!$A$27),"")</f>
        <v/>
      </c>
      <c r="K8" s="371"/>
      <c r="L8" s="371" t="str">
        <f>IF(AND('Mapa final'!$L$33="Muy Alta",'Mapa final'!$P$33="Leve"),CONCATENATE("R",'Mapa final'!$A$33),"")</f>
        <v/>
      </c>
      <c r="M8" s="371"/>
      <c r="N8" s="371" t="str">
        <f>IF(AND('Mapa final'!$L$39="Muy Alta",'Mapa final'!$P$39="Leve"),CONCATENATE("R",'Mapa final'!$A$39),"")</f>
        <v/>
      </c>
      <c r="O8" s="372"/>
      <c r="P8" s="370" t="str">
        <f>IF(AND('Mapa final'!$L$27="Muy Alta",'Mapa final'!$P$27="Menor"),CONCATENATE("R",'Mapa final'!$A$27),"")</f>
        <v/>
      </c>
      <c r="Q8" s="371"/>
      <c r="R8" s="371" t="str">
        <f>IF(AND('Mapa final'!$L$33="Muy Alta",'Mapa final'!$P$33="Menor"),CONCATENATE("R",'Mapa final'!$A$33),"")</f>
        <v/>
      </c>
      <c r="S8" s="371"/>
      <c r="T8" s="371" t="str">
        <f>IF(AND('Mapa final'!$L$39="Muy Alta",'Mapa final'!$P$39="Menor"),CONCATENATE("R",'Mapa final'!$A$39),"")</f>
        <v/>
      </c>
      <c r="U8" s="372"/>
      <c r="V8" s="370" t="str">
        <f>IF(AND('Mapa final'!$L$27="Muy Alta",'Mapa final'!$P$27="Moderado"),CONCATENATE("R",'Mapa final'!$A$27),"")</f>
        <v/>
      </c>
      <c r="W8" s="371"/>
      <c r="X8" s="371" t="str">
        <f>IF(AND('Mapa final'!$L$33="Muy Alta",'Mapa final'!$P$33="Moderado"),CONCATENATE("R",'Mapa final'!$A$33),"")</f>
        <v/>
      </c>
      <c r="Y8" s="371"/>
      <c r="Z8" s="371" t="str">
        <f>IF(AND('Mapa final'!$L$39="Muy Alta",'Mapa final'!$P$39="Moderado"),CONCATENATE("R",'Mapa final'!$A$39),"")</f>
        <v/>
      </c>
      <c r="AA8" s="372"/>
      <c r="AB8" s="370" t="str">
        <f>IF(AND('Mapa final'!$L$27="Muy Alta",'Mapa final'!$P$27="Mayor"),CONCATENATE("R",'Mapa final'!$A$27),"")</f>
        <v/>
      </c>
      <c r="AC8" s="371"/>
      <c r="AD8" s="371" t="str">
        <f>IF(AND('Mapa final'!$L$33="Muy Alta",'Mapa final'!$P$33="Mayor"),CONCATENATE("R",'Mapa final'!$A$33),"")</f>
        <v/>
      </c>
      <c r="AE8" s="371"/>
      <c r="AF8" s="371" t="str">
        <f>IF(AND('Mapa final'!$L$39="Muy Alta",'Mapa final'!$P$39="Mayor"),CONCATENATE("R",'Mapa final'!$A$39),"")</f>
        <v/>
      </c>
      <c r="AG8" s="372"/>
      <c r="AH8" s="361" t="str">
        <f>IF(AND('Mapa final'!$L$27="Muy Alta",'Mapa final'!$P$27="Catastrófico"),CONCATENATE("R",'Mapa final'!$A$27),"")</f>
        <v/>
      </c>
      <c r="AI8" s="362"/>
      <c r="AJ8" s="362" t="str">
        <f>IF(AND('Mapa final'!$L$33="Muy Alta",'Mapa final'!$P$33="Catastrófico"),CONCATENATE("R",'Mapa final'!$A$33),"")</f>
        <v/>
      </c>
      <c r="AK8" s="362"/>
      <c r="AL8" s="362" t="str">
        <f>IF(AND('Mapa final'!$L$39="Muy Alta",'Mapa final'!$P$39="Catastrófico"),CONCATENATE("R",'Mapa final'!$A$39),"")</f>
        <v/>
      </c>
      <c r="AM8" s="363"/>
      <c r="AN8" s="80"/>
      <c r="AO8" s="395"/>
      <c r="AP8" s="396"/>
      <c r="AQ8" s="396"/>
      <c r="AR8" s="396"/>
      <c r="AS8" s="396"/>
      <c r="AT8" s="397"/>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row>
    <row r="9" spans="1:99" ht="15" customHeight="1" x14ac:dyDescent="0.25">
      <c r="A9" s="80"/>
      <c r="B9" s="390"/>
      <c r="C9" s="390"/>
      <c r="D9" s="391"/>
      <c r="E9" s="383"/>
      <c r="F9" s="384"/>
      <c r="G9" s="384"/>
      <c r="H9" s="384"/>
      <c r="I9" s="385"/>
      <c r="J9" s="370"/>
      <c r="K9" s="371"/>
      <c r="L9" s="371"/>
      <c r="M9" s="371"/>
      <c r="N9" s="371"/>
      <c r="O9" s="372"/>
      <c r="P9" s="370"/>
      <c r="Q9" s="371"/>
      <c r="R9" s="371"/>
      <c r="S9" s="371"/>
      <c r="T9" s="371"/>
      <c r="U9" s="372"/>
      <c r="V9" s="370"/>
      <c r="W9" s="371"/>
      <c r="X9" s="371"/>
      <c r="Y9" s="371"/>
      <c r="Z9" s="371"/>
      <c r="AA9" s="372"/>
      <c r="AB9" s="370"/>
      <c r="AC9" s="371"/>
      <c r="AD9" s="371"/>
      <c r="AE9" s="371"/>
      <c r="AF9" s="371"/>
      <c r="AG9" s="372"/>
      <c r="AH9" s="361"/>
      <c r="AI9" s="362"/>
      <c r="AJ9" s="362"/>
      <c r="AK9" s="362"/>
      <c r="AL9" s="362"/>
      <c r="AM9" s="363"/>
      <c r="AN9" s="80"/>
      <c r="AO9" s="395"/>
      <c r="AP9" s="396"/>
      <c r="AQ9" s="396"/>
      <c r="AR9" s="396"/>
      <c r="AS9" s="396"/>
      <c r="AT9" s="397"/>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row>
    <row r="10" spans="1:99" ht="15" customHeight="1" x14ac:dyDescent="0.25">
      <c r="A10" s="80"/>
      <c r="B10" s="390"/>
      <c r="C10" s="390"/>
      <c r="D10" s="391"/>
      <c r="E10" s="383"/>
      <c r="F10" s="384"/>
      <c r="G10" s="384"/>
      <c r="H10" s="384"/>
      <c r="I10" s="385"/>
      <c r="J10" s="370" t="str">
        <f>IF(AND('Mapa final'!$L$45="Muy Alta",'Mapa final'!$P$45="Leve"),CONCATENATE("R",'Mapa final'!$A$45),"")</f>
        <v/>
      </c>
      <c r="K10" s="371"/>
      <c r="L10" s="371" t="str">
        <f>IF(AND('Mapa final'!$L$51="Muy Alta",'Mapa final'!$P$51="Leve"),CONCATENATE("R",'Mapa final'!$A$51),"")</f>
        <v/>
      </c>
      <c r="M10" s="371"/>
      <c r="N10" s="371" t="str">
        <f>IF(AND('Mapa final'!$L$57="Muy Alta",'Mapa final'!$P$57="Leve"),CONCATENATE("R",'Mapa final'!$A$57),"")</f>
        <v/>
      </c>
      <c r="O10" s="372"/>
      <c r="P10" s="370" t="str">
        <f>IF(AND('Mapa final'!$L$45="Muy Alta",'Mapa final'!$P$45="Menor"),CONCATENATE("R",'Mapa final'!$A$45),"")</f>
        <v/>
      </c>
      <c r="Q10" s="371"/>
      <c r="R10" s="371" t="str">
        <f>IF(AND('Mapa final'!$L$51="Muy Alta",'Mapa final'!$P$51="Menor"),CONCATENATE("R",'Mapa final'!$A$51),"")</f>
        <v/>
      </c>
      <c r="S10" s="371"/>
      <c r="T10" s="371" t="str">
        <f>IF(AND('Mapa final'!$L$57="Muy Alta",'Mapa final'!$P$57="Menor"),CONCATENATE("R",'Mapa final'!$A$57),"")</f>
        <v/>
      </c>
      <c r="U10" s="372"/>
      <c r="V10" s="370" t="str">
        <f>IF(AND('Mapa final'!$L$45="Muy Alta",'Mapa final'!$P$45="Moderado"),CONCATENATE("R",'Mapa final'!$A$45),"")</f>
        <v/>
      </c>
      <c r="W10" s="371"/>
      <c r="X10" s="371" t="str">
        <f>IF(AND('Mapa final'!$L$51="Muy Alta",'Mapa final'!$P$51="Moderado"),CONCATENATE("R",'Mapa final'!$A$51),"")</f>
        <v/>
      </c>
      <c r="Y10" s="371"/>
      <c r="Z10" s="371" t="str">
        <f>IF(AND('Mapa final'!$L$57="Muy Alta",'Mapa final'!$P$57="Moderado"),CONCATENATE("R",'Mapa final'!$A$57),"")</f>
        <v/>
      </c>
      <c r="AA10" s="372"/>
      <c r="AB10" s="370" t="str">
        <f>IF(AND('Mapa final'!$L$45="Muy Alta",'Mapa final'!$P$45="Mayor"),CONCATENATE("R",'Mapa final'!$A$45),"")</f>
        <v/>
      </c>
      <c r="AC10" s="371"/>
      <c r="AD10" s="371" t="str">
        <f>IF(AND('Mapa final'!$L$51="Muy Alta",'Mapa final'!$P$51="Mayor"),CONCATENATE("R",'Mapa final'!$A$51),"")</f>
        <v/>
      </c>
      <c r="AE10" s="371"/>
      <c r="AF10" s="371" t="str">
        <f>IF(AND('Mapa final'!$L$57="Muy Alta",'Mapa final'!$P$57="Mayor"),CONCATENATE("R",'Mapa final'!$A$57),"")</f>
        <v/>
      </c>
      <c r="AG10" s="372"/>
      <c r="AH10" s="361" t="str">
        <f>IF(AND('Mapa final'!$L$45="Muy Alta",'Mapa final'!$P$45="Catastrófico"),CONCATENATE("R",'Mapa final'!$A$45),"")</f>
        <v/>
      </c>
      <c r="AI10" s="362"/>
      <c r="AJ10" s="362" t="str">
        <f>IF(AND('Mapa final'!$L$51="Muy Alta",'Mapa final'!$P$51="Catastrófico"),CONCATENATE("R",'Mapa final'!$A$51),"")</f>
        <v/>
      </c>
      <c r="AK10" s="362"/>
      <c r="AL10" s="362" t="str">
        <f>IF(AND('Mapa final'!$L$57="Muy Alta",'Mapa final'!$P$57="Catastrófico"),CONCATENATE("R",'Mapa final'!$A$57),"")</f>
        <v/>
      </c>
      <c r="AM10" s="363"/>
      <c r="AN10" s="80"/>
      <c r="AO10" s="395"/>
      <c r="AP10" s="396"/>
      <c r="AQ10" s="396"/>
      <c r="AR10" s="396"/>
      <c r="AS10" s="396"/>
      <c r="AT10" s="397"/>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row>
    <row r="11" spans="1:99" ht="15" customHeight="1" x14ac:dyDescent="0.25">
      <c r="A11" s="80"/>
      <c r="B11" s="390"/>
      <c r="C11" s="390"/>
      <c r="D11" s="391"/>
      <c r="E11" s="383"/>
      <c r="F11" s="384"/>
      <c r="G11" s="384"/>
      <c r="H11" s="384"/>
      <c r="I11" s="385"/>
      <c r="J11" s="370"/>
      <c r="K11" s="371"/>
      <c r="L11" s="371"/>
      <c r="M11" s="371"/>
      <c r="N11" s="371"/>
      <c r="O11" s="372"/>
      <c r="P11" s="370"/>
      <c r="Q11" s="371"/>
      <c r="R11" s="371"/>
      <c r="S11" s="371"/>
      <c r="T11" s="371"/>
      <c r="U11" s="372"/>
      <c r="V11" s="370"/>
      <c r="W11" s="371"/>
      <c r="X11" s="371"/>
      <c r="Y11" s="371"/>
      <c r="Z11" s="371"/>
      <c r="AA11" s="372"/>
      <c r="AB11" s="370"/>
      <c r="AC11" s="371"/>
      <c r="AD11" s="371"/>
      <c r="AE11" s="371"/>
      <c r="AF11" s="371"/>
      <c r="AG11" s="372"/>
      <c r="AH11" s="361"/>
      <c r="AI11" s="362"/>
      <c r="AJ11" s="362"/>
      <c r="AK11" s="362"/>
      <c r="AL11" s="362"/>
      <c r="AM11" s="363"/>
      <c r="AN11" s="80"/>
      <c r="AO11" s="395"/>
      <c r="AP11" s="396"/>
      <c r="AQ11" s="396"/>
      <c r="AR11" s="396"/>
      <c r="AS11" s="396"/>
      <c r="AT11" s="397"/>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row>
    <row r="12" spans="1:99" ht="15" customHeight="1" x14ac:dyDescent="0.25">
      <c r="A12" s="80"/>
      <c r="B12" s="390"/>
      <c r="C12" s="390"/>
      <c r="D12" s="391"/>
      <c r="E12" s="383"/>
      <c r="F12" s="384"/>
      <c r="G12" s="384"/>
      <c r="H12" s="384"/>
      <c r="I12" s="385"/>
      <c r="J12" s="370" t="str">
        <f>IF(AND('Mapa final'!$L$63="Muy Alta",'Mapa final'!$P$63="Leve"),CONCATENATE("R",'Mapa final'!$A$63),"")</f>
        <v/>
      </c>
      <c r="K12" s="371"/>
      <c r="L12" s="371" t="str">
        <f>IF(AND('Mapa final'!$L$69="Muy Alta",'Mapa final'!$P$69="Leve"),CONCATENATE("R",'Mapa final'!$A$69),"")</f>
        <v/>
      </c>
      <c r="M12" s="371"/>
      <c r="N12" s="371" t="str">
        <f>IF(AND('Mapa final'!$L$75="Muy Alta",'Mapa final'!$P$75="Leve"),CONCATENATE("R",'Mapa final'!$A$75),"")</f>
        <v/>
      </c>
      <c r="O12" s="372"/>
      <c r="P12" s="370" t="str">
        <f>IF(AND('Mapa final'!$L$63="Muy Alta",'Mapa final'!$P$63="Menor"),CONCATENATE("R",'Mapa final'!$A$63),"")</f>
        <v/>
      </c>
      <c r="Q12" s="371"/>
      <c r="R12" s="371" t="str">
        <f>IF(AND('Mapa final'!$L$69="Muy Alta",'Mapa final'!$P$69="Menor"),CONCATENATE("R",'Mapa final'!$A$69),"")</f>
        <v/>
      </c>
      <c r="S12" s="371"/>
      <c r="T12" s="371" t="str">
        <f>IF(AND('Mapa final'!$L$75="Muy Alta",'Mapa final'!$P$75="Menor"),CONCATENATE("R",'Mapa final'!$A$75),"")</f>
        <v/>
      </c>
      <c r="U12" s="372"/>
      <c r="V12" s="370" t="str">
        <f>IF(AND('Mapa final'!$L$63="Muy Alta",'Mapa final'!$P$63="Moderado"),CONCATENATE("R",'Mapa final'!$A$63),"")</f>
        <v/>
      </c>
      <c r="W12" s="371"/>
      <c r="X12" s="371" t="str">
        <f>IF(AND('Mapa final'!$L$69="Muy Alta",'Mapa final'!$P$69="Moderado"),CONCATENATE("R",'Mapa final'!$A$69),"")</f>
        <v/>
      </c>
      <c r="Y12" s="371"/>
      <c r="Z12" s="371" t="str">
        <f>IF(AND('Mapa final'!$L$75="Muy Alta",'Mapa final'!$P$75="Moderado"),CONCATENATE("R",'Mapa final'!$A$75),"")</f>
        <v/>
      </c>
      <c r="AA12" s="372"/>
      <c r="AB12" s="370" t="str">
        <f>IF(AND('Mapa final'!$L$63="Muy Alta",'Mapa final'!$P$63="Mayor"),CONCATENATE("R",'Mapa final'!$A$63),"")</f>
        <v/>
      </c>
      <c r="AC12" s="371"/>
      <c r="AD12" s="371" t="str">
        <f>IF(AND('Mapa final'!$L$69="Muy Alta",'Mapa final'!$P$69="Mayor"),CONCATENATE("R",'Mapa final'!$A$69),"")</f>
        <v/>
      </c>
      <c r="AE12" s="371"/>
      <c r="AF12" s="371" t="str">
        <f>IF(AND('Mapa final'!$L$75="Muy Alta",'Mapa final'!$P$75="Mayor"),CONCATENATE("R",'Mapa final'!$A$75),"")</f>
        <v/>
      </c>
      <c r="AG12" s="372"/>
      <c r="AH12" s="361" t="str">
        <f>IF(AND('Mapa final'!$L$63="Muy Alta",'Mapa final'!$P$63="Catastrófico"),CONCATENATE("R",'Mapa final'!$A$63),"")</f>
        <v/>
      </c>
      <c r="AI12" s="362"/>
      <c r="AJ12" s="362" t="str">
        <f>IF(AND('Mapa final'!$L$69="Muy Alta",'Mapa final'!$P$69="Catastrófico"),CONCATENATE("R",'Mapa final'!$A$69),"")</f>
        <v/>
      </c>
      <c r="AK12" s="362"/>
      <c r="AL12" s="362" t="str">
        <f>IF(AND('Mapa final'!$L$75="Muy Alta",'Mapa final'!$P$75="Catastrófico"),CONCATENATE("R",'Mapa final'!$A$75),"")</f>
        <v/>
      </c>
      <c r="AM12" s="363"/>
      <c r="AN12" s="80"/>
      <c r="AO12" s="395"/>
      <c r="AP12" s="396"/>
      <c r="AQ12" s="396"/>
      <c r="AR12" s="396"/>
      <c r="AS12" s="396"/>
      <c r="AT12" s="397"/>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row>
    <row r="13" spans="1:99" ht="15.75" customHeight="1" thickBot="1" x14ac:dyDescent="0.3">
      <c r="A13" s="80"/>
      <c r="B13" s="390"/>
      <c r="C13" s="390"/>
      <c r="D13" s="391"/>
      <c r="E13" s="386"/>
      <c r="F13" s="387"/>
      <c r="G13" s="387"/>
      <c r="H13" s="387"/>
      <c r="I13" s="388"/>
      <c r="J13" s="370"/>
      <c r="K13" s="371"/>
      <c r="L13" s="371"/>
      <c r="M13" s="371"/>
      <c r="N13" s="371"/>
      <c r="O13" s="372"/>
      <c r="P13" s="370"/>
      <c r="Q13" s="371"/>
      <c r="R13" s="371"/>
      <c r="S13" s="371"/>
      <c r="T13" s="371"/>
      <c r="U13" s="372"/>
      <c r="V13" s="370"/>
      <c r="W13" s="371"/>
      <c r="X13" s="371"/>
      <c r="Y13" s="371"/>
      <c r="Z13" s="371"/>
      <c r="AA13" s="372"/>
      <c r="AB13" s="370"/>
      <c r="AC13" s="371"/>
      <c r="AD13" s="371"/>
      <c r="AE13" s="371"/>
      <c r="AF13" s="371"/>
      <c r="AG13" s="372"/>
      <c r="AH13" s="364"/>
      <c r="AI13" s="365"/>
      <c r="AJ13" s="365"/>
      <c r="AK13" s="365"/>
      <c r="AL13" s="365"/>
      <c r="AM13" s="366"/>
      <c r="AN13" s="80"/>
      <c r="AO13" s="398"/>
      <c r="AP13" s="399"/>
      <c r="AQ13" s="399"/>
      <c r="AR13" s="399"/>
      <c r="AS13" s="399"/>
      <c r="AT13" s="40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row>
    <row r="14" spans="1:99" ht="15" customHeight="1" x14ac:dyDescent="0.25">
      <c r="A14" s="80"/>
      <c r="B14" s="390"/>
      <c r="C14" s="390"/>
      <c r="D14" s="391"/>
      <c r="E14" s="380" t="s">
        <v>128</v>
      </c>
      <c r="F14" s="381"/>
      <c r="G14" s="381"/>
      <c r="H14" s="381"/>
      <c r="I14" s="381"/>
      <c r="J14" s="358" t="str">
        <f>IF(AND('Mapa final'!$L$11="Alta",'Mapa final'!$P$11="Leve"),CONCATENATE("R",'Mapa final'!$A$11),"")</f>
        <v/>
      </c>
      <c r="K14" s="359"/>
      <c r="L14" s="359" t="str">
        <f>IF(AND('Mapa final'!$L$15="Alta",'Mapa final'!$P$15="Leve"),CONCATENATE("R",'Mapa final'!$A$15),"")</f>
        <v/>
      </c>
      <c r="M14" s="359"/>
      <c r="N14" s="359" t="str">
        <f>IF(AND('Mapa final'!$L$21="Alta",'Mapa final'!$P$21="Leve"),CONCATENATE("R",'Mapa final'!$A$21),"")</f>
        <v/>
      </c>
      <c r="O14" s="360"/>
      <c r="P14" s="358" t="str">
        <f>IF(AND('Mapa final'!$L$11="Alta",'Mapa final'!$P$11="Menor"),CONCATENATE("R",'Mapa final'!$A$11),"")</f>
        <v/>
      </c>
      <c r="Q14" s="359"/>
      <c r="R14" s="359" t="str">
        <f>IF(AND('Mapa final'!$L$15="Alta",'Mapa final'!$P$15="Menor"),CONCATENATE("R",'Mapa final'!$A$15),"")</f>
        <v/>
      </c>
      <c r="S14" s="359"/>
      <c r="T14" s="359" t="str">
        <f>IF(AND('Mapa final'!$L$21="Alta",'Mapa final'!$P$21="Menor"),CONCATENATE("R",'Mapa final'!$A$21),"")</f>
        <v/>
      </c>
      <c r="U14" s="360"/>
      <c r="V14" s="376" t="str">
        <f>IF(AND('Mapa final'!$L$11="Alta",'Mapa final'!$P$11="Moderado"),CONCATENATE("R",'Mapa final'!$A$11),"")</f>
        <v/>
      </c>
      <c r="W14" s="377"/>
      <c r="X14" s="377" t="str">
        <f>IF(AND('Mapa final'!$L$15="Alta",'Mapa final'!$P$15="Moderado"),CONCATENATE("R",'Mapa final'!$A$15),"")</f>
        <v/>
      </c>
      <c r="Y14" s="377"/>
      <c r="Z14" s="377" t="str">
        <f>IF(AND('Mapa final'!$L$21="Alta",'Mapa final'!$P$21="Moderado"),CONCATENATE("R",'Mapa final'!$A$21),"")</f>
        <v/>
      </c>
      <c r="AA14" s="378"/>
      <c r="AB14" s="376" t="str">
        <f>IF(AND('Mapa final'!$L$11="Alta",'Mapa final'!$P$11="Mayor"),CONCATENATE("R",'Mapa final'!$A$11),"")</f>
        <v>R1</v>
      </c>
      <c r="AC14" s="377"/>
      <c r="AD14" s="377" t="str">
        <f>IF(AND('Mapa final'!$L$15="Alta",'Mapa final'!$P$15="Mayor"),CONCATENATE("R",'Mapa final'!$A$15),"")</f>
        <v>R2</v>
      </c>
      <c r="AE14" s="377"/>
      <c r="AF14" s="377" t="str">
        <f>IF(AND('Mapa final'!$L$21="Alta",'Mapa final'!$P$21="Mayor"),CONCATENATE("R",'Mapa final'!$A$21),"")</f>
        <v/>
      </c>
      <c r="AG14" s="378"/>
      <c r="AH14" s="367" t="str">
        <f>IF(AND('Mapa final'!$L$11="Alta",'Mapa final'!$P$11="Catastrófico"),CONCATENATE("R",'Mapa final'!$A$11),"")</f>
        <v/>
      </c>
      <c r="AI14" s="368"/>
      <c r="AJ14" s="368" t="str">
        <f>IF(AND('Mapa final'!$L$15="Alta",'Mapa final'!$P$15="Catastrófico"),CONCATENATE("R",'Mapa final'!$A$15),"")</f>
        <v/>
      </c>
      <c r="AK14" s="368"/>
      <c r="AL14" s="368" t="str">
        <f>IF(AND('Mapa final'!$L$21="Alta",'Mapa final'!$P$21="Catastrófico"),CONCATENATE("R",'Mapa final'!$A$21),"")</f>
        <v/>
      </c>
      <c r="AM14" s="369"/>
      <c r="AN14" s="80"/>
      <c r="AO14" s="401" t="s">
        <v>129</v>
      </c>
      <c r="AP14" s="402"/>
      <c r="AQ14" s="402"/>
      <c r="AR14" s="402"/>
      <c r="AS14" s="402"/>
      <c r="AT14" s="403"/>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row>
    <row r="15" spans="1:99" ht="15" customHeight="1" x14ac:dyDescent="0.25">
      <c r="A15" s="80"/>
      <c r="B15" s="390"/>
      <c r="C15" s="390"/>
      <c r="D15" s="391"/>
      <c r="E15" s="383"/>
      <c r="F15" s="384"/>
      <c r="G15" s="384"/>
      <c r="H15" s="384"/>
      <c r="I15" s="384"/>
      <c r="J15" s="352"/>
      <c r="K15" s="353"/>
      <c r="L15" s="353"/>
      <c r="M15" s="353"/>
      <c r="N15" s="353"/>
      <c r="O15" s="354"/>
      <c r="P15" s="352"/>
      <c r="Q15" s="353"/>
      <c r="R15" s="353"/>
      <c r="S15" s="353"/>
      <c r="T15" s="353"/>
      <c r="U15" s="354"/>
      <c r="V15" s="370"/>
      <c r="W15" s="371"/>
      <c r="X15" s="371"/>
      <c r="Y15" s="371"/>
      <c r="Z15" s="371"/>
      <c r="AA15" s="372"/>
      <c r="AB15" s="370"/>
      <c r="AC15" s="371"/>
      <c r="AD15" s="371"/>
      <c r="AE15" s="371"/>
      <c r="AF15" s="371"/>
      <c r="AG15" s="372"/>
      <c r="AH15" s="361"/>
      <c r="AI15" s="362"/>
      <c r="AJ15" s="362"/>
      <c r="AK15" s="362"/>
      <c r="AL15" s="362"/>
      <c r="AM15" s="363"/>
      <c r="AN15" s="80"/>
      <c r="AO15" s="404"/>
      <c r="AP15" s="405"/>
      <c r="AQ15" s="405"/>
      <c r="AR15" s="405"/>
      <c r="AS15" s="405"/>
      <c r="AT15" s="406"/>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row>
    <row r="16" spans="1:99" ht="15" customHeight="1" x14ac:dyDescent="0.25">
      <c r="A16" s="80"/>
      <c r="B16" s="390"/>
      <c r="C16" s="390"/>
      <c r="D16" s="391"/>
      <c r="E16" s="383"/>
      <c r="F16" s="384"/>
      <c r="G16" s="384"/>
      <c r="H16" s="384"/>
      <c r="I16" s="384"/>
      <c r="J16" s="352" t="str">
        <f>IF(AND('Mapa final'!$L$27="Alta",'Mapa final'!$P$27="Leve"),CONCATENATE("R",'Mapa final'!$A$27),"")</f>
        <v/>
      </c>
      <c r="K16" s="353"/>
      <c r="L16" s="353" t="str">
        <f>IF(AND('Mapa final'!$L$33="Alta",'Mapa final'!$P$33="Leve"),CONCATENATE("R",'Mapa final'!$A$33),"")</f>
        <v/>
      </c>
      <c r="M16" s="353"/>
      <c r="N16" s="353" t="str">
        <f>IF(AND('Mapa final'!$L$39="Alta",'Mapa final'!$P$39="Leve"),CONCATENATE("R",'Mapa final'!$A$39),"")</f>
        <v/>
      </c>
      <c r="O16" s="354"/>
      <c r="P16" s="352" t="str">
        <f>IF(AND('Mapa final'!$L$27="Alta",'Mapa final'!$P$27="Menor"),CONCATENATE("R",'Mapa final'!$A$27),"")</f>
        <v/>
      </c>
      <c r="Q16" s="353"/>
      <c r="R16" s="353" t="str">
        <f>IF(AND('Mapa final'!$L$33="Alta",'Mapa final'!$P$33="Menor"),CONCATENATE("R",'Mapa final'!$A$33),"")</f>
        <v/>
      </c>
      <c r="S16" s="353"/>
      <c r="T16" s="353" t="str">
        <f>IF(AND('Mapa final'!$L$39="Alta",'Mapa final'!$P$39="Menor"),CONCATENATE("R",'Mapa final'!$A$39),"")</f>
        <v/>
      </c>
      <c r="U16" s="354"/>
      <c r="V16" s="370" t="str">
        <f>IF(AND('Mapa final'!$L$27="Alta",'Mapa final'!$P$27="Moderado"),CONCATENATE("R",'Mapa final'!$A$27),"")</f>
        <v/>
      </c>
      <c r="W16" s="371"/>
      <c r="X16" s="371" t="str">
        <f>IF(AND('Mapa final'!$L$33="Alta",'Mapa final'!$P$33="Moderado"),CONCATENATE("R",'Mapa final'!$A$33),"")</f>
        <v/>
      </c>
      <c r="Y16" s="371"/>
      <c r="Z16" s="371" t="str">
        <f>IF(AND('Mapa final'!$L$39="Alta",'Mapa final'!$P$39="Moderado"),CONCATENATE("R",'Mapa final'!$A$39),"")</f>
        <v/>
      </c>
      <c r="AA16" s="372"/>
      <c r="AB16" s="370" t="str">
        <f>IF(AND('Mapa final'!$L$27="Alta",'Mapa final'!$P$27="Mayor"),CONCATENATE("R",'Mapa final'!$A$27),"")</f>
        <v/>
      </c>
      <c r="AC16" s="371"/>
      <c r="AD16" s="371" t="str">
        <f>IF(AND('Mapa final'!$L$33="Alta",'Mapa final'!$P$33="Mayor"),CONCATENATE("R",'Mapa final'!$A$33),"")</f>
        <v/>
      </c>
      <c r="AE16" s="371"/>
      <c r="AF16" s="371" t="str">
        <f>IF(AND('Mapa final'!$L$39="Alta",'Mapa final'!$P$39="Mayor"),CONCATENATE("R",'Mapa final'!$A$39),"")</f>
        <v/>
      </c>
      <c r="AG16" s="372"/>
      <c r="AH16" s="361" t="str">
        <f>IF(AND('Mapa final'!$L$27="Alta",'Mapa final'!$P$27="Catastrófico"),CONCATENATE("R",'Mapa final'!$A$27),"")</f>
        <v/>
      </c>
      <c r="AI16" s="362"/>
      <c r="AJ16" s="362" t="str">
        <f>IF(AND('Mapa final'!$L$33="Alta",'Mapa final'!$P$33="Catastrófico"),CONCATENATE("R",'Mapa final'!$A$33),"")</f>
        <v/>
      </c>
      <c r="AK16" s="362"/>
      <c r="AL16" s="362" t="str">
        <f>IF(AND('Mapa final'!$L$39="Alta",'Mapa final'!$P$39="Catastrófico"),CONCATENATE("R",'Mapa final'!$A$39),"")</f>
        <v/>
      </c>
      <c r="AM16" s="363"/>
      <c r="AN16" s="80"/>
      <c r="AO16" s="404"/>
      <c r="AP16" s="405"/>
      <c r="AQ16" s="405"/>
      <c r="AR16" s="405"/>
      <c r="AS16" s="405"/>
      <c r="AT16" s="406"/>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row>
    <row r="17" spans="1:80" ht="15" customHeight="1" x14ac:dyDescent="0.25">
      <c r="A17" s="80"/>
      <c r="B17" s="390"/>
      <c r="C17" s="390"/>
      <c r="D17" s="391"/>
      <c r="E17" s="383"/>
      <c r="F17" s="384"/>
      <c r="G17" s="384"/>
      <c r="H17" s="384"/>
      <c r="I17" s="384"/>
      <c r="J17" s="352"/>
      <c r="K17" s="353"/>
      <c r="L17" s="353"/>
      <c r="M17" s="353"/>
      <c r="N17" s="353"/>
      <c r="O17" s="354"/>
      <c r="P17" s="352"/>
      <c r="Q17" s="353"/>
      <c r="R17" s="353"/>
      <c r="S17" s="353"/>
      <c r="T17" s="353"/>
      <c r="U17" s="354"/>
      <c r="V17" s="370"/>
      <c r="W17" s="371"/>
      <c r="X17" s="371"/>
      <c r="Y17" s="371"/>
      <c r="Z17" s="371"/>
      <c r="AA17" s="372"/>
      <c r="AB17" s="370"/>
      <c r="AC17" s="371"/>
      <c r="AD17" s="371"/>
      <c r="AE17" s="371"/>
      <c r="AF17" s="371"/>
      <c r="AG17" s="372"/>
      <c r="AH17" s="361"/>
      <c r="AI17" s="362"/>
      <c r="AJ17" s="362"/>
      <c r="AK17" s="362"/>
      <c r="AL17" s="362"/>
      <c r="AM17" s="363"/>
      <c r="AN17" s="80"/>
      <c r="AO17" s="404"/>
      <c r="AP17" s="405"/>
      <c r="AQ17" s="405"/>
      <c r="AR17" s="405"/>
      <c r="AS17" s="405"/>
      <c r="AT17" s="406"/>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row>
    <row r="18" spans="1:80" ht="15" customHeight="1" x14ac:dyDescent="0.25">
      <c r="A18" s="80"/>
      <c r="B18" s="390"/>
      <c r="C18" s="390"/>
      <c r="D18" s="391"/>
      <c r="E18" s="383"/>
      <c r="F18" s="384"/>
      <c r="G18" s="384"/>
      <c r="H18" s="384"/>
      <c r="I18" s="384"/>
      <c r="J18" s="352" t="str">
        <f>IF(AND('Mapa final'!$L$45="Alta",'Mapa final'!$P$45="Leve"),CONCATENATE("R",'Mapa final'!$A$45),"")</f>
        <v/>
      </c>
      <c r="K18" s="353"/>
      <c r="L18" s="353" t="str">
        <f>IF(AND('Mapa final'!$L$51="Alta",'Mapa final'!$P$51="Leve"),CONCATENATE("R",'Mapa final'!$A$51),"")</f>
        <v/>
      </c>
      <c r="M18" s="353"/>
      <c r="N18" s="353" t="str">
        <f>IF(AND('Mapa final'!$L$57="Alta",'Mapa final'!$P$57="Leve"),CONCATENATE("R",'Mapa final'!$A$57),"")</f>
        <v/>
      </c>
      <c r="O18" s="354"/>
      <c r="P18" s="352" t="str">
        <f>IF(AND('Mapa final'!$L$45="Alta",'Mapa final'!$P$45="Menor"),CONCATENATE("R",'Mapa final'!$A$45),"")</f>
        <v/>
      </c>
      <c r="Q18" s="353"/>
      <c r="R18" s="353" t="str">
        <f>IF(AND('Mapa final'!$L$51="Alta",'Mapa final'!$P$51="Menor"),CONCATENATE("R",'Mapa final'!$A$51),"")</f>
        <v/>
      </c>
      <c r="S18" s="353"/>
      <c r="T18" s="353" t="str">
        <f>IF(AND('Mapa final'!$L$57="Alta",'Mapa final'!$P$57="Menor"),CONCATENATE("R",'Mapa final'!$A$57),"")</f>
        <v/>
      </c>
      <c r="U18" s="354"/>
      <c r="V18" s="370" t="str">
        <f>IF(AND('Mapa final'!$L$45="Alta",'Mapa final'!$P$45="Moderado"),CONCATENATE("R",'Mapa final'!$A$45),"")</f>
        <v/>
      </c>
      <c r="W18" s="371"/>
      <c r="X18" s="371" t="str">
        <f>IF(AND('Mapa final'!$L$51="Alta",'Mapa final'!$P$51="Moderado"),CONCATENATE("R",'Mapa final'!$A$51),"")</f>
        <v/>
      </c>
      <c r="Y18" s="371"/>
      <c r="Z18" s="371" t="str">
        <f>IF(AND('Mapa final'!$L$57="Alta",'Mapa final'!$P$57="Moderado"),CONCATENATE("R",'Mapa final'!$A$57),"")</f>
        <v/>
      </c>
      <c r="AA18" s="372"/>
      <c r="AB18" s="370" t="str">
        <f>IF(AND('Mapa final'!$L$45="Alta",'Mapa final'!$P$45="Mayor"),CONCATENATE("R",'Mapa final'!$A$45),"")</f>
        <v/>
      </c>
      <c r="AC18" s="371"/>
      <c r="AD18" s="371" t="str">
        <f>IF(AND('Mapa final'!$L$51="Alta",'Mapa final'!$P$51="Mayor"),CONCATENATE("R",'Mapa final'!$A$51),"")</f>
        <v/>
      </c>
      <c r="AE18" s="371"/>
      <c r="AF18" s="371" t="str">
        <f>IF(AND('Mapa final'!$L$57="Alta",'Mapa final'!$P$57="Mayor"),CONCATENATE("R",'Mapa final'!$A$57),"")</f>
        <v/>
      </c>
      <c r="AG18" s="372"/>
      <c r="AH18" s="361" t="str">
        <f>IF(AND('Mapa final'!$L$45="Alta",'Mapa final'!$P$45="Catastrófico"),CONCATENATE("R",'Mapa final'!$A$45),"")</f>
        <v/>
      </c>
      <c r="AI18" s="362"/>
      <c r="AJ18" s="362" t="str">
        <f>IF(AND('Mapa final'!$L$51="Alta",'Mapa final'!$P$51="Catastrófico"),CONCATENATE("R",'Mapa final'!$A$51),"")</f>
        <v/>
      </c>
      <c r="AK18" s="362"/>
      <c r="AL18" s="362" t="str">
        <f>IF(AND('Mapa final'!$L$57="Alta",'Mapa final'!$P$57="Catastrófico"),CONCATENATE("R",'Mapa final'!$A$57),"")</f>
        <v/>
      </c>
      <c r="AM18" s="363"/>
      <c r="AN18" s="80"/>
      <c r="AO18" s="404"/>
      <c r="AP18" s="405"/>
      <c r="AQ18" s="405"/>
      <c r="AR18" s="405"/>
      <c r="AS18" s="405"/>
      <c r="AT18" s="406"/>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row>
    <row r="19" spans="1:80" ht="15" customHeight="1" x14ac:dyDescent="0.25">
      <c r="A19" s="80"/>
      <c r="B19" s="390"/>
      <c r="C19" s="390"/>
      <c r="D19" s="391"/>
      <c r="E19" s="383"/>
      <c r="F19" s="384"/>
      <c r="G19" s="384"/>
      <c r="H19" s="384"/>
      <c r="I19" s="384"/>
      <c r="J19" s="352"/>
      <c r="K19" s="353"/>
      <c r="L19" s="353"/>
      <c r="M19" s="353"/>
      <c r="N19" s="353"/>
      <c r="O19" s="354"/>
      <c r="P19" s="352"/>
      <c r="Q19" s="353"/>
      <c r="R19" s="353"/>
      <c r="S19" s="353"/>
      <c r="T19" s="353"/>
      <c r="U19" s="354"/>
      <c r="V19" s="370"/>
      <c r="W19" s="371"/>
      <c r="X19" s="371"/>
      <c r="Y19" s="371"/>
      <c r="Z19" s="371"/>
      <c r="AA19" s="372"/>
      <c r="AB19" s="370"/>
      <c r="AC19" s="371"/>
      <c r="AD19" s="371"/>
      <c r="AE19" s="371"/>
      <c r="AF19" s="371"/>
      <c r="AG19" s="372"/>
      <c r="AH19" s="361"/>
      <c r="AI19" s="362"/>
      <c r="AJ19" s="362"/>
      <c r="AK19" s="362"/>
      <c r="AL19" s="362"/>
      <c r="AM19" s="363"/>
      <c r="AN19" s="80"/>
      <c r="AO19" s="404"/>
      <c r="AP19" s="405"/>
      <c r="AQ19" s="405"/>
      <c r="AR19" s="405"/>
      <c r="AS19" s="405"/>
      <c r="AT19" s="406"/>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row>
    <row r="20" spans="1:80" ht="15" customHeight="1" x14ac:dyDescent="0.25">
      <c r="A20" s="80"/>
      <c r="B20" s="390"/>
      <c r="C20" s="390"/>
      <c r="D20" s="391"/>
      <c r="E20" s="383"/>
      <c r="F20" s="384"/>
      <c r="G20" s="384"/>
      <c r="H20" s="384"/>
      <c r="I20" s="384"/>
      <c r="J20" s="352" t="str">
        <f>IF(AND('Mapa final'!$L$63="Alta",'Mapa final'!$P$63="Leve"),CONCATENATE("R",'Mapa final'!$A$63),"")</f>
        <v/>
      </c>
      <c r="K20" s="353"/>
      <c r="L20" s="353" t="str">
        <f>IF(AND('Mapa final'!$L$69="Alta",'Mapa final'!$P$69="Leve"),CONCATENATE("R",'Mapa final'!$A$69),"")</f>
        <v/>
      </c>
      <c r="M20" s="353"/>
      <c r="N20" s="353" t="str">
        <f>IF(AND('Mapa final'!$L$75="Alta",'Mapa final'!$P$75="Leve"),CONCATENATE("R",'Mapa final'!$A$75),"")</f>
        <v/>
      </c>
      <c r="O20" s="354"/>
      <c r="P20" s="352" t="str">
        <f>IF(AND('Mapa final'!$L$63="Alta",'Mapa final'!$P$63="Menor"),CONCATENATE("R",'Mapa final'!$A$63),"")</f>
        <v/>
      </c>
      <c r="Q20" s="353"/>
      <c r="R20" s="353" t="str">
        <f>IF(AND('Mapa final'!$L$69="Alta",'Mapa final'!$P$69="Menor"),CONCATENATE("R",'Mapa final'!$A$69),"")</f>
        <v/>
      </c>
      <c r="S20" s="353"/>
      <c r="T20" s="353" t="str">
        <f>IF(AND('Mapa final'!$L$75="Alta",'Mapa final'!$P$75="Menor"),CONCATENATE("R",'Mapa final'!$A$75),"")</f>
        <v/>
      </c>
      <c r="U20" s="354"/>
      <c r="V20" s="370" t="str">
        <f>IF(AND('Mapa final'!$L$63="Alta",'Mapa final'!$P$63="Moderado"),CONCATENATE("R",'Mapa final'!$A$63),"")</f>
        <v/>
      </c>
      <c r="W20" s="371"/>
      <c r="X20" s="371" t="str">
        <f>IF(AND('Mapa final'!$L$69="Alta",'Mapa final'!$P$69="Moderado"),CONCATENATE("R",'Mapa final'!$A$69),"")</f>
        <v/>
      </c>
      <c r="Y20" s="371"/>
      <c r="Z20" s="371" t="str">
        <f>IF(AND('Mapa final'!$L$75="Alta",'Mapa final'!$P$75="Moderado"),CONCATENATE("R",'Mapa final'!$A$75),"")</f>
        <v/>
      </c>
      <c r="AA20" s="372"/>
      <c r="AB20" s="370" t="str">
        <f>IF(AND('Mapa final'!$L$63="Alta",'Mapa final'!$P$63="Mayor"),CONCATENATE("R",'Mapa final'!$A$63),"")</f>
        <v/>
      </c>
      <c r="AC20" s="371"/>
      <c r="AD20" s="371" t="str">
        <f>IF(AND('Mapa final'!$L$69="Alta",'Mapa final'!$P$69="Mayor"),CONCATENATE("R",'Mapa final'!$A$69),"")</f>
        <v/>
      </c>
      <c r="AE20" s="371"/>
      <c r="AF20" s="371" t="str">
        <f>IF(AND('Mapa final'!$L$75="Alta",'Mapa final'!$P$75="Mayor"),CONCATENATE("R",'Mapa final'!$A$75),"")</f>
        <v/>
      </c>
      <c r="AG20" s="372"/>
      <c r="AH20" s="361" t="str">
        <f>IF(AND('Mapa final'!$L$63="Alta",'Mapa final'!$P$63="Catastrófico"),CONCATENATE("R",'Mapa final'!$A$63),"")</f>
        <v/>
      </c>
      <c r="AI20" s="362"/>
      <c r="AJ20" s="362" t="str">
        <f>IF(AND('Mapa final'!$L$69="Alta",'Mapa final'!$P$69="Catastrófico"),CONCATENATE("R",'Mapa final'!$A$69),"")</f>
        <v/>
      </c>
      <c r="AK20" s="362"/>
      <c r="AL20" s="362" t="str">
        <f>IF(AND('Mapa final'!$L$75="Alta",'Mapa final'!$P$75="Catastrófico"),CONCATENATE("R",'Mapa final'!$A$75),"")</f>
        <v/>
      </c>
      <c r="AM20" s="363"/>
      <c r="AN20" s="80"/>
      <c r="AO20" s="404"/>
      <c r="AP20" s="405"/>
      <c r="AQ20" s="405"/>
      <c r="AR20" s="405"/>
      <c r="AS20" s="405"/>
      <c r="AT20" s="406"/>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row>
    <row r="21" spans="1:80" ht="15.75" customHeight="1" thickBot="1" x14ac:dyDescent="0.3">
      <c r="A21" s="80"/>
      <c r="B21" s="390"/>
      <c r="C21" s="390"/>
      <c r="D21" s="391"/>
      <c r="E21" s="386"/>
      <c r="F21" s="387"/>
      <c r="G21" s="387"/>
      <c r="H21" s="387"/>
      <c r="I21" s="387"/>
      <c r="J21" s="355"/>
      <c r="K21" s="356"/>
      <c r="L21" s="356"/>
      <c r="M21" s="356"/>
      <c r="N21" s="356"/>
      <c r="O21" s="357"/>
      <c r="P21" s="355"/>
      <c r="Q21" s="356"/>
      <c r="R21" s="356"/>
      <c r="S21" s="356"/>
      <c r="T21" s="356"/>
      <c r="U21" s="357"/>
      <c r="V21" s="373"/>
      <c r="W21" s="374"/>
      <c r="X21" s="374"/>
      <c r="Y21" s="374"/>
      <c r="Z21" s="374"/>
      <c r="AA21" s="375"/>
      <c r="AB21" s="373"/>
      <c r="AC21" s="374"/>
      <c r="AD21" s="374"/>
      <c r="AE21" s="374"/>
      <c r="AF21" s="374"/>
      <c r="AG21" s="375"/>
      <c r="AH21" s="364"/>
      <c r="AI21" s="365"/>
      <c r="AJ21" s="365"/>
      <c r="AK21" s="365"/>
      <c r="AL21" s="365"/>
      <c r="AM21" s="366"/>
      <c r="AN21" s="80"/>
      <c r="AO21" s="407"/>
      <c r="AP21" s="408"/>
      <c r="AQ21" s="408"/>
      <c r="AR21" s="408"/>
      <c r="AS21" s="408"/>
      <c r="AT21" s="409"/>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row>
    <row r="22" spans="1:80" x14ac:dyDescent="0.25">
      <c r="A22" s="80"/>
      <c r="B22" s="390"/>
      <c r="C22" s="390"/>
      <c r="D22" s="391"/>
      <c r="E22" s="380" t="s">
        <v>130</v>
      </c>
      <c r="F22" s="381"/>
      <c r="G22" s="381"/>
      <c r="H22" s="381"/>
      <c r="I22" s="382"/>
      <c r="J22" s="358" t="str">
        <f>IF(AND('Mapa final'!$L$11="Media",'Mapa final'!$P$11="Leve"),CONCATENATE("R",'Mapa final'!$A$11),"")</f>
        <v/>
      </c>
      <c r="K22" s="359"/>
      <c r="L22" s="359" t="str">
        <f>IF(AND('Mapa final'!$L$15="Media",'Mapa final'!$P$15="Leve"),CONCATENATE("R",'Mapa final'!$A$15),"")</f>
        <v/>
      </c>
      <c r="M22" s="359"/>
      <c r="N22" s="359" t="str">
        <f>IF(AND('Mapa final'!$L$21="Media",'Mapa final'!$P$21="Leve"),CONCATENATE("R",'Mapa final'!$A$21),"")</f>
        <v/>
      </c>
      <c r="O22" s="360"/>
      <c r="P22" s="358" t="str">
        <f>IF(AND('Mapa final'!$L$11="Media",'Mapa final'!$P$11="Menor"),CONCATENATE("R",'Mapa final'!$A$11),"")</f>
        <v/>
      </c>
      <c r="Q22" s="359"/>
      <c r="R22" s="359" t="str">
        <f>IF(AND('Mapa final'!$L$15="Media",'Mapa final'!$P$15="Menor"),CONCATENATE("R",'Mapa final'!$A$15),"")</f>
        <v/>
      </c>
      <c r="S22" s="359"/>
      <c r="T22" s="359" t="str">
        <f>IF(AND('Mapa final'!$L$21="Media",'Mapa final'!$P$21="Menor"),CONCATENATE("R",'Mapa final'!$A$21),"")</f>
        <v/>
      </c>
      <c r="U22" s="360"/>
      <c r="V22" s="358" t="str">
        <f>IF(AND('Mapa final'!$L$11="Media",'Mapa final'!$P$11="Moderado"),CONCATENATE("R",'Mapa final'!$A$11),"")</f>
        <v/>
      </c>
      <c r="W22" s="359"/>
      <c r="X22" s="359" t="str">
        <f>IF(AND('Mapa final'!$L$15="Media",'Mapa final'!$P$15="Moderado"),CONCATENATE("R",'Mapa final'!$A$15),"")</f>
        <v/>
      </c>
      <c r="Y22" s="359"/>
      <c r="Z22" s="359" t="str">
        <f>IF(AND('Mapa final'!$L$21="Media",'Mapa final'!$P$21="Moderado"),CONCATENATE("R",'Mapa final'!$A$21),"")</f>
        <v/>
      </c>
      <c r="AA22" s="360"/>
      <c r="AB22" s="376" t="str">
        <f>IF(AND('Mapa final'!$L$11="Media",'Mapa final'!$P$11="Mayor"),CONCATENATE("R",'Mapa final'!$A$11),"")</f>
        <v/>
      </c>
      <c r="AC22" s="377"/>
      <c r="AD22" s="377" t="str">
        <f>IF(AND('Mapa final'!$L$15="Media",'Mapa final'!$P$15="Mayor"),CONCATENATE("R",'Mapa final'!$A$15),"")</f>
        <v/>
      </c>
      <c r="AE22" s="377"/>
      <c r="AF22" s="377" t="str">
        <f>IF(AND('Mapa final'!$L$21="Media",'Mapa final'!$P$21="Mayor"),CONCATENATE("R",'Mapa final'!$A$21),"")</f>
        <v/>
      </c>
      <c r="AG22" s="378"/>
      <c r="AH22" s="367" t="str">
        <f>IF(AND('Mapa final'!$L$11="Media",'Mapa final'!$P$11="Catastrófico"),CONCATENATE("R",'Mapa final'!$A$11),"")</f>
        <v/>
      </c>
      <c r="AI22" s="368"/>
      <c r="AJ22" s="368" t="str">
        <f>IF(AND('Mapa final'!$L$15="Media",'Mapa final'!$P$15="Catastrófico"),CONCATENATE("R",'Mapa final'!$A$15),"")</f>
        <v/>
      </c>
      <c r="AK22" s="368"/>
      <c r="AL22" s="368" t="str">
        <f>IF(AND('Mapa final'!$L$21="Media",'Mapa final'!$P$21="Catastrófico"),CONCATENATE("R",'Mapa final'!$A$21),"")</f>
        <v/>
      </c>
      <c r="AM22" s="369"/>
      <c r="AN22" s="80"/>
      <c r="AO22" s="410" t="s">
        <v>131</v>
      </c>
      <c r="AP22" s="411"/>
      <c r="AQ22" s="411"/>
      <c r="AR22" s="411"/>
      <c r="AS22" s="411"/>
      <c r="AT22" s="412"/>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row>
    <row r="23" spans="1:80" x14ac:dyDescent="0.25">
      <c r="A23" s="80"/>
      <c r="B23" s="390"/>
      <c r="C23" s="390"/>
      <c r="D23" s="391"/>
      <c r="E23" s="383"/>
      <c r="F23" s="384"/>
      <c r="G23" s="384"/>
      <c r="H23" s="384"/>
      <c r="I23" s="385"/>
      <c r="J23" s="352"/>
      <c r="K23" s="353"/>
      <c r="L23" s="353"/>
      <c r="M23" s="353"/>
      <c r="N23" s="353"/>
      <c r="O23" s="354"/>
      <c r="P23" s="352"/>
      <c r="Q23" s="353"/>
      <c r="R23" s="353"/>
      <c r="S23" s="353"/>
      <c r="T23" s="353"/>
      <c r="U23" s="354"/>
      <c r="V23" s="352"/>
      <c r="W23" s="353"/>
      <c r="X23" s="353"/>
      <c r="Y23" s="353"/>
      <c r="Z23" s="353"/>
      <c r="AA23" s="354"/>
      <c r="AB23" s="370"/>
      <c r="AC23" s="371"/>
      <c r="AD23" s="371"/>
      <c r="AE23" s="371"/>
      <c r="AF23" s="371"/>
      <c r="AG23" s="372"/>
      <c r="AH23" s="361"/>
      <c r="AI23" s="362"/>
      <c r="AJ23" s="362"/>
      <c r="AK23" s="362"/>
      <c r="AL23" s="362"/>
      <c r="AM23" s="363"/>
      <c r="AN23" s="80"/>
      <c r="AO23" s="413"/>
      <c r="AP23" s="414"/>
      <c r="AQ23" s="414"/>
      <c r="AR23" s="414"/>
      <c r="AS23" s="414"/>
      <c r="AT23" s="415"/>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row>
    <row r="24" spans="1:80" x14ac:dyDescent="0.25">
      <c r="A24" s="80"/>
      <c r="B24" s="390"/>
      <c r="C24" s="390"/>
      <c r="D24" s="391"/>
      <c r="E24" s="383"/>
      <c r="F24" s="384"/>
      <c r="G24" s="384"/>
      <c r="H24" s="384"/>
      <c r="I24" s="385"/>
      <c r="J24" s="352" t="str">
        <f>IF(AND('Mapa final'!$L$27="Media",'Mapa final'!$P$27="Leve"),CONCATENATE("R",'Mapa final'!$A$27),"")</f>
        <v/>
      </c>
      <c r="K24" s="353"/>
      <c r="L24" s="353" t="str">
        <f>IF(AND('Mapa final'!$L$33="Media",'Mapa final'!$P$33="Leve"),CONCATENATE("R",'Mapa final'!$A$33),"")</f>
        <v/>
      </c>
      <c r="M24" s="353"/>
      <c r="N24" s="353" t="str">
        <f>IF(AND('Mapa final'!$L$39="Media",'Mapa final'!$P$39="Leve"),CONCATENATE("R",'Mapa final'!$A$39),"")</f>
        <v/>
      </c>
      <c r="O24" s="354"/>
      <c r="P24" s="352" t="str">
        <f>IF(AND('Mapa final'!$L$27="Media",'Mapa final'!$P$27="Menor"),CONCATENATE("R",'Mapa final'!$A$27),"")</f>
        <v/>
      </c>
      <c r="Q24" s="353"/>
      <c r="R24" s="353" t="str">
        <f>IF(AND('Mapa final'!$L$33="Media",'Mapa final'!$P$33="Menor"),CONCATENATE("R",'Mapa final'!$A$33),"")</f>
        <v/>
      </c>
      <c r="S24" s="353"/>
      <c r="T24" s="353" t="str">
        <f>IF(AND('Mapa final'!$L$39="Media",'Mapa final'!$P$39="Menor"),CONCATENATE("R",'Mapa final'!$A$39),"")</f>
        <v/>
      </c>
      <c r="U24" s="354"/>
      <c r="V24" s="352" t="str">
        <f>IF(AND('Mapa final'!$L$27="Media",'Mapa final'!$P$27="Moderado"),CONCATENATE("R",'Mapa final'!$A$27),"")</f>
        <v/>
      </c>
      <c r="W24" s="353"/>
      <c r="X24" s="353" t="str">
        <f>IF(AND('Mapa final'!$L$33="Media",'Mapa final'!$P$33="Moderado"),CONCATENATE("R",'Mapa final'!$A$33),"")</f>
        <v/>
      </c>
      <c r="Y24" s="353"/>
      <c r="Z24" s="353" t="str">
        <f>IF(AND('Mapa final'!$L$39="Media",'Mapa final'!$P$39="Moderado"),CONCATENATE("R",'Mapa final'!$A$39),"")</f>
        <v/>
      </c>
      <c r="AA24" s="354"/>
      <c r="AB24" s="370" t="str">
        <f>IF(AND('Mapa final'!$L$27="Media",'Mapa final'!$P$27="Mayor"),CONCATENATE("R",'Mapa final'!$A$27),"")</f>
        <v/>
      </c>
      <c r="AC24" s="371"/>
      <c r="AD24" s="371" t="str">
        <f>IF(AND('Mapa final'!$L$33="Media",'Mapa final'!$P$33="Mayor"),CONCATENATE("R",'Mapa final'!$A$33),"")</f>
        <v/>
      </c>
      <c r="AE24" s="371"/>
      <c r="AF24" s="371" t="str">
        <f>IF(AND('Mapa final'!$L$39="Media",'Mapa final'!$P$39="Mayor"),CONCATENATE("R",'Mapa final'!$A$39),"")</f>
        <v/>
      </c>
      <c r="AG24" s="372"/>
      <c r="AH24" s="361" t="str">
        <f>IF(AND('Mapa final'!$L$27="Media",'Mapa final'!$P$27="Catastrófico"),CONCATENATE("R",'Mapa final'!$A$27),"")</f>
        <v/>
      </c>
      <c r="AI24" s="362"/>
      <c r="AJ24" s="362" t="str">
        <f>IF(AND('Mapa final'!$L$33="Media",'Mapa final'!$P$33="Catastrófico"),CONCATENATE("R",'Mapa final'!$A$33),"")</f>
        <v/>
      </c>
      <c r="AK24" s="362"/>
      <c r="AL24" s="362" t="str">
        <f>IF(AND('Mapa final'!$L$39="Media",'Mapa final'!$P$39="Catastrófico"),CONCATENATE("R",'Mapa final'!$A$39),"")</f>
        <v/>
      </c>
      <c r="AM24" s="363"/>
      <c r="AN24" s="80"/>
      <c r="AO24" s="413"/>
      <c r="AP24" s="414"/>
      <c r="AQ24" s="414"/>
      <c r="AR24" s="414"/>
      <c r="AS24" s="414"/>
      <c r="AT24" s="415"/>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row>
    <row r="25" spans="1:80" x14ac:dyDescent="0.25">
      <c r="A25" s="80"/>
      <c r="B25" s="390"/>
      <c r="C25" s="390"/>
      <c r="D25" s="391"/>
      <c r="E25" s="383"/>
      <c r="F25" s="384"/>
      <c r="G25" s="384"/>
      <c r="H25" s="384"/>
      <c r="I25" s="385"/>
      <c r="J25" s="352"/>
      <c r="K25" s="353"/>
      <c r="L25" s="353"/>
      <c r="M25" s="353"/>
      <c r="N25" s="353"/>
      <c r="O25" s="354"/>
      <c r="P25" s="352"/>
      <c r="Q25" s="353"/>
      <c r="R25" s="353"/>
      <c r="S25" s="353"/>
      <c r="T25" s="353"/>
      <c r="U25" s="354"/>
      <c r="V25" s="352"/>
      <c r="W25" s="353"/>
      <c r="X25" s="353"/>
      <c r="Y25" s="353"/>
      <c r="Z25" s="353"/>
      <c r="AA25" s="354"/>
      <c r="AB25" s="370"/>
      <c r="AC25" s="371"/>
      <c r="AD25" s="371"/>
      <c r="AE25" s="371"/>
      <c r="AF25" s="371"/>
      <c r="AG25" s="372"/>
      <c r="AH25" s="361"/>
      <c r="AI25" s="362"/>
      <c r="AJ25" s="362"/>
      <c r="AK25" s="362"/>
      <c r="AL25" s="362"/>
      <c r="AM25" s="363"/>
      <c r="AN25" s="80"/>
      <c r="AO25" s="413"/>
      <c r="AP25" s="414"/>
      <c r="AQ25" s="414"/>
      <c r="AR25" s="414"/>
      <c r="AS25" s="414"/>
      <c r="AT25" s="415"/>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row>
    <row r="26" spans="1:80" x14ac:dyDescent="0.25">
      <c r="A26" s="80"/>
      <c r="B26" s="390"/>
      <c r="C26" s="390"/>
      <c r="D26" s="391"/>
      <c r="E26" s="383"/>
      <c r="F26" s="384"/>
      <c r="G26" s="384"/>
      <c r="H26" s="384"/>
      <c r="I26" s="385"/>
      <c r="J26" s="352" t="str">
        <f>IF(AND('Mapa final'!$L$45="Media",'Mapa final'!$P$45="Leve"),CONCATENATE("R",'Mapa final'!$A$45),"")</f>
        <v/>
      </c>
      <c r="K26" s="353"/>
      <c r="L26" s="353" t="str">
        <f>IF(AND('Mapa final'!$L$51="Media",'Mapa final'!$P$51="Leve"),CONCATENATE("R",'Mapa final'!$A$51),"")</f>
        <v/>
      </c>
      <c r="M26" s="353"/>
      <c r="N26" s="353" t="str">
        <f>IF(AND('Mapa final'!$L$57="Media",'Mapa final'!$P$57="Leve"),CONCATENATE("R",'Mapa final'!$A$57),"")</f>
        <v/>
      </c>
      <c r="O26" s="354"/>
      <c r="P26" s="352" t="str">
        <f>IF(AND('Mapa final'!$L$45="Media",'Mapa final'!$P$45="Menor"),CONCATENATE("R",'Mapa final'!$A$45),"")</f>
        <v/>
      </c>
      <c r="Q26" s="353"/>
      <c r="R26" s="353" t="str">
        <f>IF(AND('Mapa final'!$L$51="Media",'Mapa final'!$P$51="Menor"),CONCATENATE("R",'Mapa final'!$A$51),"")</f>
        <v/>
      </c>
      <c r="S26" s="353"/>
      <c r="T26" s="353" t="str">
        <f>IF(AND('Mapa final'!$L$57="Media",'Mapa final'!$P$57="Menor"),CONCATENATE("R",'Mapa final'!$A$57),"")</f>
        <v/>
      </c>
      <c r="U26" s="354"/>
      <c r="V26" s="352" t="str">
        <f>IF(AND('Mapa final'!$L$45="Media",'Mapa final'!$P$45="Moderado"),CONCATENATE("R",'Mapa final'!$A$45),"")</f>
        <v/>
      </c>
      <c r="W26" s="353"/>
      <c r="X26" s="353" t="str">
        <f>IF(AND('Mapa final'!$L$51="Media",'Mapa final'!$P$51="Moderado"),CONCATENATE("R",'Mapa final'!$A$51),"")</f>
        <v/>
      </c>
      <c r="Y26" s="353"/>
      <c r="Z26" s="353" t="str">
        <f>IF(AND('Mapa final'!$L$57="Media",'Mapa final'!$P$57="Moderado"),CONCATENATE("R",'Mapa final'!$A$57),"")</f>
        <v/>
      </c>
      <c r="AA26" s="354"/>
      <c r="AB26" s="370" t="str">
        <f>IF(AND('Mapa final'!$L$45="Media",'Mapa final'!$P$45="Mayor"),CONCATENATE("R",'Mapa final'!$A$45),"")</f>
        <v/>
      </c>
      <c r="AC26" s="371"/>
      <c r="AD26" s="371" t="str">
        <f>IF(AND('Mapa final'!$L$51="Media",'Mapa final'!$P$51="Mayor"),CONCATENATE("R",'Mapa final'!$A$51),"")</f>
        <v/>
      </c>
      <c r="AE26" s="371"/>
      <c r="AF26" s="371" t="str">
        <f>IF(AND('Mapa final'!$L$57="Media",'Mapa final'!$P$57="Mayor"),CONCATENATE("R",'Mapa final'!$A$57),"")</f>
        <v/>
      </c>
      <c r="AG26" s="372"/>
      <c r="AH26" s="361" t="str">
        <f>IF(AND('Mapa final'!$L$45="Media",'Mapa final'!$P$45="Catastrófico"),CONCATENATE("R",'Mapa final'!$A$45),"")</f>
        <v/>
      </c>
      <c r="AI26" s="362"/>
      <c r="AJ26" s="362" t="str">
        <f>IF(AND('Mapa final'!$L$51="Media",'Mapa final'!$P$51="Catastrófico"),CONCATENATE("R",'Mapa final'!$A$51),"")</f>
        <v/>
      </c>
      <c r="AK26" s="362"/>
      <c r="AL26" s="362" t="str">
        <f>IF(AND('Mapa final'!$L$57="Media",'Mapa final'!$P$57="Catastrófico"),CONCATENATE("R",'Mapa final'!$A$57),"")</f>
        <v/>
      </c>
      <c r="AM26" s="363"/>
      <c r="AN26" s="80"/>
      <c r="AO26" s="413"/>
      <c r="AP26" s="414"/>
      <c r="AQ26" s="414"/>
      <c r="AR26" s="414"/>
      <c r="AS26" s="414"/>
      <c r="AT26" s="415"/>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row>
    <row r="27" spans="1:80" x14ac:dyDescent="0.25">
      <c r="A27" s="80"/>
      <c r="B27" s="390"/>
      <c r="C27" s="390"/>
      <c r="D27" s="391"/>
      <c r="E27" s="383"/>
      <c r="F27" s="384"/>
      <c r="G27" s="384"/>
      <c r="H27" s="384"/>
      <c r="I27" s="385"/>
      <c r="J27" s="352"/>
      <c r="K27" s="353"/>
      <c r="L27" s="353"/>
      <c r="M27" s="353"/>
      <c r="N27" s="353"/>
      <c r="O27" s="354"/>
      <c r="P27" s="352"/>
      <c r="Q27" s="353"/>
      <c r="R27" s="353"/>
      <c r="S27" s="353"/>
      <c r="T27" s="353"/>
      <c r="U27" s="354"/>
      <c r="V27" s="352"/>
      <c r="W27" s="353"/>
      <c r="X27" s="353"/>
      <c r="Y27" s="353"/>
      <c r="Z27" s="353"/>
      <c r="AA27" s="354"/>
      <c r="AB27" s="370"/>
      <c r="AC27" s="371"/>
      <c r="AD27" s="371"/>
      <c r="AE27" s="371"/>
      <c r="AF27" s="371"/>
      <c r="AG27" s="372"/>
      <c r="AH27" s="361"/>
      <c r="AI27" s="362"/>
      <c r="AJ27" s="362"/>
      <c r="AK27" s="362"/>
      <c r="AL27" s="362"/>
      <c r="AM27" s="363"/>
      <c r="AN27" s="80"/>
      <c r="AO27" s="413"/>
      <c r="AP27" s="414"/>
      <c r="AQ27" s="414"/>
      <c r="AR27" s="414"/>
      <c r="AS27" s="414"/>
      <c r="AT27" s="415"/>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row>
    <row r="28" spans="1:80" x14ac:dyDescent="0.25">
      <c r="A28" s="80"/>
      <c r="B28" s="390"/>
      <c r="C28" s="390"/>
      <c r="D28" s="391"/>
      <c r="E28" s="383"/>
      <c r="F28" s="384"/>
      <c r="G28" s="384"/>
      <c r="H28" s="384"/>
      <c r="I28" s="385"/>
      <c r="J28" s="352" t="str">
        <f>IF(AND('Mapa final'!$L$63="Media",'Mapa final'!$P$63="Leve"),CONCATENATE("R",'Mapa final'!$A$63),"")</f>
        <v/>
      </c>
      <c r="K28" s="353"/>
      <c r="L28" s="353" t="str">
        <f>IF(AND('Mapa final'!$L$69="Media",'Mapa final'!$P$69="Leve"),CONCATENATE("R",'Mapa final'!$A$69),"")</f>
        <v/>
      </c>
      <c r="M28" s="353"/>
      <c r="N28" s="353" t="str">
        <f>IF(AND('Mapa final'!$L$75="Media",'Mapa final'!$P$75="Leve"),CONCATENATE("R",'Mapa final'!$A$75),"")</f>
        <v/>
      </c>
      <c r="O28" s="354"/>
      <c r="P28" s="352" t="str">
        <f>IF(AND('Mapa final'!$L$63="Media",'Mapa final'!$P$63="Menor"),CONCATENATE("R",'Mapa final'!$A$63),"")</f>
        <v/>
      </c>
      <c r="Q28" s="353"/>
      <c r="R28" s="353" t="str">
        <f>IF(AND('Mapa final'!$L$69="Media",'Mapa final'!$P$69="Menor"),CONCATENATE("R",'Mapa final'!$A$69),"")</f>
        <v/>
      </c>
      <c r="S28" s="353"/>
      <c r="T28" s="353" t="str">
        <f>IF(AND('Mapa final'!$L$75="Media",'Mapa final'!$P$75="Menor"),CONCATENATE("R",'Mapa final'!$A$75),"")</f>
        <v/>
      </c>
      <c r="U28" s="354"/>
      <c r="V28" s="352" t="str">
        <f>IF(AND('Mapa final'!$L$63="Media",'Mapa final'!$P$63="Moderado"),CONCATENATE("R",'Mapa final'!$A$63),"")</f>
        <v/>
      </c>
      <c r="W28" s="353"/>
      <c r="X28" s="353" t="str">
        <f>IF(AND('Mapa final'!$L$69="Media",'Mapa final'!$P$69="Moderado"),CONCATENATE("R",'Mapa final'!$A$69),"")</f>
        <v/>
      </c>
      <c r="Y28" s="353"/>
      <c r="Z28" s="353" t="str">
        <f>IF(AND('Mapa final'!$L$75="Media",'Mapa final'!$P$75="Moderado"),CONCATENATE("R",'Mapa final'!$A$75),"")</f>
        <v/>
      </c>
      <c r="AA28" s="354"/>
      <c r="AB28" s="370" t="str">
        <f>IF(AND('Mapa final'!$L$63="Media",'Mapa final'!$P$63="Mayor"),CONCATENATE("R",'Mapa final'!$A$63),"")</f>
        <v/>
      </c>
      <c r="AC28" s="371"/>
      <c r="AD28" s="371" t="str">
        <f>IF(AND('Mapa final'!$L$69="Media",'Mapa final'!$P$69="Mayor"),CONCATENATE("R",'Mapa final'!$A$69),"")</f>
        <v/>
      </c>
      <c r="AE28" s="371"/>
      <c r="AF28" s="371" t="str">
        <f>IF(AND('Mapa final'!$L$75="Media",'Mapa final'!$P$75="Mayor"),CONCATENATE("R",'Mapa final'!$A$75),"")</f>
        <v/>
      </c>
      <c r="AG28" s="372"/>
      <c r="AH28" s="361" t="str">
        <f>IF(AND('Mapa final'!$L$63="Media",'Mapa final'!$P$63="Catastrófico"),CONCATENATE("R",'Mapa final'!$A$63),"")</f>
        <v/>
      </c>
      <c r="AI28" s="362"/>
      <c r="AJ28" s="362" t="str">
        <f>IF(AND('Mapa final'!$L$69="Media",'Mapa final'!$P$69="Catastrófico"),CONCATENATE("R",'Mapa final'!$A$69),"")</f>
        <v/>
      </c>
      <c r="AK28" s="362"/>
      <c r="AL28" s="362" t="str">
        <f>IF(AND('Mapa final'!$L$75="Media",'Mapa final'!$P$75="Catastrófico"),CONCATENATE("R",'Mapa final'!$A$75),"")</f>
        <v/>
      </c>
      <c r="AM28" s="363"/>
      <c r="AN28" s="80"/>
      <c r="AO28" s="413"/>
      <c r="AP28" s="414"/>
      <c r="AQ28" s="414"/>
      <c r="AR28" s="414"/>
      <c r="AS28" s="414"/>
      <c r="AT28" s="415"/>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row>
    <row r="29" spans="1:80" ht="15.75" thickBot="1" x14ac:dyDescent="0.3">
      <c r="A29" s="80"/>
      <c r="B29" s="390"/>
      <c r="C29" s="390"/>
      <c r="D29" s="391"/>
      <c r="E29" s="386"/>
      <c r="F29" s="387"/>
      <c r="G29" s="387"/>
      <c r="H29" s="387"/>
      <c r="I29" s="388"/>
      <c r="J29" s="352"/>
      <c r="K29" s="353"/>
      <c r="L29" s="353"/>
      <c r="M29" s="353"/>
      <c r="N29" s="353"/>
      <c r="O29" s="354"/>
      <c r="P29" s="355"/>
      <c r="Q29" s="356"/>
      <c r="R29" s="356"/>
      <c r="S29" s="356"/>
      <c r="T29" s="356"/>
      <c r="U29" s="357"/>
      <c r="V29" s="355"/>
      <c r="W29" s="356"/>
      <c r="X29" s="356"/>
      <c r="Y29" s="356"/>
      <c r="Z29" s="356"/>
      <c r="AA29" s="357"/>
      <c r="AB29" s="373"/>
      <c r="AC29" s="374"/>
      <c r="AD29" s="374"/>
      <c r="AE29" s="374"/>
      <c r="AF29" s="374"/>
      <c r="AG29" s="375"/>
      <c r="AH29" s="364"/>
      <c r="AI29" s="365"/>
      <c r="AJ29" s="365"/>
      <c r="AK29" s="365"/>
      <c r="AL29" s="365"/>
      <c r="AM29" s="366"/>
      <c r="AN29" s="80"/>
      <c r="AO29" s="416"/>
      <c r="AP29" s="417"/>
      <c r="AQ29" s="417"/>
      <c r="AR29" s="417"/>
      <c r="AS29" s="417"/>
      <c r="AT29" s="418"/>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row>
    <row r="30" spans="1:80" x14ac:dyDescent="0.25">
      <c r="A30" s="80"/>
      <c r="B30" s="390"/>
      <c r="C30" s="390"/>
      <c r="D30" s="391"/>
      <c r="E30" s="380" t="s">
        <v>132</v>
      </c>
      <c r="F30" s="381"/>
      <c r="G30" s="381"/>
      <c r="H30" s="381"/>
      <c r="I30" s="381"/>
      <c r="J30" s="349" t="str">
        <f>IF(AND('Mapa final'!$L$11="Baja",'Mapa final'!$P$11="Leve"),CONCATENATE("R",'Mapa final'!$A$11),"")</f>
        <v/>
      </c>
      <c r="K30" s="350"/>
      <c r="L30" s="350" t="str">
        <f>IF(AND('Mapa final'!$L$15="Baja",'Mapa final'!$P$15="Leve"),CONCATENATE("R",'Mapa final'!$A$15),"")</f>
        <v/>
      </c>
      <c r="M30" s="350"/>
      <c r="N30" s="350" t="str">
        <f>IF(AND('Mapa final'!$L$21="Baja",'Mapa final'!$P$21="Leve"),CONCATENATE("R",'Mapa final'!$A$21),"")</f>
        <v/>
      </c>
      <c r="O30" s="351"/>
      <c r="P30" s="359" t="str">
        <f>IF(AND('Mapa final'!$L$11="Baja",'Mapa final'!$P$11="Menor"),CONCATENATE("R",'Mapa final'!$A$11),"")</f>
        <v/>
      </c>
      <c r="Q30" s="359"/>
      <c r="R30" s="359" t="str">
        <f>IF(AND('Mapa final'!$L$15="Baja",'Mapa final'!$P$15="Menor"),CONCATENATE("R",'Mapa final'!$A$15),"")</f>
        <v/>
      </c>
      <c r="S30" s="359"/>
      <c r="T30" s="359" t="str">
        <f>IF(AND('Mapa final'!$L$21="Baja",'Mapa final'!$P$21="Menor"),CONCATENATE("R",'Mapa final'!$A$21),"")</f>
        <v/>
      </c>
      <c r="U30" s="360"/>
      <c r="V30" s="358" t="str">
        <f>IF(AND('Mapa final'!$L$11="Baja",'Mapa final'!$P$11="Moderado"),CONCATENATE("R",'Mapa final'!$A$11),"")</f>
        <v/>
      </c>
      <c r="W30" s="359"/>
      <c r="X30" s="359" t="str">
        <f>IF(AND('Mapa final'!$L$15="Baja",'Mapa final'!$P$15="Moderado"),CONCATENATE("R",'Mapa final'!$A$15),"")</f>
        <v/>
      </c>
      <c r="Y30" s="359"/>
      <c r="Z30" s="359" t="str">
        <f>IF(AND('Mapa final'!$L$21="Baja",'Mapa final'!$P$21="Moderado"),CONCATENATE("R",'Mapa final'!$A$21),"")</f>
        <v/>
      </c>
      <c r="AA30" s="360"/>
      <c r="AB30" s="376" t="str">
        <f>IF(AND('Mapa final'!$L$11="Baja",'Mapa final'!$P$11="Mayor"),CONCATENATE("R",'Mapa final'!$A$11),"")</f>
        <v/>
      </c>
      <c r="AC30" s="377"/>
      <c r="AD30" s="377" t="str">
        <f>IF(AND('Mapa final'!$L$15="Baja",'Mapa final'!$P$15="Mayor"),CONCATENATE("R",'Mapa final'!$A$15),"")</f>
        <v/>
      </c>
      <c r="AE30" s="377"/>
      <c r="AF30" s="377" t="str">
        <f>IF(AND('Mapa final'!$L$21="Baja",'Mapa final'!$P$21="Mayor"),CONCATENATE("R",'Mapa final'!$A$21),"")</f>
        <v/>
      </c>
      <c r="AG30" s="378"/>
      <c r="AH30" s="367" t="str">
        <f>IF(AND('Mapa final'!$L$11="Baja",'Mapa final'!$P$11="Catastrófico"),CONCATENATE("R",'Mapa final'!$A$11),"")</f>
        <v/>
      </c>
      <c r="AI30" s="368"/>
      <c r="AJ30" s="368" t="str">
        <f>IF(AND('Mapa final'!$L$15="Baja",'Mapa final'!$P$15="Catastrófico"),CONCATENATE("R",'Mapa final'!$A$15),"")</f>
        <v/>
      </c>
      <c r="AK30" s="368"/>
      <c r="AL30" s="368" t="str">
        <f>IF(AND('Mapa final'!$L$21="Baja",'Mapa final'!$P$21="Catastrófico"),CONCATENATE("R",'Mapa final'!$A$21),"")</f>
        <v/>
      </c>
      <c r="AM30" s="369"/>
      <c r="AN30" s="80"/>
      <c r="AO30" s="419" t="s">
        <v>133</v>
      </c>
      <c r="AP30" s="420"/>
      <c r="AQ30" s="420"/>
      <c r="AR30" s="420"/>
      <c r="AS30" s="420"/>
      <c r="AT30" s="421"/>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row>
    <row r="31" spans="1:80" x14ac:dyDescent="0.25">
      <c r="A31" s="80"/>
      <c r="B31" s="390"/>
      <c r="C31" s="390"/>
      <c r="D31" s="391"/>
      <c r="E31" s="383"/>
      <c r="F31" s="384"/>
      <c r="G31" s="384"/>
      <c r="H31" s="384"/>
      <c r="I31" s="384"/>
      <c r="J31" s="343"/>
      <c r="K31" s="344"/>
      <c r="L31" s="344"/>
      <c r="M31" s="344"/>
      <c r="N31" s="344"/>
      <c r="O31" s="345"/>
      <c r="P31" s="353"/>
      <c r="Q31" s="353"/>
      <c r="R31" s="353"/>
      <c r="S31" s="353"/>
      <c r="T31" s="353"/>
      <c r="U31" s="354"/>
      <c r="V31" s="352"/>
      <c r="W31" s="353"/>
      <c r="X31" s="353"/>
      <c r="Y31" s="353"/>
      <c r="Z31" s="353"/>
      <c r="AA31" s="354"/>
      <c r="AB31" s="370"/>
      <c r="AC31" s="371"/>
      <c r="AD31" s="371"/>
      <c r="AE31" s="371"/>
      <c r="AF31" s="371"/>
      <c r="AG31" s="372"/>
      <c r="AH31" s="361"/>
      <c r="AI31" s="362"/>
      <c r="AJ31" s="362"/>
      <c r="AK31" s="362"/>
      <c r="AL31" s="362"/>
      <c r="AM31" s="363"/>
      <c r="AN31" s="80"/>
      <c r="AO31" s="422"/>
      <c r="AP31" s="423"/>
      <c r="AQ31" s="423"/>
      <c r="AR31" s="423"/>
      <c r="AS31" s="423"/>
      <c r="AT31" s="424"/>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row>
    <row r="32" spans="1:80" x14ac:dyDescent="0.25">
      <c r="A32" s="80"/>
      <c r="B32" s="390"/>
      <c r="C32" s="390"/>
      <c r="D32" s="391"/>
      <c r="E32" s="383"/>
      <c r="F32" s="384"/>
      <c r="G32" s="384"/>
      <c r="H32" s="384"/>
      <c r="I32" s="384"/>
      <c r="J32" s="343" t="str">
        <f>IF(AND('Mapa final'!$L$27="Baja",'Mapa final'!$P$27="Leve"),CONCATENATE("R",'Mapa final'!$A$27),"")</f>
        <v/>
      </c>
      <c r="K32" s="344"/>
      <c r="L32" s="344" t="str">
        <f>IF(AND('Mapa final'!$L$33="Baja",'Mapa final'!$P$33="Leve"),CONCATENATE("R",'Mapa final'!$A$33),"")</f>
        <v/>
      </c>
      <c r="M32" s="344"/>
      <c r="N32" s="344" t="str">
        <f>IF(AND('Mapa final'!$L$39="Baja",'Mapa final'!$P$39="Leve"),CONCATENATE("R",'Mapa final'!$A$39),"")</f>
        <v/>
      </c>
      <c r="O32" s="345"/>
      <c r="P32" s="353" t="str">
        <f>IF(AND('Mapa final'!$L$27="Baja",'Mapa final'!$P$27="Menor"),CONCATENATE("R",'Mapa final'!$A$27),"")</f>
        <v/>
      </c>
      <c r="Q32" s="353"/>
      <c r="R32" s="353" t="str">
        <f>IF(AND('Mapa final'!$L$33="Baja",'Mapa final'!$P$33="Menor"),CONCATENATE("R",'Mapa final'!$A$33),"")</f>
        <v/>
      </c>
      <c r="S32" s="353"/>
      <c r="T32" s="353" t="str">
        <f>IF(AND('Mapa final'!$L$39="Baja",'Mapa final'!$P$39="Menor"),CONCATENATE("R",'Mapa final'!$A$39),"")</f>
        <v/>
      </c>
      <c r="U32" s="354"/>
      <c r="V32" s="352" t="str">
        <f>IF(AND('Mapa final'!$L$27="Baja",'Mapa final'!$P$27="Moderado"),CONCATENATE("R",'Mapa final'!$A$27),"")</f>
        <v/>
      </c>
      <c r="W32" s="353"/>
      <c r="X32" s="353" t="str">
        <f>IF(AND('Mapa final'!$L$33="Baja",'Mapa final'!$P$33="Moderado"),CONCATENATE("R",'Mapa final'!$A$33),"")</f>
        <v/>
      </c>
      <c r="Y32" s="353"/>
      <c r="Z32" s="353" t="str">
        <f>IF(AND('Mapa final'!$L$39="Baja",'Mapa final'!$P$39="Moderado"),CONCATENATE("R",'Mapa final'!$A$39),"")</f>
        <v/>
      </c>
      <c r="AA32" s="354"/>
      <c r="AB32" s="370" t="str">
        <f>IF(AND('Mapa final'!$L$27="Baja",'Mapa final'!$P$27="Mayor"),CONCATENATE("R",'Mapa final'!$A$27),"")</f>
        <v/>
      </c>
      <c r="AC32" s="371"/>
      <c r="AD32" s="371" t="str">
        <f>IF(AND('Mapa final'!$L$33="Baja",'Mapa final'!$P$33="Mayor"),CONCATENATE("R",'Mapa final'!$A$33),"")</f>
        <v/>
      </c>
      <c r="AE32" s="371"/>
      <c r="AF32" s="371" t="str">
        <f>IF(AND('Mapa final'!$L$39="Baja",'Mapa final'!$P$39="Mayor"),CONCATENATE("R",'Mapa final'!$A$39),"")</f>
        <v/>
      </c>
      <c r="AG32" s="372"/>
      <c r="AH32" s="361" t="str">
        <f>IF(AND('Mapa final'!$L$27="Baja",'Mapa final'!$P$27="Catastrófico"),CONCATENATE("R",'Mapa final'!$A$27),"")</f>
        <v/>
      </c>
      <c r="AI32" s="362"/>
      <c r="AJ32" s="362" t="str">
        <f>IF(AND('Mapa final'!$L$33="Baja",'Mapa final'!$P$33="Catastrófico"),CONCATENATE("R",'Mapa final'!$A$33),"")</f>
        <v/>
      </c>
      <c r="AK32" s="362"/>
      <c r="AL32" s="362" t="str">
        <f>IF(AND('Mapa final'!$L$39="Baja",'Mapa final'!$P$39="Catastrófico"),CONCATENATE("R",'Mapa final'!$A$39),"")</f>
        <v/>
      </c>
      <c r="AM32" s="363"/>
      <c r="AN32" s="80"/>
      <c r="AO32" s="422"/>
      <c r="AP32" s="423"/>
      <c r="AQ32" s="423"/>
      <c r="AR32" s="423"/>
      <c r="AS32" s="423"/>
      <c r="AT32" s="424"/>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row>
    <row r="33" spans="1:80" x14ac:dyDescent="0.25">
      <c r="A33" s="80"/>
      <c r="B33" s="390"/>
      <c r="C33" s="390"/>
      <c r="D33" s="391"/>
      <c r="E33" s="383"/>
      <c r="F33" s="384"/>
      <c r="G33" s="384"/>
      <c r="H33" s="384"/>
      <c r="I33" s="384"/>
      <c r="J33" s="343"/>
      <c r="K33" s="344"/>
      <c r="L33" s="344"/>
      <c r="M33" s="344"/>
      <c r="N33" s="344"/>
      <c r="O33" s="345"/>
      <c r="P33" s="353"/>
      <c r="Q33" s="353"/>
      <c r="R33" s="353"/>
      <c r="S33" s="353"/>
      <c r="T33" s="353"/>
      <c r="U33" s="354"/>
      <c r="V33" s="352"/>
      <c r="W33" s="353"/>
      <c r="X33" s="353"/>
      <c r="Y33" s="353"/>
      <c r="Z33" s="353"/>
      <c r="AA33" s="354"/>
      <c r="AB33" s="370"/>
      <c r="AC33" s="371"/>
      <c r="AD33" s="371"/>
      <c r="AE33" s="371"/>
      <c r="AF33" s="371"/>
      <c r="AG33" s="372"/>
      <c r="AH33" s="361"/>
      <c r="AI33" s="362"/>
      <c r="AJ33" s="362"/>
      <c r="AK33" s="362"/>
      <c r="AL33" s="362"/>
      <c r="AM33" s="363"/>
      <c r="AN33" s="80"/>
      <c r="AO33" s="422"/>
      <c r="AP33" s="423"/>
      <c r="AQ33" s="423"/>
      <c r="AR33" s="423"/>
      <c r="AS33" s="423"/>
      <c r="AT33" s="424"/>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row>
    <row r="34" spans="1:80" x14ac:dyDescent="0.25">
      <c r="A34" s="80"/>
      <c r="B34" s="390"/>
      <c r="C34" s="390"/>
      <c r="D34" s="391"/>
      <c r="E34" s="383"/>
      <c r="F34" s="384"/>
      <c r="G34" s="384"/>
      <c r="H34" s="384"/>
      <c r="I34" s="384"/>
      <c r="J34" s="343" t="str">
        <f>IF(AND('Mapa final'!$L$45="Baja",'Mapa final'!$P$45="Leve"),CONCATENATE("R",'Mapa final'!$A$45),"")</f>
        <v/>
      </c>
      <c r="K34" s="344"/>
      <c r="L34" s="344" t="str">
        <f>IF(AND('Mapa final'!$L$51="Baja",'Mapa final'!$P$51="Leve"),CONCATENATE("R",'Mapa final'!$A$51),"")</f>
        <v/>
      </c>
      <c r="M34" s="344"/>
      <c r="N34" s="344" t="str">
        <f>IF(AND('Mapa final'!$L$57="Baja",'Mapa final'!$P$57="Leve"),CONCATENATE("R",'Mapa final'!$A$57),"")</f>
        <v/>
      </c>
      <c r="O34" s="345"/>
      <c r="P34" s="353" t="str">
        <f>IF(AND('Mapa final'!$L$45="Baja",'Mapa final'!$P$45="Menor"),CONCATENATE("R",'Mapa final'!$A$45),"")</f>
        <v/>
      </c>
      <c r="Q34" s="353"/>
      <c r="R34" s="353" t="str">
        <f>IF(AND('Mapa final'!$L$51="Baja",'Mapa final'!$P$51="Menor"),CONCATENATE("R",'Mapa final'!$A$51),"")</f>
        <v/>
      </c>
      <c r="S34" s="353"/>
      <c r="T34" s="353" t="str">
        <f>IF(AND('Mapa final'!$L$57="Baja",'Mapa final'!$P$57="Menor"),CONCATENATE("R",'Mapa final'!$A$57),"")</f>
        <v/>
      </c>
      <c r="U34" s="354"/>
      <c r="V34" s="352" t="str">
        <f>IF(AND('Mapa final'!$L$45="Baja",'Mapa final'!$P$45="Moderado"),CONCATENATE("R",'Mapa final'!$A$45),"")</f>
        <v/>
      </c>
      <c r="W34" s="353"/>
      <c r="X34" s="353" t="str">
        <f>IF(AND('Mapa final'!$L$51="Baja",'Mapa final'!$P$51="Moderado"),CONCATENATE("R",'Mapa final'!$A$51),"")</f>
        <v/>
      </c>
      <c r="Y34" s="353"/>
      <c r="Z34" s="353" t="str">
        <f>IF(AND('Mapa final'!$L$57="Baja",'Mapa final'!$P$57="Moderado"),CONCATENATE("R",'Mapa final'!$A$57),"")</f>
        <v/>
      </c>
      <c r="AA34" s="354"/>
      <c r="AB34" s="370" t="str">
        <f>IF(AND('Mapa final'!$L$45="Baja",'Mapa final'!$P$45="Mayor"),CONCATENATE("R",'Mapa final'!$A$45),"")</f>
        <v/>
      </c>
      <c r="AC34" s="371"/>
      <c r="AD34" s="371" t="str">
        <f>IF(AND('Mapa final'!$L$51="Baja",'Mapa final'!$P$51="Mayor"),CONCATENATE("R",'Mapa final'!$A$51),"")</f>
        <v/>
      </c>
      <c r="AE34" s="371"/>
      <c r="AF34" s="371" t="str">
        <f>IF(AND('Mapa final'!$L$57="Baja",'Mapa final'!$P$57="Mayor"),CONCATENATE("R",'Mapa final'!$A$57),"")</f>
        <v/>
      </c>
      <c r="AG34" s="372"/>
      <c r="AH34" s="361" t="str">
        <f>IF(AND('Mapa final'!$L$45="Baja",'Mapa final'!$P$45="Catastrófico"),CONCATENATE("R",'Mapa final'!$A$45),"")</f>
        <v/>
      </c>
      <c r="AI34" s="362"/>
      <c r="AJ34" s="362" t="str">
        <f>IF(AND('Mapa final'!$L$51="Baja",'Mapa final'!$P$51="Catastrófico"),CONCATENATE("R",'Mapa final'!$A$51),"")</f>
        <v/>
      </c>
      <c r="AK34" s="362"/>
      <c r="AL34" s="362" t="str">
        <f>IF(AND('Mapa final'!$L$57="Baja",'Mapa final'!$P$57="Catastrófico"),CONCATENATE("R",'Mapa final'!$A$57),"")</f>
        <v/>
      </c>
      <c r="AM34" s="363"/>
      <c r="AN34" s="80"/>
      <c r="AO34" s="422"/>
      <c r="AP34" s="423"/>
      <c r="AQ34" s="423"/>
      <c r="AR34" s="423"/>
      <c r="AS34" s="423"/>
      <c r="AT34" s="424"/>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row>
    <row r="35" spans="1:80" x14ac:dyDescent="0.25">
      <c r="A35" s="80"/>
      <c r="B35" s="390"/>
      <c r="C35" s="390"/>
      <c r="D35" s="391"/>
      <c r="E35" s="383"/>
      <c r="F35" s="384"/>
      <c r="G35" s="384"/>
      <c r="H35" s="384"/>
      <c r="I35" s="384"/>
      <c r="J35" s="343"/>
      <c r="K35" s="344"/>
      <c r="L35" s="344"/>
      <c r="M35" s="344"/>
      <c r="N35" s="344"/>
      <c r="O35" s="345"/>
      <c r="P35" s="353"/>
      <c r="Q35" s="353"/>
      <c r="R35" s="353"/>
      <c r="S35" s="353"/>
      <c r="T35" s="353"/>
      <c r="U35" s="354"/>
      <c r="V35" s="352"/>
      <c r="W35" s="353"/>
      <c r="X35" s="353"/>
      <c r="Y35" s="353"/>
      <c r="Z35" s="353"/>
      <c r="AA35" s="354"/>
      <c r="AB35" s="370"/>
      <c r="AC35" s="371"/>
      <c r="AD35" s="371"/>
      <c r="AE35" s="371"/>
      <c r="AF35" s="371"/>
      <c r="AG35" s="372"/>
      <c r="AH35" s="361"/>
      <c r="AI35" s="362"/>
      <c r="AJ35" s="362"/>
      <c r="AK35" s="362"/>
      <c r="AL35" s="362"/>
      <c r="AM35" s="363"/>
      <c r="AN35" s="80"/>
      <c r="AO35" s="422"/>
      <c r="AP35" s="423"/>
      <c r="AQ35" s="423"/>
      <c r="AR35" s="423"/>
      <c r="AS35" s="423"/>
      <c r="AT35" s="424"/>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row>
    <row r="36" spans="1:80" x14ac:dyDescent="0.25">
      <c r="A36" s="80"/>
      <c r="B36" s="390"/>
      <c r="C36" s="390"/>
      <c r="D36" s="391"/>
      <c r="E36" s="383"/>
      <c r="F36" s="384"/>
      <c r="G36" s="384"/>
      <c r="H36" s="384"/>
      <c r="I36" s="384"/>
      <c r="J36" s="343" t="str">
        <f>IF(AND('Mapa final'!$L$63="Baja",'Mapa final'!$P$63="Leve"),CONCATENATE("R",'Mapa final'!$A$63),"")</f>
        <v/>
      </c>
      <c r="K36" s="344"/>
      <c r="L36" s="344" t="str">
        <f>IF(AND('Mapa final'!$L$69="Baja",'Mapa final'!$P$69="Leve"),CONCATENATE("R",'Mapa final'!$A$69),"")</f>
        <v/>
      </c>
      <c r="M36" s="344"/>
      <c r="N36" s="344" t="str">
        <f>IF(AND('Mapa final'!$L$75="Baja",'Mapa final'!$P$75="Leve"),CONCATENATE("R",'Mapa final'!$A$75),"")</f>
        <v/>
      </c>
      <c r="O36" s="345"/>
      <c r="P36" s="353" t="str">
        <f>IF(AND('Mapa final'!$L$63="Baja",'Mapa final'!$P$63="Menor"),CONCATENATE("R",'Mapa final'!$A$63),"")</f>
        <v/>
      </c>
      <c r="Q36" s="353"/>
      <c r="R36" s="353" t="str">
        <f>IF(AND('Mapa final'!$L$69="Baja",'Mapa final'!$P$69="Menor"),CONCATENATE("R",'Mapa final'!$A$69),"")</f>
        <v/>
      </c>
      <c r="S36" s="353"/>
      <c r="T36" s="353" t="str">
        <f>IF(AND('Mapa final'!$L$75="Baja",'Mapa final'!$P$75="Menor"),CONCATENATE("R",'Mapa final'!$A$75),"")</f>
        <v/>
      </c>
      <c r="U36" s="354"/>
      <c r="V36" s="352" t="str">
        <f>IF(AND('Mapa final'!$L$63="Baja",'Mapa final'!$P$63="Moderado"),CONCATENATE("R",'Mapa final'!$A$63),"")</f>
        <v/>
      </c>
      <c r="W36" s="353"/>
      <c r="X36" s="353" t="str">
        <f>IF(AND('Mapa final'!$L$69="Baja",'Mapa final'!$P$69="Moderado"),CONCATENATE("R",'Mapa final'!$A$69),"")</f>
        <v/>
      </c>
      <c r="Y36" s="353"/>
      <c r="Z36" s="353" t="str">
        <f>IF(AND('Mapa final'!$L$75="Baja",'Mapa final'!$P$75="Moderado"),CONCATENATE("R",'Mapa final'!$A$75),"")</f>
        <v/>
      </c>
      <c r="AA36" s="354"/>
      <c r="AB36" s="370" t="str">
        <f>IF(AND('Mapa final'!$L$63="Baja",'Mapa final'!$P$63="Mayor"),CONCATENATE("R",'Mapa final'!$A$63),"")</f>
        <v/>
      </c>
      <c r="AC36" s="371"/>
      <c r="AD36" s="371" t="str">
        <f>IF(AND('Mapa final'!$L$69="Baja",'Mapa final'!$P$69="Mayor"),CONCATENATE("R",'Mapa final'!$A$69),"")</f>
        <v/>
      </c>
      <c r="AE36" s="371"/>
      <c r="AF36" s="371" t="str">
        <f>IF(AND('Mapa final'!$L$75="Baja",'Mapa final'!$P$75="Mayor"),CONCATENATE("R",'Mapa final'!$A$75),"")</f>
        <v/>
      </c>
      <c r="AG36" s="372"/>
      <c r="AH36" s="361" t="str">
        <f>IF(AND('Mapa final'!$L$63="Baja",'Mapa final'!$P$63="Catastrófico"),CONCATENATE("R",'Mapa final'!$A$63),"")</f>
        <v/>
      </c>
      <c r="AI36" s="362"/>
      <c r="AJ36" s="362" t="str">
        <f>IF(AND('Mapa final'!$L$69="Baja",'Mapa final'!$P$69="Catastrófico"),CONCATENATE("R",'Mapa final'!$A$69),"")</f>
        <v/>
      </c>
      <c r="AK36" s="362"/>
      <c r="AL36" s="362" t="str">
        <f>IF(AND('Mapa final'!$L$75="Baja",'Mapa final'!$P$75="Catastrófico"),CONCATENATE("R",'Mapa final'!$A$75),"")</f>
        <v/>
      </c>
      <c r="AM36" s="363"/>
      <c r="AN36" s="80"/>
      <c r="AO36" s="422"/>
      <c r="AP36" s="423"/>
      <c r="AQ36" s="423"/>
      <c r="AR36" s="423"/>
      <c r="AS36" s="423"/>
      <c r="AT36" s="424"/>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row>
    <row r="37" spans="1:80" ht="15.75" thickBot="1" x14ac:dyDescent="0.3">
      <c r="A37" s="80"/>
      <c r="B37" s="390"/>
      <c r="C37" s="390"/>
      <c r="D37" s="391"/>
      <c r="E37" s="386"/>
      <c r="F37" s="387"/>
      <c r="G37" s="387"/>
      <c r="H37" s="387"/>
      <c r="I37" s="387"/>
      <c r="J37" s="346"/>
      <c r="K37" s="347"/>
      <c r="L37" s="347"/>
      <c r="M37" s="347"/>
      <c r="N37" s="347"/>
      <c r="O37" s="348"/>
      <c r="P37" s="356"/>
      <c r="Q37" s="356"/>
      <c r="R37" s="356"/>
      <c r="S37" s="356"/>
      <c r="T37" s="356"/>
      <c r="U37" s="357"/>
      <c r="V37" s="355"/>
      <c r="W37" s="356"/>
      <c r="X37" s="356"/>
      <c r="Y37" s="356"/>
      <c r="Z37" s="356"/>
      <c r="AA37" s="357"/>
      <c r="AB37" s="373"/>
      <c r="AC37" s="374"/>
      <c r="AD37" s="374"/>
      <c r="AE37" s="374"/>
      <c r="AF37" s="374"/>
      <c r="AG37" s="375"/>
      <c r="AH37" s="364"/>
      <c r="AI37" s="365"/>
      <c r="AJ37" s="365"/>
      <c r="AK37" s="365"/>
      <c r="AL37" s="365"/>
      <c r="AM37" s="366"/>
      <c r="AN37" s="80"/>
      <c r="AO37" s="425"/>
      <c r="AP37" s="426"/>
      <c r="AQ37" s="426"/>
      <c r="AR37" s="426"/>
      <c r="AS37" s="426"/>
      <c r="AT37" s="427"/>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row>
    <row r="38" spans="1:80" x14ac:dyDescent="0.25">
      <c r="A38" s="80"/>
      <c r="B38" s="390"/>
      <c r="C38" s="390"/>
      <c r="D38" s="391"/>
      <c r="E38" s="380" t="s">
        <v>134</v>
      </c>
      <c r="F38" s="381"/>
      <c r="G38" s="381"/>
      <c r="H38" s="381"/>
      <c r="I38" s="382"/>
      <c r="J38" s="349" t="str">
        <f>IF(AND('Mapa final'!$L$11="Muy Baja",'Mapa final'!$P$11="Leve"),CONCATENATE("R",'Mapa final'!$A$11),"")</f>
        <v/>
      </c>
      <c r="K38" s="350"/>
      <c r="L38" s="350" t="str">
        <f>IF(AND('Mapa final'!$L$15="Muy Baja",'Mapa final'!$P$15="Leve"),CONCATENATE("R",'Mapa final'!$A$15),"")</f>
        <v/>
      </c>
      <c r="M38" s="350"/>
      <c r="N38" s="350" t="str">
        <f>IF(AND('Mapa final'!$L$21="Muy Baja",'Mapa final'!$P$21="Leve"),CONCATENATE("R",'Mapa final'!$A$21),"")</f>
        <v/>
      </c>
      <c r="O38" s="351"/>
      <c r="P38" s="349" t="str">
        <f>IF(AND('Mapa final'!$L$11="Muy Baja",'Mapa final'!$P$11="Menor"),CONCATENATE("R",'Mapa final'!$A$11),"")</f>
        <v/>
      </c>
      <c r="Q38" s="350"/>
      <c r="R38" s="350" t="str">
        <f>IF(AND('Mapa final'!$L$15="Muy Baja",'Mapa final'!$P$15="Menor"),CONCATENATE("R",'Mapa final'!$A$15),"")</f>
        <v/>
      </c>
      <c r="S38" s="350"/>
      <c r="T38" s="350" t="str">
        <f>IF(AND('Mapa final'!$L$21="Muy Baja",'Mapa final'!$P$21="Menor"),CONCATENATE("R",'Mapa final'!$A$21),"")</f>
        <v/>
      </c>
      <c r="U38" s="351"/>
      <c r="V38" s="358" t="str">
        <f>IF(AND('Mapa final'!$L$11="Muy Baja",'Mapa final'!$P$11="Moderado"),CONCATENATE("R",'Mapa final'!$A$11),"")</f>
        <v/>
      </c>
      <c r="W38" s="359"/>
      <c r="X38" s="359" t="str">
        <f>IF(AND('Mapa final'!$L$15="Muy Baja",'Mapa final'!$P$15="Moderado"),CONCATENATE("R",'Mapa final'!$A$15),"")</f>
        <v/>
      </c>
      <c r="Y38" s="359"/>
      <c r="Z38" s="359" t="str">
        <f>IF(AND('Mapa final'!$L$21="Muy Baja",'Mapa final'!$P$21="Moderado"),CONCATENATE("R",'Mapa final'!$A$21),"")</f>
        <v/>
      </c>
      <c r="AA38" s="360"/>
      <c r="AB38" s="376" t="str">
        <f>IF(AND('Mapa final'!$L$11="Muy Baja",'Mapa final'!$P$11="Mayor"),CONCATENATE("R",'Mapa final'!$A$11),"")</f>
        <v/>
      </c>
      <c r="AC38" s="377"/>
      <c r="AD38" s="377" t="str">
        <f>IF(AND('Mapa final'!$L$15="Muy Baja",'Mapa final'!$P$15="Mayor"),CONCATENATE("R",'Mapa final'!$A$15),"")</f>
        <v/>
      </c>
      <c r="AE38" s="377"/>
      <c r="AF38" s="377" t="str">
        <f>IF(AND('Mapa final'!$L$21="Muy Baja",'Mapa final'!$P$21="Mayor"),CONCATENATE("R",'Mapa final'!$A$21),"")</f>
        <v/>
      </c>
      <c r="AG38" s="378"/>
      <c r="AH38" s="367" t="str">
        <f>IF(AND('Mapa final'!$L$11="Muy Baja",'Mapa final'!$P$11="Catastrófico"),CONCATENATE("R",'Mapa final'!$A$11),"")</f>
        <v/>
      </c>
      <c r="AI38" s="368"/>
      <c r="AJ38" s="368" t="str">
        <f>IF(AND('Mapa final'!$L$15="Muy Baja",'Mapa final'!$P$15="Catastrófico"),CONCATENATE("R",'Mapa final'!$A$15),"")</f>
        <v/>
      </c>
      <c r="AK38" s="368"/>
      <c r="AL38" s="368" t="str">
        <f>IF(AND('Mapa final'!$L$21="Muy Baja",'Mapa final'!$P$21="Catastrófico"),CONCATENATE("R",'Mapa final'!$A$21),"")</f>
        <v/>
      </c>
      <c r="AM38" s="369"/>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row>
    <row r="39" spans="1:80" x14ac:dyDescent="0.25">
      <c r="A39" s="80"/>
      <c r="B39" s="390"/>
      <c r="C39" s="390"/>
      <c r="D39" s="391"/>
      <c r="E39" s="383"/>
      <c r="F39" s="384"/>
      <c r="G39" s="384"/>
      <c r="H39" s="384"/>
      <c r="I39" s="385"/>
      <c r="J39" s="343"/>
      <c r="K39" s="344"/>
      <c r="L39" s="344"/>
      <c r="M39" s="344"/>
      <c r="N39" s="344"/>
      <c r="O39" s="345"/>
      <c r="P39" s="343"/>
      <c r="Q39" s="344"/>
      <c r="R39" s="344"/>
      <c r="S39" s="344"/>
      <c r="T39" s="344"/>
      <c r="U39" s="345"/>
      <c r="V39" s="352"/>
      <c r="W39" s="353"/>
      <c r="X39" s="353"/>
      <c r="Y39" s="353"/>
      <c r="Z39" s="353"/>
      <c r="AA39" s="354"/>
      <c r="AB39" s="370"/>
      <c r="AC39" s="371"/>
      <c r="AD39" s="371"/>
      <c r="AE39" s="371"/>
      <c r="AF39" s="371"/>
      <c r="AG39" s="372"/>
      <c r="AH39" s="361"/>
      <c r="AI39" s="362"/>
      <c r="AJ39" s="362"/>
      <c r="AK39" s="362"/>
      <c r="AL39" s="362"/>
      <c r="AM39" s="363"/>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row>
    <row r="40" spans="1:80" x14ac:dyDescent="0.25">
      <c r="A40" s="80"/>
      <c r="B40" s="390"/>
      <c r="C40" s="390"/>
      <c r="D40" s="391"/>
      <c r="E40" s="383"/>
      <c r="F40" s="384"/>
      <c r="G40" s="384"/>
      <c r="H40" s="384"/>
      <c r="I40" s="385"/>
      <c r="J40" s="343" t="str">
        <f>IF(AND('Mapa final'!$L$27="Muy Baja",'Mapa final'!$P$27="Leve"),CONCATENATE("R",'Mapa final'!$A$27),"")</f>
        <v/>
      </c>
      <c r="K40" s="344"/>
      <c r="L40" s="344" t="str">
        <f>IF(AND('Mapa final'!$L$33="Muy Baja",'Mapa final'!$P$33="Leve"),CONCATENATE("R",'Mapa final'!$A$33),"")</f>
        <v/>
      </c>
      <c r="M40" s="344"/>
      <c r="N40" s="344" t="str">
        <f>IF(AND('Mapa final'!$L$39="Muy Baja",'Mapa final'!$P$39="Leve"),CONCATENATE("R",'Mapa final'!$A$39),"")</f>
        <v/>
      </c>
      <c r="O40" s="345"/>
      <c r="P40" s="343" t="str">
        <f>IF(AND('Mapa final'!$L$27="Muy Baja",'Mapa final'!$P$27="Menor"),CONCATENATE("R",'Mapa final'!$A$27),"")</f>
        <v/>
      </c>
      <c r="Q40" s="344"/>
      <c r="R40" s="344" t="str">
        <f>IF(AND('Mapa final'!$L$33="Muy Baja",'Mapa final'!$P$33="Menor"),CONCATENATE("R",'Mapa final'!$A$33),"")</f>
        <v/>
      </c>
      <c r="S40" s="344"/>
      <c r="T40" s="344" t="str">
        <f>IF(AND('Mapa final'!$L$39="Muy Baja",'Mapa final'!$P$39="Menor"),CONCATENATE("R",'Mapa final'!$A$39),"")</f>
        <v/>
      </c>
      <c r="U40" s="345"/>
      <c r="V40" s="352" t="str">
        <f>IF(AND('Mapa final'!$L$27="Muy Baja",'Mapa final'!$P$27="Moderado"),CONCATENATE("R",'Mapa final'!$A$27),"")</f>
        <v/>
      </c>
      <c r="W40" s="353"/>
      <c r="X40" s="353" t="str">
        <f>IF(AND('Mapa final'!$L$33="Muy Baja",'Mapa final'!$P$33="Moderado"),CONCATENATE("R",'Mapa final'!$A$33),"")</f>
        <v/>
      </c>
      <c r="Y40" s="353"/>
      <c r="Z40" s="353" t="str">
        <f>IF(AND('Mapa final'!$L$39="Muy Baja",'Mapa final'!$P$39="Moderado"),CONCATENATE("R",'Mapa final'!$A$39),"")</f>
        <v/>
      </c>
      <c r="AA40" s="354"/>
      <c r="AB40" s="370" t="str">
        <f>IF(AND('Mapa final'!$L$27="Muy Baja",'Mapa final'!$P$27="Mayor"),CONCATENATE("R",'Mapa final'!$A$27),"")</f>
        <v/>
      </c>
      <c r="AC40" s="371"/>
      <c r="AD40" s="371" t="str">
        <f>IF(AND('Mapa final'!$L$33="Muy Baja",'Mapa final'!$P$33="Mayor"),CONCATENATE("R",'Mapa final'!$A$33),"")</f>
        <v/>
      </c>
      <c r="AE40" s="371"/>
      <c r="AF40" s="371" t="str">
        <f>IF(AND('Mapa final'!$L$39="Muy Baja",'Mapa final'!$P$39="Mayor"),CONCATENATE("R",'Mapa final'!$A$39),"")</f>
        <v/>
      </c>
      <c r="AG40" s="372"/>
      <c r="AH40" s="361" t="str">
        <f>IF(AND('Mapa final'!$L$27="Muy Baja",'Mapa final'!$P$27="Catastrófico"),CONCATENATE("R",'Mapa final'!$A$27),"")</f>
        <v/>
      </c>
      <c r="AI40" s="362"/>
      <c r="AJ40" s="362" t="str">
        <f>IF(AND('Mapa final'!$L$33="Muy Baja",'Mapa final'!$P$33="Catastrófico"),CONCATENATE("R",'Mapa final'!$A$33),"")</f>
        <v/>
      </c>
      <c r="AK40" s="362"/>
      <c r="AL40" s="362" t="str">
        <f>IF(AND('Mapa final'!$L$39="Muy Baja",'Mapa final'!$P$39="Catastrófico"),CONCATENATE("R",'Mapa final'!$A$39),"")</f>
        <v/>
      </c>
      <c r="AM40" s="363"/>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row>
    <row r="41" spans="1:80" x14ac:dyDescent="0.25">
      <c r="A41" s="80"/>
      <c r="B41" s="390"/>
      <c r="C41" s="390"/>
      <c r="D41" s="391"/>
      <c r="E41" s="383"/>
      <c r="F41" s="384"/>
      <c r="G41" s="384"/>
      <c r="H41" s="384"/>
      <c r="I41" s="385"/>
      <c r="J41" s="343"/>
      <c r="K41" s="344"/>
      <c r="L41" s="344"/>
      <c r="M41" s="344"/>
      <c r="N41" s="344"/>
      <c r="O41" s="345"/>
      <c r="P41" s="343"/>
      <c r="Q41" s="344"/>
      <c r="R41" s="344"/>
      <c r="S41" s="344"/>
      <c r="T41" s="344"/>
      <c r="U41" s="345"/>
      <c r="V41" s="352"/>
      <c r="W41" s="353"/>
      <c r="X41" s="353"/>
      <c r="Y41" s="353"/>
      <c r="Z41" s="353"/>
      <c r="AA41" s="354"/>
      <c r="AB41" s="370"/>
      <c r="AC41" s="371"/>
      <c r="AD41" s="371"/>
      <c r="AE41" s="371"/>
      <c r="AF41" s="371"/>
      <c r="AG41" s="372"/>
      <c r="AH41" s="361"/>
      <c r="AI41" s="362"/>
      <c r="AJ41" s="362"/>
      <c r="AK41" s="362"/>
      <c r="AL41" s="362"/>
      <c r="AM41" s="363"/>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row>
    <row r="42" spans="1:80" x14ac:dyDescent="0.25">
      <c r="A42" s="80"/>
      <c r="B42" s="390"/>
      <c r="C42" s="390"/>
      <c r="D42" s="391"/>
      <c r="E42" s="383"/>
      <c r="F42" s="384"/>
      <c r="G42" s="384"/>
      <c r="H42" s="384"/>
      <c r="I42" s="385"/>
      <c r="J42" s="343" t="str">
        <f>IF(AND('Mapa final'!$L$45="Muy Baja",'Mapa final'!$P$45="Leve"),CONCATENATE("R",'Mapa final'!$A$45),"")</f>
        <v/>
      </c>
      <c r="K42" s="344"/>
      <c r="L42" s="344" t="str">
        <f>IF(AND('Mapa final'!$L$51="Muy Baja",'Mapa final'!$P$51="Leve"),CONCATENATE("R",'Mapa final'!$A$51),"")</f>
        <v/>
      </c>
      <c r="M42" s="344"/>
      <c r="N42" s="344" t="str">
        <f>IF(AND('Mapa final'!$L$57="Muy Baja",'Mapa final'!$P$57="Leve"),CONCATENATE("R",'Mapa final'!$A$57),"")</f>
        <v/>
      </c>
      <c r="O42" s="345"/>
      <c r="P42" s="343" t="str">
        <f>IF(AND('Mapa final'!$L$45="Muy Baja",'Mapa final'!$P$45="Menor"),CONCATENATE("R",'Mapa final'!$A$45),"")</f>
        <v/>
      </c>
      <c r="Q42" s="344"/>
      <c r="R42" s="344" t="str">
        <f>IF(AND('Mapa final'!$L$51="Muy Baja",'Mapa final'!$P$51="Menor"),CONCATENATE("R",'Mapa final'!$A$51),"")</f>
        <v/>
      </c>
      <c r="S42" s="344"/>
      <c r="T42" s="344" t="str">
        <f>IF(AND('Mapa final'!$L$57="Muy Baja",'Mapa final'!$P$57="Menor"),CONCATENATE("R",'Mapa final'!$A$57),"")</f>
        <v/>
      </c>
      <c r="U42" s="345"/>
      <c r="V42" s="352" t="str">
        <f>IF(AND('Mapa final'!$L$45="Muy Baja",'Mapa final'!$P$45="Moderado"),CONCATENATE("R",'Mapa final'!$A$45),"")</f>
        <v/>
      </c>
      <c r="W42" s="353"/>
      <c r="X42" s="353" t="str">
        <f>IF(AND('Mapa final'!$L$51="Muy Baja",'Mapa final'!$P$51="Moderado"),CONCATENATE("R",'Mapa final'!$A$51),"")</f>
        <v/>
      </c>
      <c r="Y42" s="353"/>
      <c r="Z42" s="353" t="str">
        <f>IF(AND('Mapa final'!$L$57="Muy Baja",'Mapa final'!$P$57="Moderado"),CONCATENATE("R",'Mapa final'!$A$57),"")</f>
        <v/>
      </c>
      <c r="AA42" s="354"/>
      <c r="AB42" s="370" t="str">
        <f>IF(AND('Mapa final'!$L$45="Muy Baja",'Mapa final'!$P$45="Mayor"),CONCATENATE("R",'Mapa final'!$A$45),"")</f>
        <v/>
      </c>
      <c r="AC42" s="371"/>
      <c r="AD42" s="371" t="str">
        <f>IF(AND('Mapa final'!$L$51="Muy Baja",'Mapa final'!$P$51="Mayor"),CONCATENATE("R",'Mapa final'!$A$51),"")</f>
        <v/>
      </c>
      <c r="AE42" s="371"/>
      <c r="AF42" s="371" t="str">
        <f>IF(AND('Mapa final'!$L$57="Muy Baja",'Mapa final'!$P$57="Mayor"),CONCATENATE("R",'Mapa final'!$A$57),"")</f>
        <v/>
      </c>
      <c r="AG42" s="372"/>
      <c r="AH42" s="361" t="str">
        <f>IF(AND('Mapa final'!$L$45="Muy Baja",'Mapa final'!$P$45="Catastrófico"),CONCATENATE("R",'Mapa final'!$A$45),"")</f>
        <v/>
      </c>
      <c r="AI42" s="362"/>
      <c r="AJ42" s="362" t="str">
        <f>IF(AND('Mapa final'!$L$51="Muy Baja",'Mapa final'!$P$51="Catastrófico"),CONCATENATE("R",'Mapa final'!$A$51),"")</f>
        <v/>
      </c>
      <c r="AK42" s="362"/>
      <c r="AL42" s="362" t="str">
        <f>IF(AND('Mapa final'!$L$57="Muy Baja",'Mapa final'!$P$57="Catastrófico"),CONCATENATE("R",'Mapa final'!$A$57),"")</f>
        <v/>
      </c>
      <c r="AM42" s="363"/>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row>
    <row r="43" spans="1:80" x14ac:dyDescent="0.25">
      <c r="A43" s="80"/>
      <c r="B43" s="390"/>
      <c r="C43" s="390"/>
      <c r="D43" s="391"/>
      <c r="E43" s="383"/>
      <c r="F43" s="384"/>
      <c r="G43" s="384"/>
      <c r="H43" s="384"/>
      <c r="I43" s="385"/>
      <c r="J43" s="343"/>
      <c r="K43" s="344"/>
      <c r="L43" s="344"/>
      <c r="M43" s="344"/>
      <c r="N43" s="344"/>
      <c r="O43" s="345"/>
      <c r="P43" s="343"/>
      <c r="Q43" s="344"/>
      <c r="R43" s="344"/>
      <c r="S43" s="344"/>
      <c r="T43" s="344"/>
      <c r="U43" s="345"/>
      <c r="V43" s="352"/>
      <c r="W43" s="353"/>
      <c r="X43" s="353"/>
      <c r="Y43" s="353"/>
      <c r="Z43" s="353"/>
      <c r="AA43" s="354"/>
      <c r="AB43" s="370"/>
      <c r="AC43" s="371"/>
      <c r="AD43" s="371"/>
      <c r="AE43" s="371"/>
      <c r="AF43" s="371"/>
      <c r="AG43" s="372"/>
      <c r="AH43" s="361"/>
      <c r="AI43" s="362"/>
      <c r="AJ43" s="362"/>
      <c r="AK43" s="362"/>
      <c r="AL43" s="362"/>
      <c r="AM43" s="363"/>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row>
    <row r="44" spans="1:80" x14ac:dyDescent="0.25">
      <c r="A44" s="80"/>
      <c r="B44" s="390"/>
      <c r="C44" s="390"/>
      <c r="D44" s="391"/>
      <c r="E44" s="383"/>
      <c r="F44" s="384"/>
      <c r="G44" s="384"/>
      <c r="H44" s="384"/>
      <c r="I44" s="385"/>
      <c r="J44" s="343" t="str">
        <f>IF(AND('Mapa final'!$L$63="Muy Baja",'Mapa final'!$P$63="Leve"),CONCATENATE("R",'Mapa final'!$A$63),"")</f>
        <v/>
      </c>
      <c r="K44" s="344"/>
      <c r="L44" s="344" t="str">
        <f>IF(AND('Mapa final'!$L$69="Muy Baja",'Mapa final'!$P$69="Leve"),CONCATENATE("R",'Mapa final'!$A$69),"")</f>
        <v/>
      </c>
      <c r="M44" s="344"/>
      <c r="N44" s="344" t="str">
        <f>IF(AND('Mapa final'!$L$75="Muy Baja",'Mapa final'!$P$75="Leve"),CONCATENATE("R",'Mapa final'!$A$75),"")</f>
        <v/>
      </c>
      <c r="O44" s="345"/>
      <c r="P44" s="343" t="str">
        <f>IF(AND('Mapa final'!$L$63="Muy Baja",'Mapa final'!$P$63="Menor"),CONCATENATE("R",'Mapa final'!$A$63),"")</f>
        <v/>
      </c>
      <c r="Q44" s="344"/>
      <c r="R44" s="344" t="str">
        <f>IF(AND('Mapa final'!$L$69="Muy Baja",'Mapa final'!$P$69="Menor"),CONCATENATE("R",'Mapa final'!$A$69),"")</f>
        <v/>
      </c>
      <c r="S44" s="344"/>
      <c r="T44" s="344" t="str">
        <f>IF(AND('Mapa final'!$L$75="Muy Baja",'Mapa final'!$P$75="Menor"),CONCATENATE("R",'Mapa final'!$A$75),"")</f>
        <v/>
      </c>
      <c r="U44" s="345"/>
      <c r="V44" s="352" t="str">
        <f>IF(AND('Mapa final'!$L$63="Muy Baja",'Mapa final'!$P$63="Moderado"),CONCATENATE("R",'Mapa final'!$A$63),"")</f>
        <v/>
      </c>
      <c r="W44" s="353"/>
      <c r="X44" s="353" t="str">
        <f>IF(AND('Mapa final'!$L$69="Muy Baja",'Mapa final'!$P$69="Moderado"),CONCATENATE("R",'Mapa final'!$A$69),"")</f>
        <v/>
      </c>
      <c r="Y44" s="353"/>
      <c r="Z44" s="353" t="str">
        <f>IF(AND('Mapa final'!$L$75="Muy Baja",'Mapa final'!$P$75="Moderado"),CONCATENATE("R",'Mapa final'!$A$75),"")</f>
        <v/>
      </c>
      <c r="AA44" s="354"/>
      <c r="AB44" s="370" t="str">
        <f>IF(AND('Mapa final'!$L$63="Muy Baja",'Mapa final'!$P$63="Mayor"),CONCATENATE("R",'Mapa final'!$A$63),"")</f>
        <v/>
      </c>
      <c r="AC44" s="371"/>
      <c r="AD44" s="371" t="str">
        <f>IF(AND('Mapa final'!$L$69="Muy Baja",'Mapa final'!$P$69="Mayor"),CONCATENATE("R",'Mapa final'!$A$69),"")</f>
        <v/>
      </c>
      <c r="AE44" s="371"/>
      <c r="AF44" s="371" t="str">
        <f>IF(AND('Mapa final'!$L$75="Muy Baja",'Mapa final'!$P$75="Mayor"),CONCATENATE("R",'Mapa final'!$A$75),"")</f>
        <v/>
      </c>
      <c r="AG44" s="372"/>
      <c r="AH44" s="361" t="str">
        <f>IF(AND('Mapa final'!$L$63="Muy Baja",'Mapa final'!$P$63="Catastrófico"),CONCATENATE("R",'Mapa final'!$A$63),"")</f>
        <v/>
      </c>
      <c r="AI44" s="362"/>
      <c r="AJ44" s="362" t="str">
        <f>IF(AND('Mapa final'!$L$69="Muy Baja",'Mapa final'!$P$69="Catastrófico"),CONCATENATE("R",'Mapa final'!$A$69),"")</f>
        <v/>
      </c>
      <c r="AK44" s="362"/>
      <c r="AL44" s="362" t="str">
        <f>IF(AND('Mapa final'!$L$75="Muy Baja",'Mapa final'!$P$75="Catastrófico"),CONCATENATE("R",'Mapa final'!$A$75),"")</f>
        <v/>
      </c>
      <c r="AM44" s="363"/>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row>
    <row r="45" spans="1:80" ht="15.75" thickBot="1" x14ac:dyDescent="0.3">
      <c r="A45" s="80"/>
      <c r="B45" s="390"/>
      <c r="C45" s="390"/>
      <c r="D45" s="391"/>
      <c r="E45" s="386"/>
      <c r="F45" s="387"/>
      <c r="G45" s="387"/>
      <c r="H45" s="387"/>
      <c r="I45" s="388"/>
      <c r="J45" s="346"/>
      <c r="K45" s="347"/>
      <c r="L45" s="347"/>
      <c r="M45" s="347"/>
      <c r="N45" s="347"/>
      <c r="O45" s="348"/>
      <c r="P45" s="346"/>
      <c r="Q45" s="347"/>
      <c r="R45" s="347"/>
      <c r="S45" s="347"/>
      <c r="T45" s="347"/>
      <c r="U45" s="348"/>
      <c r="V45" s="355"/>
      <c r="W45" s="356"/>
      <c r="X45" s="356"/>
      <c r="Y45" s="356"/>
      <c r="Z45" s="356"/>
      <c r="AA45" s="357"/>
      <c r="AB45" s="373"/>
      <c r="AC45" s="374"/>
      <c r="AD45" s="374"/>
      <c r="AE45" s="374"/>
      <c r="AF45" s="374"/>
      <c r="AG45" s="375"/>
      <c r="AH45" s="364"/>
      <c r="AI45" s="365"/>
      <c r="AJ45" s="365"/>
      <c r="AK45" s="365"/>
      <c r="AL45" s="365"/>
      <c r="AM45" s="366"/>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row>
    <row r="46" spans="1:80" x14ac:dyDescent="0.25">
      <c r="A46" s="80"/>
      <c r="B46" s="80"/>
      <c r="C46" s="80"/>
      <c r="D46" s="80"/>
      <c r="E46" s="80"/>
      <c r="F46" s="80"/>
      <c r="G46" s="80"/>
      <c r="H46" s="80"/>
      <c r="I46" s="80"/>
      <c r="J46" s="380" t="s">
        <v>135</v>
      </c>
      <c r="K46" s="381"/>
      <c r="L46" s="381"/>
      <c r="M46" s="381"/>
      <c r="N46" s="381"/>
      <c r="O46" s="382"/>
      <c r="P46" s="380" t="s">
        <v>136</v>
      </c>
      <c r="Q46" s="381"/>
      <c r="R46" s="381"/>
      <c r="S46" s="381"/>
      <c r="T46" s="381"/>
      <c r="U46" s="382"/>
      <c r="V46" s="380" t="s">
        <v>137</v>
      </c>
      <c r="W46" s="381"/>
      <c r="X46" s="381"/>
      <c r="Y46" s="381"/>
      <c r="Z46" s="381"/>
      <c r="AA46" s="382"/>
      <c r="AB46" s="380" t="s">
        <v>138</v>
      </c>
      <c r="AC46" s="389"/>
      <c r="AD46" s="381"/>
      <c r="AE46" s="381"/>
      <c r="AF46" s="381"/>
      <c r="AG46" s="382"/>
      <c r="AH46" s="380" t="s">
        <v>139</v>
      </c>
      <c r="AI46" s="381"/>
      <c r="AJ46" s="381"/>
      <c r="AK46" s="381"/>
      <c r="AL46" s="381"/>
      <c r="AM46" s="382"/>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x14ac:dyDescent="0.25">
      <c r="A47" s="80"/>
      <c r="B47" s="80"/>
      <c r="C47" s="80"/>
      <c r="D47" s="80"/>
      <c r="E47" s="80"/>
      <c r="F47" s="80"/>
      <c r="G47" s="80"/>
      <c r="H47" s="80"/>
      <c r="I47" s="80"/>
      <c r="J47" s="383"/>
      <c r="K47" s="384"/>
      <c r="L47" s="384"/>
      <c r="M47" s="384"/>
      <c r="N47" s="384"/>
      <c r="O47" s="385"/>
      <c r="P47" s="383"/>
      <c r="Q47" s="384"/>
      <c r="R47" s="384"/>
      <c r="S47" s="384"/>
      <c r="T47" s="384"/>
      <c r="U47" s="385"/>
      <c r="V47" s="383"/>
      <c r="W47" s="384"/>
      <c r="X47" s="384"/>
      <c r="Y47" s="384"/>
      <c r="Z47" s="384"/>
      <c r="AA47" s="385"/>
      <c r="AB47" s="383"/>
      <c r="AC47" s="384"/>
      <c r="AD47" s="384"/>
      <c r="AE47" s="384"/>
      <c r="AF47" s="384"/>
      <c r="AG47" s="385"/>
      <c r="AH47" s="383"/>
      <c r="AI47" s="384"/>
      <c r="AJ47" s="384"/>
      <c r="AK47" s="384"/>
      <c r="AL47" s="384"/>
      <c r="AM47" s="385"/>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x14ac:dyDescent="0.25">
      <c r="A48" s="80"/>
      <c r="B48" s="80"/>
      <c r="C48" s="80"/>
      <c r="D48" s="80"/>
      <c r="E48" s="80"/>
      <c r="F48" s="80"/>
      <c r="G48" s="80"/>
      <c r="H48" s="80"/>
      <c r="I48" s="80"/>
      <c r="J48" s="383"/>
      <c r="K48" s="384"/>
      <c r="L48" s="384"/>
      <c r="M48" s="384"/>
      <c r="N48" s="384"/>
      <c r="O48" s="385"/>
      <c r="P48" s="383"/>
      <c r="Q48" s="384"/>
      <c r="R48" s="384"/>
      <c r="S48" s="384"/>
      <c r="T48" s="384"/>
      <c r="U48" s="385"/>
      <c r="V48" s="383"/>
      <c r="W48" s="384"/>
      <c r="X48" s="384"/>
      <c r="Y48" s="384"/>
      <c r="Z48" s="384"/>
      <c r="AA48" s="385"/>
      <c r="AB48" s="383"/>
      <c r="AC48" s="384"/>
      <c r="AD48" s="384"/>
      <c r="AE48" s="384"/>
      <c r="AF48" s="384"/>
      <c r="AG48" s="385"/>
      <c r="AH48" s="383"/>
      <c r="AI48" s="384"/>
      <c r="AJ48" s="384"/>
      <c r="AK48" s="384"/>
      <c r="AL48" s="384"/>
      <c r="AM48" s="385"/>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x14ac:dyDescent="0.25">
      <c r="A49" s="80"/>
      <c r="B49" s="80"/>
      <c r="C49" s="80"/>
      <c r="D49" s="80"/>
      <c r="E49" s="80"/>
      <c r="F49" s="80"/>
      <c r="G49" s="80"/>
      <c r="H49" s="80"/>
      <c r="I49" s="80"/>
      <c r="J49" s="383"/>
      <c r="K49" s="384"/>
      <c r="L49" s="384"/>
      <c r="M49" s="384"/>
      <c r="N49" s="384"/>
      <c r="O49" s="385"/>
      <c r="P49" s="383"/>
      <c r="Q49" s="384"/>
      <c r="R49" s="384"/>
      <c r="S49" s="384"/>
      <c r="T49" s="384"/>
      <c r="U49" s="385"/>
      <c r="V49" s="383"/>
      <c r="W49" s="384"/>
      <c r="X49" s="384"/>
      <c r="Y49" s="384"/>
      <c r="Z49" s="384"/>
      <c r="AA49" s="385"/>
      <c r="AB49" s="383"/>
      <c r="AC49" s="384"/>
      <c r="AD49" s="384"/>
      <c r="AE49" s="384"/>
      <c r="AF49" s="384"/>
      <c r="AG49" s="385"/>
      <c r="AH49" s="383"/>
      <c r="AI49" s="384"/>
      <c r="AJ49" s="384"/>
      <c r="AK49" s="384"/>
      <c r="AL49" s="384"/>
      <c r="AM49" s="385"/>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x14ac:dyDescent="0.25">
      <c r="A50" s="80"/>
      <c r="B50" s="80"/>
      <c r="C50" s="80"/>
      <c r="D50" s="80"/>
      <c r="E50" s="80"/>
      <c r="F50" s="80"/>
      <c r="G50" s="80"/>
      <c r="H50" s="80"/>
      <c r="I50" s="80"/>
      <c r="J50" s="383"/>
      <c r="K50" s="384"/>
      <c r="L50" s="384"/>
      <c r="M50" s="384"/>
      <c r="N50" s="384"/>
      <c r="O50" s="385"/>
      <c r="P50" s="383"/>
      <c r="Q50" s="384"/>
      <c r="R50" s="384"/>
      <c r="S50" s="384"/>
      <c r="T50" s="384"/>
      <c r="U50" s="385"/>
      <c r="V50" s="383"/>
      <c r="W50" s="384"/>
      <c r="X50" s="384"/>
      <c r="Y50" s="384"/>
      <c r="Z50" s="384"/>
      <c r="AA50" s="385"/>
      <c r="AB50" s="383"/>
      <c r="AC50" s="384"/>
      <c r="AD50" s="384"/>
      <c r="AE50" s="384"/>
      <c r="AF50" s="384"/>
      <c r="AG50" s="385"/>
      <c r="AH50" s="383"/>
      <c r="AI50" s="384"/>
      <c r="AJ50" s="384"/>
      <c r="AK50" s="384"/>
      <c r="AL50" s="384"/>
      <c r="AM50" s="385"/>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75" thickBot="1" x14ac:dyDescent="0.3">
      <c r="A51" s="80"/>
      <c r="B51" s="80"/>
      <c r="C51" s="80"/>
      <c r="D51" s="80"/>
      <c r="E51" s="80"/>
      <c r="F51" s="80"/>
      <c r="G51" s="80"/>
      <c r="H51" s="80"/>
      <c r="I51" s="80"/>
      <c r="J51" s="386"/>
      <c r="K51" s="387"/>
      <c r="L51" s="387"/>
      <c r="M51" s="387"/>
      <c r="N51" s="387"/>
      <c r="O51" s="388"/>
      <c r="P51" s="386"/>
      <c r="Q51" s="387"/>
      <c r="R51" s="387"/>
      <c r="S51" s="387"/>
      <c r="T51" s="387"/>
      <c r="U51" s="388"/>
      <c r="V51" s="386"/>
      <c r="W51" s="387"/>
      <c r="X51" s="387"/>
      <c r="Y51" s="387"/>
      <c r="Z51" s="387"/>
      <c r="AA51" s="388"/>
      <c r="AB51" s="386"/>
      <c r="AC51" s="387"/>
      <c r="AD51" s="387"/>
      <c r="AE51" s="387"/>
      <c r="AF51" s="387"/>
      <c r="AG51" s="388"/>
      <c r="AH51" s="386"/>
      <c r="AI51" s="387"/>
      <c r="AJ51" s="387"/>
      <c r="AK51" s="387"/>
      <c r="AL51" s="387"/>
      <c r="AM51" s="388"/>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x14ac:dyDescent="0.25">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row>
    <row r="63" spans="1:80"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row>
    <row r="64" spans="1:80"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row>
    <row r="65" spans="1:8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row>
    <row r="66" spans="1:8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row>
    <row r="67" spans="1:8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row>
    <row r="68" spans="1:8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row>
    <row r="69" spans="1:8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row>
    <row r="70" spans="1:8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row>
    <row r="71" spans="1:8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row>
    <row r="72" spans="1:8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row>
    <row r="73" spans="1:8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row>
    <row r="74" spans="1:8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row>
    <row r="75" spans="1:8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row>
    <row r="76" spans="1:8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row>
    <row r="77" spans="1:8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row>
    <row r="78" spans="1:8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row>
    <row r="79" spans="1:8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row>
    <row r="80" spans="1:8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row>
    <row r="81" spans="1:63"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row>
    <row r="82" spans="1:63"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row>
    <row r="83" spans="1:63"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row>
    <row r="84" spans="1:63"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row>
    <row r="85" spans="1:63"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row>
    <row r="86" spans="1:63"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row>
    <row r="87" spans="1:63"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row>
    <row r="88" spans="1:63"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row>
    <row r="89" spans="1:63"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row>
    <row r="90" spans="1:63"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row>
    <row r="91" spans="1:63"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row>
    <row r="92" spans="1:63"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row>
    <row r="93" spans="1:63"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row>
    <row r="94" spans="1:63"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row>
    <row r="95" spans="1:63"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row>
    <row r="96" spans="1:63"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row>
    <row r="97" spans="1:63"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row>
    <row r="98" spans="1:63"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row>
    <row r="99" spans="1:63"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row>
    <row r="100" spans="1:63"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row>
    <row r="101" spans="1:63"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row>
    <row r="102" spans="1:63"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row>
    <row r="103" spans="1:63"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row>
    <row r="104" spans="1:63"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row>
    <row r="105" spans="1:63"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row>
    <row r="106" spans="1:63"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row>
    <row r="107" spans="1:63"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row>
    <row r="108" spans="1:63"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row>
    <row r="109" spans="1:63"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row>
    <row r="110" spans="1:63"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row>
    <row r="111" spans="1:63"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row>
    <row r="112" spans="1:63"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row>
    <row r="113" spans="1:63"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row>
    <row r="115" spans="1:63"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row>
    <row r="116" spans="1:63"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row>
    <row r="117" spans="1:63"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row>
    <row r="118" spans="1:63"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row>
    <row r="119" spans="1:63"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row>
    <row r="120" spans="1:63"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row>
    <row r="121" spans="1:63"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row>
    <row r="122" spans="1:63" x14ac:dyDescent="0.2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row>
    <row r="123" spans="1:63" x14ac:dyDescent="0.2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row>
    <row r="124" spans="1:63" x14ac:dyDescent="0.25">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row>
    <row r="125" spans="1:63" x14ac:dyDescent="0.25">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row>
    <row r="126" spans="1:63" x14ac:dyDescent="0.25">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row>
    <row r="127" spans="1:63" x14ac:dyDescent="0.25">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row>
    <row r="128" spans="1:63" x14ac:dyDescent="0.2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row>
    <row r="129" spans="2:63" x14ac:dyDescent="0.25">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row>
    <row r="130" spans="2:63" x14ac:dyDescent="0.25">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row>
    <row r="131" spans="2:63" x14ac:dyDescent="0.25">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row>
    <row r="132" spans="2:63" x14ac:dyDescent="0.25">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row>
    <row r="133" spans="2:63" x14ac:dyDescent="0.25">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row>
    <row r="134" spans="2:63" x14ac:dyDescent="0.25">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row>
    <row r="135" spans="2:63" x14ac:dyDescent="0.25">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row>
    <row r="136" spans="2:63" x14ac:dyDescent="0.25">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row>
    <row r="137" spans="2:63" x14ac:dyDescent="0.25">
      <c r="B137" s="80"/>
      <c r="C137" s="80"/>
      <c r="D137" s="80"/>
      <c r="E137" s="80"/>
      <c r="F137" s="80"/>
      <c r="G137" s="80"/>
      <c r="H137" s="80"/>
      <c r="I137" s="80"/>
    </row>
    <row r="138" spans="2:63" x14ac:dyDescent="0.25">
      <c r="B138" s="80"/>
      <c r="C138" s="80"/>
      <c r="D138" s="80"/>
      <c r="E138" s="80"/>
      <c r="F138" s="80"/>
      <c r="G138" s="80"/>
      <c r="H138" s="80"/>
      <c r="I138" s="80"/>
    </row>
    <row r="139" spans="2:63" x14ac:dyDescent="0.25">
      <c r="B139" s="80"/>
      <c r="C139" s="80"/>
      <c r="D139" s="80"/>
      <c r="E139" s="80"/>
      <c r="F139" s="80"/>
      <c r="G139" s="80"/>
      <c r="H139" s="80"/>
      <c r="I139" s="80"/>
    </row>
    <row r="140" spans="2:63" x14ac:dyDescent="0.25">
      <c r="B140" s="80"/>
      <c r="C140" s="80"/>
      <c r="D140" s="80"/>
      <c r="E140" s="80"/>
      <c r="F140" s="80"/>
      <c r="G140" s="80"/>
      <c r="H140" s="80"/>
      <c r="I140" s="80"/>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row>
    <row r="2" spans="1:91" ht="18" customHeight="1" x14ac:dyDescent="0.25">
      <c r="A2" s="80"/>
      <c r="B2" s="457" t="s">
        <v>140</v>
      </c>
      <c r="C2" s="458"/>
      <c r="D2" s="458"/>
      <c r="E2" s="458"/>
      <c r="F2" s="458"/>
      <c r="G2" s="458"/>
      <c r="H2" s="458"/>
      <c r="I2" s="458"/>
      <c r="J2" s="379" t="s">
        <v>15</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c r="AL2" s="379"/>
      <c r="AM2" s="379"/>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row>
    <row r="3" spans="1:91" ht="18.75" customHeight="1" x14ac:dyDescent="0.25">
      <c r="A3" s="80"/>
      <c r="B3" s="458"/>
      <c r="C3" s="458"/>
      <c r="D3" s="458"/>
      <c r="E3" s="458"/>
      <c r="F3" s="458"/>
      <c r="G3" s="458"/>
      <c r="H3" s="458"/>
      <c r="I3" s="458"/>
      <c r="J3" s="379"/>
      <c r="K3" s="379"/>
      <c r="L3" s="379"/>
      <c r="M3" s="379"/>
      <c r="N3" s="379"/>
      <c r="O3" s="379"/>
      <c r="P3" s="379"/>
      <c r="Q3" s="379"/>
      <c r="R3" s="379"/>
      <c r="S3" s="379"/>
      <c r="T3" s="379"/>
      <c r="U3" s="379"/>
      <c r="V3" s="379"/>
      <c r="W3" s="379"/>
      <c r="X3" s="379"/>
      <c r="Y3" s="379"/>
      <c r="Z3" s="379"/>
      <c r="AA3" s="379"/>
      <c r="AB3" s="379"/>
      <c r="AC3" s="379"/>
      <c r="AD3" s="379"/>
      <c r="AE3" s="379"/>
      <c r="AF3" s="379"/>
      <c r="AG3" s="379"/>
      <c r="AH3" s="379"/>
      <c r="AI3" s="379"/>
      <c r="AJ3" s="379"/>
      <c r="AK3" s="379"/>
      <c r="AL3" s="379"/>
      <c r="AM3" s="379"/>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row>
    <row r="4" spans="1:91" ht="15" customHeight="1" x14ac:dyDescent="0.25">
      <c r="A4" s="80"/>
      <c r="B4" s="458"/>
      <c r="C4" s="458"/>
      <c r="D4" s="458"/>
      <c r="E4" s="458"/>
      <c r="F4" s="458"/>
      <c r="G4" s="458"/>
      <c r="H4" s="458"/>
      <c r="I4" s="458"/>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c r="AL4" s="379"/>
      <c r="AM4" s="379"/>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row>
    <row r="5" spans="1:91"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row>
    <row r="6" spans="1:91" ht="15" customHeight="1" x14ac:dyDescent="0.25">
      <c r="A6" s="80"/>
      <c r="B6" s="390" t="s">
        <v>125</v>
      </c>
      <c r="C6" s="390"/>
      <c r="D6" s="391"/>
      <c r="E6" s="428" t="s">
        <v>126</v>
      </c>
      <c r="F6" s="429"/>
      <c r="G6" s="429"/>
      <c r="H6" s="429"/>
      <c r="I6" s="430"/>
      <c r="J6" s="43" t="str">
        <f>IF(AND('Mapa final'!$AI$11="Muy Alta",'Mapa final'!$AK$11="Leve"),CONCATENATE("R1C",'Mapa final'!$Y$11),"")</f>
        <v/>
      </c>
      <c r="K6" s="44" t="str">
        <f>IF(AND('Mapa final'!$AI$12="Muy Alta",'Mapa final'!$AK$12="Leve"),CONCATENATE("R1C",'Mapa final'!$Y$12),"")</f>
        <v/>
      </c>
      <c r="L6" s="44" t="str">
        <f>IF(AND('Mapa final'!$AI$13="Muy Alta",'Mapa final'!$AK$13="Leve"),CONCATENATE("R1C",'Mapa final'!$Y$13),"")</f>
        <v/>
      </c>
      <c r="M6" s="44" t="str">
        <f>IF(AND('Mapa final'!$AI$14="Muy Alta",'Mapa final'!$AK$14="Leve"),CONCATENATE("R1C",'Mapa final'!$Y$14),"")</f>
        <v/>
      </c>
      <c r="N6" s="44" t="e">
        <f>IF(AND('Mapa final'!#REF!="Muy Alta",'Mapa final'!#REF!="Leve"),CONCATENATE("R1C",'Mapa final'!#REF!),"")</f>
        <v>#REF!</v>
      </c>
      <c r="O6" s="45" t="e">
        <f>IF(AND('Mapa final'!#REF!="Muy Alta",'Mapa final'!#REF!="Leve"),CONCATENATE("R1C",'Mapa final'!#REF!),"")</f>
        <v>#REF!</v>
      </c>
      <c r="P6" s="43" t="str">
        <f>IF(AND('Mapa final'!$AI$11="Muy Alta",'Mapa final'!$AK$11="Menor"),CONCATENATE("R1C",'Mapa final'!$Y$11),"")</f>
        <v/>
      </c>
      <c r="Q6" s="44" t="str">
        <f>IF(AND('Mapa final'!$AI$12="Muy Alta",'Mapa final'!$AK$12="Menor"),CONCATENATE("R1C",'Mapa final'!$Y$12),"")</f>
        <v/>
      </c>
      <c r="R6" s="44" t="str">
        <f>IF(AND('Mapa final'!$AI$13="Muy Alta",'Mapa final'!$AK$13="Menor"),CONCATENATE("R1C",'Mapa final'!$Y$13),"")</f>
        <v/>
      </c>
      <c r="S6" s="44" t="str">
        <f>IF(AND('Mapa final'!$AI$14="Muy Alta",'Mapa final'!$AK$14="Menor"),CONCATENATE("R1C",'Mapa final'!$Y$14),"")</f>
        <v/>
      </c>
      <c r="T6" s="44" t="e">
        <f>IF(AND('Mapa final'!#REF!="Muy Alta",'Mapa final'!#REF!="Menor"),CONCATENATE("R1C",'Mapa final'!#REF!),"")</f>
        <v>#REF!</v>
      </c>
      <c r="U6" s="45" t="e">
        <f>IF(AND('Mapa final'!#REF!="Muy Alta",'Mapa final'!#REF!="Menor"),CONCATENATE("R1C",'Mapa final'!#REF!),"")</f>
        <v>#REF!</v>
      </c>
      <c r="V6" s="43" t="str">
        <f>IF(AND('Mapa final'!$AI$11="Muy Alta",'Mapa final'!$AK$11="Moderado"),CONCATENATE("R1C",'Mapa final'!$Y$11),"")</f>
        <v/>
      </c>
      <c r="W6" s="44" t="str">
        <f>IF(AND('Mapa final'!$AI$12="Muy Alta",'Mapa final'!$AK$12="Moderado"),CONCATENATE("R1C",'Mapa final'!$Y$12),"")</f>
        <v/>
      </c>
      <c r="X6" s="44" t="str">
        <f>IF(AND('Mapa final'!$AI$13="Muy Alta",'Mapa final'!$AK$13="Moderado"),CONCATENATE("R1C",'Mapa final'!$Y$13),"")</f>
        <v/>
      </c>
      <c r="Y6" s="44" t="str">
        <f>IF(AND('Mapa final'!$AI$14="Muy Alta",'Mapa final'!$AK$14="Moderado"),CONCATENATE("R1C",'Mapa final'!$Y$14),"")</f>
        <v/>
      </c>
      <c r="Z6" s="44" t="e">
        <f>IF(AND('Mapa final'!#REF!="Muy Alta",'Mapa final'!#REF!="Moderado"),CONCATENATE("R1C",'Mapa final'!#REF!),"")</f>
        <v>#REF!</v>
      </c>
      <c r="AA6" s="45" t="e">
        <f>IF(AND('Mapa final'!#REF!="Muy Alta",'Mapa final'!#REF!="Moderado"),CONCATENATE("R1C",'Mapa final'!#REF!),"")</f>
        <v>#REF!</v>
      </c>
      <c r="AB6" s="43" t="str">
        <f>IF(AND('Mapa final'!$AI$11="Muy Alta",'Mapa final'!$AK$11="Mayor"),CONCATENATE("R1C",'Mapa final'!$Y$11),"")</f>
        <v/>
      </c>
      <c r="AC6" s="44" t="str">
        <f>IF(AND('Mapa final'!$AI$12="Muy Alta",'Mapa final'!$AK$12="Mayor"),CONCATENATE("R1C",'Mapa final'!$Y$12),"")</f>
        <v/>
      </c>
      <c r="AD6" s="44" t="str">
        <f>IF(AND('Mapa final'!$AI$13="Muy Alta",'Mapa final'!$AK$13="Mayor"),CONCATENATE("R1C",'Mapa final'!$Y$13),"")</f>
        <v/>
      </c>
      <c r="AE6" s="44" t="str">
        <f>IF(AND('Mapa final'!$AI$14="Muy Alta",'Mapa final'!$AK$14="Mayor"),CONCATENATE("R1C",'Mapa final'!$Y$14),"")</f>
        <v/>
      </c>
      <c r="AF6" s="44" t="e">
        <f>IF(AND('Mapa final'!#REF!="Muy Alta",'Mapa final'!#REF!="Mayor"),CONCATENATE("R1C",'Mapa final'!#REF!),"")</f>
        <v>#REF!</v>
      </c>
      <c r="AG6" s="45" t="e">
        <f>IF(AND('Mapa final'!#REF!="Muy Alta",'Mapa final'!#REF!="Mayor"),CONCATENATE("R1C",'Mapa final'!#REF!),"")</f>
        <v>#REF!</v>
      </c>
      <c r="AH6" s="46" t="str">
        <f>IF(AND('Mapa final'!$AI$11="Muy Alta",'Mapa final'!$AK$11="Catastrófico"),CONCATENATE("R1C",'Mapa final'!$Y$11),"")</f>
        <v/>
      </c>
      <c r="AI6" s="47" t="str">
        <f>IF(AND('Mapa final'!$AI$12="Muy Alta",'Mapa final'!$AK$12="Catastrófico"),CONCATENATE("R1C",'Mapa final'!$Y$12),"")</f>
        <v/>
      </c>
      <c r="AJ6" s="47" t="str">
        <f>IF(AND('Mapa final'!$AI$13="Muy Alta",'Mapa final'!$AK$13="Catastrófico"),CONCATENATE("R1C",'Mapa final'!$Y$13),"")</f>
        <v/>
      </c>
      <c r="AK6" s="47" t="str">
        <f>IF(AND('Mapa final'!$AI$14="Muy Alta",'Mapa final'!$AK$14="Catastrófico"),CONCATENATE("R1C",'Mapa final'!$Y$14),"")</f>
        <v/>
      </c>
      <c r="AL6" s="47" t="e">
        <f>IF(AND('Mapa final'!#REF!="Muy Alta",'Mapa final'!#REF!="Catastrófico"),CONCATENATE("R1C",'Mapa final'!#REF!),"")</f>
        <v>#REF!</v>
      </c>
      <c r="AM6" s="48" t="e">
        <f>IF(AND('Mapa final'!#REF!="Muy Alta",'Mapa final'!#REF!="Catastrófico"),CONCATENATE("R1C",'Mapa final'!#REF!),"")</f>
        <v>#REF!</v>
      </c>
      <c r="AN6" s="80"/>
      <c r="AO6" s="448" t="s">
        <v>127</v>
      </c>
      <c r="AP6" s="449"/>
      <c r="AQ6" s="449"/>
      <c r="AR6" s="449"/>
      <c r="AS6" s="449"/>
      <c r="AT6" s="45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row>
    <row r="7" spans="1:91" ht="15" customHeight="1" x14ac:dyDescent="0.25">
      <c r="A7" s="80"/>
      <c r="B7" s="390"/>
      <c r="C7" s="390"/>
      <c r="D7" s="391"/>
      <c r="E7" s="431"/>
      <c r="F7" s="432"/>
      <c r="G7" s="432"/>
      <c r="H7" s="432"/>
      <c r="I7" s="433"/>
      <c r="J7" s="49" t="str">
        <f>IF(AND('Mapa final'!$AI$15="Muy Alta",'Mapa final'!$AK$15="Leve"),CONCATENATE("R2C",'Mapa final'!$Y$15),"")</f>
        <v/>
      </c>
      <c r="K7" s="50" t="str">
        <f>IF(AND('Mapa final'!$AI$16="Muy Alta",'Mapa final'!$AK$16="Leve"),CONCATENATE("R2C",'Mapa final'!$Y$16),"")</f>
        <v/>
      </c>
      <c r="L7" s="50" t="str">
        <f>IF(AND('Mapa final'!$AI$17="Muy Alta",'Mapa final'!$AK$17="Leve"),CONCATENATE("R2C",'Mapa final'!$Y$17),"")</f>
        <v/>
      </c>
      <c r="M7" s="50" t="str">
        <f>IF(AND('Mapa final'!$AI$18="Muy Alta",'Mapa final'!$AK$18="Leve"),CONCATENATE("R2C",'Mapa final'!$Y$18),"")</f>
        <v/>
      </c>
      <c r="N7" s="50" t="str">
        <f>IF(AND('Mapa final'!$AI$19="Muy Alta",'Mapa final'!$AK$19="Leve"),CONCATENATE("R2C",'Mapa final'!$Y$19),"")</f>
        <v/>
      </c>
      <c r="O7" s="51" t="str">
        <f>IF(AND('Mapa final'!$AI$20="Muy Alta",'Mapa final'!$AK$20="Leve"),CONCATENATE("R2C",'Mapa final'!$Y$20),"")</f>
        <v/>
      </c>
      <c r="P7" s="49" t="str">
        <f>IF(AND('Mapa final'!$AI$15="Muy Alta",'Mapa final'!$AK$15="Menor"),CONCATENATE("R2C",'Mapa final'!$Y$15),"")</f>
        <v/>
      </c>
      <c r="Q7" s="50" t="str">
        <f>IF(AND('Mapa final'!$AI$16="Muy Alta",'Mapa final'!$AK$16="Menor"),CONCATENATE("R2C",'Mapa final'!$Y$16),"")</f>
        <v/>
      </c>
      <c r="R7" s="50" t="str">
        <f>IF(AND('Mapa final'!$AI$17="Muy Alta",'Mapa final'!$AK$17="Menor"),CONCATENATE("R2C",'Mapa final'!$Y$17),"")</f>
        <v/>
      </c>
      <c r="S7" s="50" t="str">
        <f>IF(AND('Mapa final'!$AI$18="Muy Alta",'Mapa final'!$AK$18="Menor"),CONCATENATE("R2C",'Mapa final'!$Y$18),"")</f>
        <v/>
      </c>
      <c r="T7" s="50" t="str">
        <f>IF(AND('Mapa final'!$AI$19="Muy Alta",'Mapa final'!$AK$19="Menor"),CONCATENATE("R2C",'Mapa final'!$Y$19),"")</f>
        <v/>
      </c>
      <c r="U7" s="51" t="str">
        <f>IF(AND('Mapa final'!$AI$20="Muy Alta",'Mapa final'!$AK$20="Menor"),CONCATENATE("R2C",'Mapa final'!$Y$20),"")</f>
        <v/>
      </c>
      <c r="V7" s="49" t="str">
        <f>IF(AND('Mapa final'!$AI$15="Muy Alta",'Mapa final'!$AK$15="Moderado"),CONCATENATE("R2C",'Mapa final'!$Y$15),"")</f>
        <v/>
      </c>
      <c r="W7" s="50" t="str">
        <f>IF(AND('Mapa final'!$AI$16="Muy Alta",'Mapa final'!$AK$16="Moderado"),CONCATENATE("R2C",'Mapa final'!$Y$16),"")</f>
        <v/>
      </c>
      <c r="X7" s="50" t="str">
        <f>IF(AND('Mapa final'!$AI$17="Muy Alta",'Mapa final'!$AK$17="Moderado"),CONCATENATE("R2C",'Mapa final'!$Y$17),"")</f>
        <v/>
      </c>
      <c r="Y7" s="50" t="str">
        <f>IF(AND('Mapa final'!$AI$18="Muy Alta",'Mapa final'!$AK$18="Moderado"),CONCATENATE("R2C",'Mapa final'!$Y$18),"")</f>
        <v/>
      </c>
      <c r="Z7" s="50" t="str">
        <f>IF(AND('Mapa final'!$AI$19="Muy Alta",'Mapa final'!$AK$19="Moderado"),CONCATENATE("R2C",'Mapa final'!$Y$19),"")</f>
        <v/>
      </c>
      <c r="AA7" s="51" t="str">
        <f>IF(AND('Mapa final'!$AI$20="Muy Alta",'Mapa final'!$AK$20="Moderado"),CONCATENATE("R2C",'Mapa final'!$Y$20),"")</f>
        <v/>
      </c>
      <c r="AB7" s="49" t="str">
        <f>IF(AND('Mapa final'!$AI$15="Muy Alta",'Mapa final'!$AK$15="Mayor"),CONCATENATE("R2C",'Mapa final'!$Y$15),"")</f>
        <v/>
      </c>
      <c r="AC7" s="50" t="str">
        <f>IF(AND('Mapa final'!$AI$16="Muy Alta",'Mapa final'!$AK$16="Mayor"),CONCATENATE("R2C",'Mapa final'!$Y$16),"")</f>
        <v/>
      </c>
      <c r="AD7" s="50" t="str">
        <f>IF(AND('Mapa final'!$AI$17="Muy Alta",'Mapa final'!$AK$17="Mayor"),CONCATENATE("R2C",'Mapa final'!$Y$17),"")</f>
        <v/>
      </c>
      <c r="AE7" s="50" t="str">
        <f>IF(AND('Mapa final'!$AI$18="Muy Alta",'Mapa final'!$AK$18="Mayor"),CONCATENATE("R2C",'Mapa final'!$Y$18),"")</f>
        <v/>
      </c>
      <c r="AF7" s="50" t="str">
        <f>IF(AND('Mapa final'!$AI$19="Muy Alta",'Mapa final'!$AK$19="Mayor"),CONCATENATE("R2C",'Mapa final'!$Y$19),"")</f>
        <v/>
      </c>
      <c r="AG7" s="51" t="str">
        <f>IF(AND('Mapa final'!$AI$20="Muy Alta",'Mapa final'!$AK$20="Mayor"),CONCATENATE("R2C",'Mapa final'!$Y$20),"")</f>
        <v/>
      </c>
      <c r="AH7" s="52" t="str">
        <f>IF(AND('Mapa final'!$AI$15="Muy Alta",'Mapa final'!$AK$15="Catastrófico"),CONCATENATE("R2C",'Mapa final'!$Y$15),"")</f>
        <v/>
      </c>
      <c r="AI7" s="53" t="str">
        <f>IF(AND('Mapa final'!$AI$16="Muy Alta",'Mapa final'!$AK$16="Catastrófico"),CONCATENATE("R2C",'Mapa final'!$Y$16),"")</f>
        <v/>
      </c>
      <c r="AJ7" s="53" t="str">
        <f>IF(AND('Mapa final'!$AI$17="Muy Alta",'Mapa final'!$AK$17="Catastrófico"),CONCATENATE("R2C",'Mapa final'!$Y$17),"")</f>
        <v/>
      </c>
      <c r="AK7" s="53" t="str">
        <f>IF(AND('Mapa final'!$AI$18="Muy Alta",'Mapa final'!$AK$18="Catastrófico"),CONCATENATE("R2C",'Mapa final'!$Y$18),"")</f>
        <v/>
      </c>
      <c r="AL7" s="53" t="str">
        <f>IF(AND('Mapa final'!$AI$19="Muy Alta",'Mapa final'!$AK$19="Catastrófico"),CONCATENATE("R2C",'Mapa final'!$Y$19),"")</f>
        <v/>
      </c>
      <c r="AM7" s="54" t="str">
        <f>IF(AND('Mapa final'!$AI$20="Muy Alta",'Mapa final'!$AK$20="Catastrófico"),CONCATENATE("R2C",'Mapa final'!$Y$20),"")</f>
        <v/>
      </c>
      <c r="AN7" s="80"/>
      <c r="AO7" s="451"/>
      <c r="AP7" s="452"/>
      <c r="AQ7" s="452"/>
      <c r="AR7" s="452"/>
      <c r="AS7" s="452"/>
      <c r="AT7" s="453"/>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row>
    <row r="8" spans="1:91" ht="15" customHeight="1" x14ac:dyDescent="0.25">
      <c r="A8" s="80"/>
      <c r="B8" s="390"/>
      <c r="C8" s="390"/>
      <c r="D8" s="391"/>
      <c r="E8" s="431"/>
      <c r="F8" s="432"/>
      <c r="G8" s="432"/>
      <c r="H8" s="432"/>
      <c r="I8" s="433"/>
      <c r="J8" s="49" t="str">
        <f>IF(AND('Mapa final'!$AI$21="Muy Alta",'Mapa final'!$AK$21="Leve"),CONCATENATE("R3C",'Mapa final'!$Y$21),"")</f>
        <v/>
      </c>
      <c r="K8" s="50" t="str">
        <f>IF(AND('Mapa final'!$AI$22="Muy Alta",'Mapa final'!$AK$22="Leve"),CONCATENATE("R3C",'Mapa final'!$Y$22),"")</f>
        <v/>
      </c>
      <c r="L8" s="50" t="str">
        <f>IF(AND('Mapa final'!$AI$23="Muy Alta",'Mapa final'!$AK$23="Leve"),CONCATENATE("R3C",'Mapa final'!$Y$23),"")</f>
        <v/>
      </c>
      <c r="M8" s="50" t="str">
        <f>IF(AND('Mapa final'!$AI$24="Muy Alta",'Mapa final'!$AK$24="Leve"),CONCATENATE("R3C",'Mapa final'!$Y$24),"")</f>
        <v/>
      </c>
      <c r="N8" s="50" t="str">
        <f>IF(AND('Mapa final'!$AI$25="Muy Alta",'Mapa final'!$AK$25="Leve"),CONCATENATE("R3C",'Mapa final'!$Y$25),"")</f>
        <v/>
      </c>
      <c r="O8" s="51" t="str">
        <f>IF(AND('Mapa final'!$AI$26="Muy Alta",'Mapa final'!$AK$26="Leve"),CONCATENATE("R3C",'Mapa final'!$Y$26),"")</f>
        <v/>
      </c>
      <c r="P8" s="49" t="str">
        <f>IF(AND('Mapa final'!$AI$21="Muy Alta",'Mapa final'!$AK$21="Menor"),CONCATENATE("R3C",'Mapa final'!$Y$21),"")</f>
        <v/>
      </c>
      <c r="Q8" s="50" t="str">
        <f>IF(AND('Mapa final'!$AI$22="Muy Alta",'Mapa final'!$AK$22="Menor"),CONCATENATE("R3C",'Mapa final'!$Y$22),"")</f>
        <v/>
      </c>
      <c r="R8" s="50" t="str">
        <f>IF(AND('Mapa final'!$AI$23="Muy Alta",'Mapa final'!$AK$23="Menor"),CONCATENATE("R3C",'Mapa final'!$Y$23),"")</f>
        <v/>
      </c>
      <c r="S8" s="50" t="str">
        <f>IF(AND('Mapa final'!$AI$24="Muy Alta",'Mapa final'!$AK$24="Menor"),CONCATENATE("R3C",'Mapa final'!$Y$24),"")</f>
        <v/>
      </c>
      <c r="T8" s="50" t="str">
        <f>IF(AND('Mapa final'!$AI$25="Muy Alta",'Mapa final'!$AK$25="Menor"),CONCATENATE("R3C",'Mapa final'!$Y$25),"")</f>
        <v/>
      </c>
      <c r="U8" s="51" t="str">
        <f>IF(AND('Mapa final'!$AI$26="Muy Alta",'Mapa final'!$AK$26="Menor"),CONCATENATE("R3C",'Mapa final'!$Y$26),"")</f>
        <v/>
      </c>
      <c r="V8" s="49" t="str">
        <f>IF(AND('Mapa final'!$AI$21="Muy Alta",'Mapa final'!$AK$21="Moderado"),CONCATENATE("R3C",'Mapa final'!$Y$21),"")</f>
        <v/>
      </c>
      <c r="W8" s="50" t="str">
        <f>IF(AND('Mapa final'!$AI$22="Muy Alta",'Mapa final'!$AK$22="Moderado"),CONCATENATE("R3C",'Mapa final'!$Y$22),"")</f>
        <v/>
      </c>
      <c r="X8" s="50" t="str">
        <f>IF(AND('Mapa final'!$AI$23="Muy Alta",'Mapa final'!$AK$23="Moderado"),CONCATENATE("R3C",'Mapa final'!$Y$23),"")</f>
        <v/>
      </c>
      <c r="Y8" s="50" t="str">
        <f>IF(AND('Mapa final'!$AI$24="Muy Alta",'Mapa final'!$AK$24="Moderado"),CONCATENATE("R3C",'Mapa final'!$Y$24),"")</f>
        <v/>
      </c>
      <c r="Z8" s="50" t="str">
        <f>IF(AND('Mapa final'!$AI$25="Muy Alta",'Mapa final'!$AK$25="Moderado"),CONCATENATE("R3C",'Mapa final'!$Y$25),"")</f>
        <v/>
      </c>
      <c r="AA8" s="51" t="str">
        <f>IF(AND('Mapa final'!$AI$26="Muy Alta",'Mapa final'!$AK$26="Moderado"),CONCATENATE("R3C",'Mapa final'!$Y$26),"")</f>
        <v/>
      </c>
      <c r="AB8" s="49" t="str">
        <f>IF(AND('Mapa final'!$AI$21="Muy Alta",'Mapa final'!$AK$21="Mayor"),CONCATENATE("R3C",'Mapa final'!$Y$21),"")</f>
        <v/>
      </c>
      <c r="AC8" s="50" t="str">
        <f>IF(AND('Mapa final'!$AI$22="Muy Alta",'Mapa final'!$AK$22="Mayor"),CONCATENATE("R3C",'Mapa final'!$Y$22),"")</f>
        <v/>
      </c>
      <c r="AD8" s="50" t="str">
        <f>IF(AND('Mapa final'!$AI$23="Muy Alta",'Mapa final'!$AK$23="Mayor"),CONCATENATE("R3C",'Mapa final'!$Y$23),"")</f>
        <v/>
      </c>
      <c r="AE8" s="50" t="str">
        <f>IF(AND('Mapa final'!$AI$24="Muy Alta",'Mapa final'!$AK$24="Mayor"),CONCATENATE("R3C",'Mapa final'!$Y$24),"")</f>
        <v/>
      </c>
      <c r="AF8" s="50" t="str">
        <f>IF(AND('Mapa final'!$AI$25="Muy Alta",'Mapa final'!$AK$25="Mayor"),CONCATENATE("R3C",'Mapa final'!$Y$25),"")</f>
        <v/>
      </c>
      <c r="AG8" s="51" t="str">
        <f>IF(AND('Mapa final'!$AI$26="Muy Alta",'Mapa final'!$AK$26="Mayor"),CONCATENATE("R3C",'Mapa final'!$Y$26),"")</f>
        <v/>
      </c>
      <c r="AH8" s="52" t="str">
        <f>IF(AND('Mapa final'!$AI$21="Muy Alta",'Mapa final'!$AK$21="Catastrófico"),CONCATENATE("R3C",'Mapa final'!$Y$21),"")</f>
        <v/>
      </c>
      <c r="AI8" s="53" t="str">
        <f>IF(AND('Mapa final'!$AI$22="Muy Alta",'Mapa final'!$AK$22="Catastrófico"),CONCATENATE("R3C",'Mapa final'!$Y$22),"")</f>
        <v/>
      </c>
      <c r="AJ8" s="53" t="str">
        <f>IF(AND('Mapa final'!$AI$23="Muy Alta",'Mapa final'!$AK$23="Catastrófico"),CONCATENATE("R3C",'Mapa final'!$Y$23),"")</f>
        <v/>
      </c>
      <c r="AK8" s="53" t="str">
        <f>IF(AND('Mapa final'!$AI$24="Muy Alta",'Mapa final'!$AK$24="Catastrófico"),CONCATENATE("R3C",'Mapa final'!$Y$24),"")</f>
        <v/>
      </c>
      <c r="AL8" s="53" t="str">
        <f>IF(AND('Mapa final'!$AI$25="Muy Alta",'Mapa final'!$AK$25="Catastrófico"),CONCATENATE("R3C",'Mapa final'!$Y$25),"")</f>
        <v/>
      </c>
      <c r="AM8" s="54" t="str">
        <f>IF(AND('Mapa final'!$AI$26="Muy Alta",'Mapa final'!$AK$26="Catastrófico"),CONCATENATE("R3C",'Mapa final'!$Y$26),"")</f>
        <v/>
      </c>
      <c r="AN8" s="80"/>
      <c r="AO8" s="451"/>
      <c r="AP8" s="452"/>
      <c r="AQ8" s="452"/>
      <c r="AR8" s="452"/>
      <c r="AS8" s="452"/>
      <c r="AT8" s="453"/>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row>
    <row r="9" spans="1:91" ht="15" customHeight="1" x14ac:dyDescent="0.25">
      <c r="A9" s="80"/>
      <c r="B9" s="390"/>
      <c r="C9" s="390"/>
      <c r="D9" s="391"/>
      <c r="E9" s="431"/>
      <c r="F9" s="432"/>
      <c r="G9" s="432"/>
      <c r="H9" s="432"/>
      <c r="I9" s="433"/>
      <c r="J9" s="49" t="str">
        <f>IF(AND('Mapa final'!$AI$27="Muy Alta",'Mapa final'!$AK$27="Leve"),CONCATENATE("R4C",'Mapa final'!$Y$27),"")</f>
        <v/>
      </c>
      <c r="K9" s="50" t="str">
        <f>IF(AND('Mapa final'!$AI$28="Muy Alta",'Mapa final'!$AK$28="Leve"),CONCATENATE("R4C",'Mapa final'!$Y$28),"")</f>
        <v/>
      </c>
      <c r="L9" s="50" t="str">
        <f>IF(AND('Mapa final'!$AI$29="Muy Alta",'Mapa final'!$AK$29="Leve"),CONCATENATE("R4C",'Mapa final'!$Y$29),"")</f>
        <v/>
      </c>
      <c r="M9" s="50" t="str">
        <f>IF(AND('Mapa final'!$AI$30="Muy Alta",'Mapa final'!$AK$30="Leve"),CONCATENATE("R4C",'Mapa final'!$Y$30),"")</f>
        <v/>
      </c>
      <c r="N9" s="50" t="str">
        <f>IF(AND('Mapa final'!$AI$31="Muy Alta",'Mapa final'!$AK$31="Leve"),CONCATENATE("R4C",'Mapa final'!$Y$31),"")</f>
        <v/>
      </c>
      <c r="O9" s="51" t="str">
        <f>IF(AND('Mapa final'!$AI$32="Muy Alta",'Mapa final'!$AK$32="Leve"),CONCATENATE("R4C",'Mapa final'!$Y$32),"")</f>
        <v/>
      </c>
      <c r="P9" s="49" t="str">
        <f>IF(AND('Mapa final'!$AI$27="Muy Alta",'Mapa final'!$AK$27="Menor"),CONCATENATE("R4C",'Mapa final'!$Y$27),"")</f>
        <v/>
      </c>
      <c r="Q9" s="50" t="str">
        <f>IF(AND('Mapa final'!$AI$28="Muy Alta",'Mapa final'!$AK$28="Menor"),CONCATENATE("R4C",'Mapa final'!$Y$28),"")</f>
        <v/>
      </c>
      <c r="R9" s="50" t="str">
        <f>IF(AND('Mapa final'!$AI$29="Muy Alta",'Mapa final'!$AK$29="Menor"),CONCATENATE("R4C",'Mapa final'!$Y$29),"")</f>
        <v/>
      </c>
      <c r="S9" s="50" t="str">
        <f>IF(AND('Mapa final'!$AI$30="Muy Alta",'Mapa final'!$AK$30="Menor"),CONCATENATE("R4C",'Mapa final'!$Y$30),"")</f>
        <v/>
      </c>
      <c r="T9" s="50" t="str">
        <f>IF(AND('Mapa final'!$AI$31="Muy Alta",'Mapa final'!$AK$31="Menor"),CONCATENATE("R4C",'Mapa final'!$Y$31),"")</f>
        <v/>
      </c>
      <c r="U9" s="51" t="str">
        <f>IF(AND('Mapa final'!$AI$32="Muy Alta",'Mapa final'!$AK$32="Menor"),CONCATENATE("R4C",'Mapa final'!$Y$32),"")</f>
        <v/>
      </c>
      <c r="V9" s="49" t="str">
        <f>IF(AND('Mapa final'!$AI$27="Muy Alta",'Mapa final'!$AK$27="Moderado"),CONCATENATE("R4C",'Mapa final'!$Y$27),"")</f>
        <v/>
      </c>
      <c r="W9" s="50" t="str">
        <f>IF(AND('Mapa final'!$AI$28="Muy Alta",'Mapa final'!$AK$28="Moderado"),CONCATENATE("R4C",'Mapa final'!$Y$28),"")</f>
        <v/>
      </c>
      <c r="X9" s="50" t="str">
        <f>IF(AND('Mapa final'!$AI$29="Muy Alta",'Mapa final'!$AK$29="Moderado"),CONCATENATE("R4C",'Mapa final'!$Y$29),"")</f>
        <v/>
      </c>
      <c r="Y9" s="50" t="str">
        <f>IF(AND('Mapa final'!$AI$30="Muy Alta",'Mapa final'!$AK$30="Moderado"),CONCATENATE("R4C",'Mapa final'!$Y$30),"")</f>
        <v/>
      </c>
      <c r="Z9" s="50" t="str">
        <f>IF(AND('Mapa final'!$AI$31="Muy Alta",'Mapa final'!$AK$31="Moderado"),CONCATENATE("R4C",'Mapa final'!$Y$31),"")</f>
        <v/>
      </c>
      <c r="AA9" s="51" t="str">
        <f>IF(AND('Mapa final'!$AI$32="Muy Alta",'Mapa final'!$AK$32="Moderado"),CONCATENATE("R4C",'Mapa final'!$Y$32),"")</f>
        <v/>
      </c>
      <c r="AB9" s="49" t="str">
        <f>IF(AND('Mapa final'!$AI$27="Muy Alta",'Mapa final'!$AK$27="Mayor"),CONCATENATE("R4C",'Mapa final'!$Y$27),"")</f>
        <v/>
      </c>
      <c r="AC9" s="50" t="str">
        <f>IF(AND('Mapa final'!$AI$28="Muy Alta",'Mapa final'!$AK$28="Mayor"),CONCATENATE("R4C",'Mapa final'!$Y$28),"")</f>
        <v/>
      </c>
      <c r="AD9" s="50" t="str">
        <f>IF(AND('Mapa final'!$AI$29="Muy Alta",'Mapa final'!$AK$29="Mayor"),CONCATENATE("R4C",'Mapa final'!$Y$29),"")</f>
        <v/>
      </c>
      <c r="AE9" s="50" t="str">
        <f>IF(AND('Mapa final'!$AI$30="Muy Alta",'Mapa final'!$AK$30="Mayor"),CONCATENATE("R4C",'Mapa final'!$Y$30),"")</f>
        <v/>
      </c>
      <c r="AF9" s="50" t="str">
        <f>IF(AND('Mapa final'!$AI$31="Muy Alta",'Mapa final'!$AK$31="Mayor"),CONCATENATE("R4C",'Mapa final'!$Y$31),"")</f>
        <v/>
      </c>
      <c r="AG9" s="51" t="str">
        <f>IF(AND('Mapa final'!$AI$32="Muy Alta",'Mapa final'!$AK$32="Mayor"),CONCATENATE("R4C",'Mapa final'!$Y$32),"")</f>
        <v/>
      </c>
      <c r="AH9" s="52" t="str">
        <f>IF(AND('Mapa final'!$AI$27="Muy Alta",'Mapa final'!$AK$27="Catastrófico"),CONCATENATE("R4C",'Mapa final'!$Y$27),"")</f>
        <v/>
      </c>
      <c r="AI9" s="53" t="str">
        <f>IF(AND('Mapa final'!$AI$28="Muy Alta",'Mapa final'!$AK$28="Catastrófico"),CONCATENATE("R4C",'Mapa final'!$Y$28),"")</f>
        <v/>
      </c>
      <c r="AJ9" s="53" t="str">
        <f>IF(AND('Mapa final'!$AI$29="Muy Alta",'Mapa final'!$AK$29="Catastrófico"),CONCATENATE("R4C",'Mapa final'!$Y$29),"")</f>
        <v/>
      </c>
      <c r="AK9" s="53" t="str">
        <f>IF(AND('Mapa final'!$AI$30="Muy Alta",'Mapa final'!$AK$30="Catastrófico"),CONCATENATE("R4C",'Mapa final'!$Y$30),"")</f>
        <v/>
      </c>
      <c r="AL9" s="53" t="str">
        <f>IF(AND('Mapa final'!$AI$31="Muy Alta",'Mapa final'!$AK$31="Catastrófico"),CONCATENATE("R4C",'Mapa final'!$Y$31),"")</f>
        <v/>
      </c>
      <c r="AM9" s="54" t="str">
        <f>IF(AND('Mapa final'!$AI$32="Muy Alta",'Mapa final'!$AK$32="Catastrófico"),CONCATENATE("R4C",'Mapa final'!$Y$32),"")</f>
        <v/>
      </c>
      <c r="AN9" s="80"/>
      <c r="AO9" s="451"/>
      <c r="AP9" s="452"/>
      <c r="AQ9" s="452"/>
      <c r="AR9" s="452"/>
      <c r="AS9" s="452"/>
      <c r="AT9" s="453"/>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row>
    <row r="10" spans="1:91" ht="15" customHeight="1" x14ac:dyDescent="0.25">
      <c r="A10" s="80"/>
      <c r="B10" s="390"/>
      <c r="C10" s="390"/>
      <c r="D10" s="391"/>
      <c r="E10" s="431"/>
      <c r="F10" s="432"/>
      <c r="G10" s="432"/>
      <c r="H10" s="432"/>
      <c r="I10" s="433"/>
      <c r="J10" s="49" t="str">
        <f>IF(AND('Mapa final'!$AI$33="Muy Alta",'Mapa final'!$AK$33="Leve"),CONCATENATE("R5C",'Mapa final'!$Y$33),"")</f>
        <v/>
      </c>
      <c r="K10" s="50" t="str">
        <f>IF(AND('Mapa final'!$AI$34="Muy Alta",'Mapa final'!$AK$34="Leve"),CONCATENATE("R5C",'Mapa final'!$Y$34),"")</f>
        <v/>
      </c>
      <c r="L10" s="50" t="str">
        <f>IF(AND('Mapa final'!$AI$35="Muy Alta",'Mapa final'!$AK$35="Leve"),CONCATENATE("R5C",'Mapa final'!$Y$35),"")</f>
        <v/>
      </c>
      <c r="M10" s="50" t="str">
        <f>IF(AND('Mapa final'!$AI$36="Muy Alta",'Mapa final'!$AK$36="Leve"),CONCATENATE("R5C",'Mapa final'!$Y$36),"")</f>
        <v/>
      </c>
      <c r="N10" s="50" t="str">
        <f>IF(AND('Mapa final'!$AI$37="Muy Alta",'Mapa final'!$AK$37="Leve"),CONCATENATE("R5C",'Mapa final'!$Y$37),"")</f>
        <v/>
      </c>
      <c r="O10" s="51" t="str">
        <f>IF(AND('Mapa final'!$AI$38="Muy Alta",'Mapa final'!$AK$38="Leve"),CONCATENATE("R5C",'Mapa final'!$Y$38),"")</f>
        <v/>
      </c>
      <c r="P10" s="49" t="str">
        <f>IF(AND('Mapa final'!$AI$33="Muy Alta",'Mapa final'!$AK$33="Menor"),CONCATENATE("R5C",'Mapa final'!$Y$33),"")</f>
        <v/>
      </c>
      <c r="Q10" s="50" t="str">
        <f>IF(AND('Mapa final'!$AI$34="Muy Alta",'Mapa final'!$AK$34="Menor"),CONCATENATE("R5C",'Mapa final'!$Y$34),"")</f>
        <v/>
      </c>
      <c r="R10" s="50" t="str">
        <f>IF(AND('Mapa final'!$AI$35="Muy Alta",'Mapa final'!$AK$35="Menor"),CONCATENATE("R5C",'Mapa final'!$Y$35),"")</f>
        <v/>
      </c>
      <c r="S10" s="50" t="str">
        <f>IF(AND('Mapa final'!$AI$36="Muy Alta",'Mapa final'!$AK$36="Menor"),CONCATENATE("R5C",'Mapa final'!$Y$36),"")</f>
        <v/>
      </c>
      <c r="T10" s="50" t="str">
        <f>IF(AND('Mapa final'!$AI$37="Muy Alta",'Mapa final'!$AK$37="Menor"),CONCATENATE("R5C",'Mapa final'!$Y$37),"")</f>
        <v/>
      </c>
      <c r="U10" s="51" t="str">
        <f>IF(AND('Mapa final'!$AI$38="Muy Alta",'Mapa final'!$AK$38="Menor"),CONCATENATE("R5C",'Mapa final'!$Y$38),"")</f>
        <v/>
      </c>
      <c r="V10" s="49" t="str">
        <f>IF(AND('Mapa final'!$AI$33="Muy Alta",'Mapa final'!$AK$33="Moderado"),CONCATENATE("R5C",'Mapa final'!$Y$33),"")</f>
        <v/>
      </c>
      <c r="W10" s="50" t="str">
        <f>IF(AND('Mapa final'!$AI$34="Muy Alta",'Mapa final'!$AK$34="Moderado"),CONCATENATE("R5C",'Mapa final'!$Y$34),"")</f>
        <v/>
      </c>
      <c r="X10" s="50" t="str">
        <f>IF(AND('Mapa final'!$AI$35="Muy Alta",'Mapa final'!$AK$35="Moderado"),CONCATENATE("R5C",'Mapa final'!$Y$35),"")</f>
        <v/>
      </c>
      <c r="Y10" s="50" t="str">
        <f>IF(AND('Mapa final'!$AI$36="Muy Alta",'Mapa final'!$AK$36="Moderado"),CONCATENATE("R5C",'Mapa final'!$Y$36),"")</f>
        <v/>
      </c>
      <c r="Z10" s="50" t="str">
        <f>IF(AND('Mapa final'!$AI$37="Muy Alta",'Mapa final'!$AK$37="Moderado"),CONCATENATE("R5C",'Mapa final'!$Y$37),"")</f>
        <v/>
      </c>
      <c r="AA10" s="51" t="str">
        <f>IF(AND('Mapa final'!$AI$38="Muy Alta",'Mapa final'!$AK$38="Moderado"),CONCATENATE("R5C",'Mapa final'!$Y$38),"")</f>
        <v/>
      </c>
      <c r="AB10" s="49" t="str">
        <f>IF(AND('Mapa final'!$AI$33="Muy Alta",'Mapa final'!$AK$33="Mayor"),CONCATENATE("R5C",'Mapa final'!$Y$33),"")</f>
        <v/>
      </c>
      <c r="AC10" s="50" t="str">
        <f>IF(AND('Mapa final'!$AI$34="Muy Alta",'Mapa final'!$AK$34="Mayor"),CONCATENATE("R5C",'Mapa final'!$Y$34),"")</f>
        <v/>
      </c>
      <c r="AD10" s="50" t="str">
        <f>IF(AND('Mapa final'!$AI$35="Muy Alta",'Mapa final'!$AK$35="Mayor"),CONCATENATE("R5C",'Mapa final'!$Y$35),"")</f>
        <v/>
      </c>
      <c r="AE10" s="50" t="str">
        <f>IF(AND('Mapa final'!$AI$36="Muy Alta",'Mapa final'!$AK$36="Mayor"),CONCATENATE("R5C",'Mapa final'!$Y$36),"")</f>
        <v/>
      </c>
      <c r="AF10" s="50" t="str">
        <f>IF(AND('Mapa final'!$AI$37="Muy Alta",'Mapa final'!$AK$37="Mayor"),CONCATENATE("R5C",'Mapa final'!$Y$37),"")</f>
        <v/>
      </c>
      <c r="AG10" s="51" t="str">
        <f>IF(AND('Mapa final'!$AI$38="Muy Alta",'Mapa final'!$AK$38="Mayor"),CONCATENATE("R5C",'Mapa final'!$Y$38),"")</f>
        <v/>
      </c>
      <c r="AH10" s="52" t="str">
        <f>IF(AND('Mapa final'!$AI$33="Muy Alta",'Mapa final'!$AK$33="Catastrófico"),CONCATENATE("R5C",'Mapa final'!$Y$33),"")</f>
        <v/>
      </c>
      <c r="AI10" s="53" t="str">
        <f>IF(AND('Mapa final'!$AI$34="Muy Alta",'Mapa final'!$AK$34="Catastrófico"),CONCATENATE("R5C",'Mapa final'!$Y$34),"")</f>
        <v/>
      </c>
      <c r="AJ10" s="53" t="str">
        <f>IF(AND('Mapa final'!$AI$35="Muy Alta",'Mapa final'!$AK$35="Catastrófico"),CONCATENATE("R5C",'Mapa final'!$Y$35),"")</f>
        <v/>
      </c>
      <c r="AK10" s="53" t="str">
        <f>IF(AND('Mapa final'!$AI$36="Muy Alta",'Mapa final'!$AK$36="Catastrófico"),CONCATENATE("R5C",'Mapa final'!$Y$36),"")</f>
        <v/>
      </c>
      <c r="AL10" s="53" t="str">
        <f>IF(AND('Mapa final'!$AI$37="Muy Alta",'Mapa final'!$AK$37="Catastrófico"),CONCATENATE("R5C",'Mapa final'!$Y$37),"")</f>
        <v/>
      </c>
      <c r="AM10" s="54" t="str">
        <f>IF(AND('Mapa final'!$AI$38="Muy Alta",'Mapa final'!$AK$38="Catastrófico"),CONCATENATE("R5C",'Mapa final'!$Y$38),"")</f>
        <v/>
      </c>
      <c r="AN10" s="80"/>
      <c r="AO10" s="451"/>
      <c r="AP10" s="452"/>
      <c r="AQ10" s="452"/>
      <c r="AR10" s="452"/>
      <c r="AS10" s="452"/>
      <c r="AT10" s="453"/>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row>
    <row r="11" spans="1:91" ht="15" customHeight="1" x14ac:dyDescent="0.25">
      <c r="A11" s="80"/>
      <c r="B11" s="390"/>
      <c r="C11" s="390"/>
      <c r="D11" s="391"/>
      <c r="E11" s="431"/>
      <c r="F11" s="432"/>
      <c r="G11" s="432"/>
      <c r="H11" s="432"/>
      <c r="I11" s="433"/>
      <c r="J11" s="49" t="str">
        <f>IF(AND('Mapa final'!$AI$39="Muy Alta",'Mapa final'!$AK$39="Leve"),CONCATENATE("R6C",'Mapa final'!$Y$39),"")</f>
        <v/>
      </c>
      <c r="K11" s="50" t="str">
        <f>IF(AND('Mapa final'!$AI$40="Muy Alta",'Mapa final'!$AK$40="Leve"),CONCATENATE("R6C",'Mapa final'!$Y$40),"")</f>
        <v/>
      </c>
      <c r="L11" s="50" t="str">
        <f>IF(AND('Mapa final'!$AI$41="Muy Alta",'Mapa final'!$AK$41="Leve"),CONCATENATE("R6C",'Mapa final'!$Y$41),"")</f>
        <v/>
      </c>
      <c r="M11" s="50" t="str">
        <f>IF(AND('Mapa final'!$AI$42="Muy Alta",'Mapa final'!$AK$42="Leve"),CONCATENATE("R6C",'Mapa final'!$Y$42),"")</f>
        <v/>
      </c>
      <c r="N11" s="50" t="str">
        <f>IF(AND('Mapa final'!$AI$43="Muy Alta",'Mapa final'!$AK$43="Leve"),CONCATENATE("R6C",'Mapa final'!$Y$43),"")</f>
        <v/>
      </c>
      <c r="O11" s="51" t="str">
        <f>IF(AND('Mapa final'!$AI$44="Muy Alta",'Mapa final'!$AK$44="Leve"),CONCATENATE("R6C",'Mapa final'!$Y$44),"")</f>
        <v/>
      </c>
      <c r="P11" s="49" t="str">
        <f>IF(AND('Mapa final'!$AI$39="Muy Alta",'Mapa final'!$AK$39="Menor"),CONCATENATE("R6C",'Mapa final'!$Y$39),"")</f>
        <v/>
      </c>
      <c r="Q11" s="50" t="str">
        <f>IF(AND('Mapa final'!$AI$40="Muy Alta",'Mapa final'!$AK$40="Menor"),CONCATENATE("R6C",'Mapa final'!$Y$40),"")</f>
        <v/>
      </c>
      <c r="R11" s="50" t="str">
        <f>IF(AND('Mapa final'!$AI$41="Muy Alta",'Mapa final'!$AK$41="Menor"),CONCATENATE("R6C",'Mapa final'!$Y$41),"")</f>
        <v/>
      </c>
      <c r="S11" s="50" t="str">
        <f>IF(AND('Mapa final'!$AI$42="Muy Alta",'Mapa final'!$AK$42="Menor"),CONCATENATE("R6C",'Mapa final'!$Y$42),"")</f>
        <v/>
      </c>
      <c r="T11" s="50" t="str">
        <f>IF(AND('Mapa final'!$AI$43="Muy Alta",'Mapa final'!$AK$43="Menor"),CONCATENATE("R6C",'Mapa final'!$Y$43),"")</f>
        <v/>
      </c>
      <c r="U11" s="51" t="str">
        <f>IF(AND('Mapa final'!$AI$44="Muy Alta",'Mapa final'!$AK$44="Menor"),CONCATENATE("R6C",'Mapa final'!$Y$44),"")</f>
        <v/>
      </c>
      <c r="V11" s="49" t="str">
        <f>IF(AND('Mapa final'!$AI$39="Muy Alta",'Mapa final'!$AK$39="Moderado"),CONCATENATE("R6C",'Mapa final'!$Y$39),"")</f>
        <v/>
      </c>
      <c r="W11" s="50" t="str">
        <f>IF(AND('Mapa final'!$AI$40="Muy Alta",'Mapa final'!$AK$40="Moderado"),CONCATENATE("R6C",'Mapa final'!$Y$40),"")</f>
        <v/>
      </c>
      <c r="X11" s="50" t="str">
        <f>IF(AND('Mapa final'!$AI$41="Muy Alta",'Mapa final'!$AK$41="Moderado"),CONCATENATE("R6C",'Mapa final'!$Y$41),"")</f>
        <v/>
      </c>
      <c r="Y11" s="50" t="str">
        <f>IF(AND('Mapa final'!$AI$42="Muy Alta",'Mapa final'!$AK$42="Moderado"),CONCATENATE("R6C",'Mapa final'!$Y$42),"")</f>
        <v/>
      </c>
      <c r="Z11" s="50" t="str">
        <f>IF(AND('Mapa final'!$AI$43="Muy Alta",'Mapa final'!$AK$43="Moderado"),CONCATENATE("R6C",'Mapa final'!$Y$43),"")</f>
        <v/>
      </c>
      <c r="AA11" s="51" t="str">
        <f>IF(AND('Mapa final'!$AI$44="Muy Alta",'Mapa final'!$AK$44="Moderado"),CONCATENATE("R6C",'Mapa final'!$Y$44),"")</f>
        <v/>
      </c>
      <c r="AB11" s="49" t="str">
        <f>IF(AND('Mapa final'!$AI$39="Muy Alta",'Mapa final'!$AK$39="Mayor"),CONCATENATE("R6C",'Mapa final'!$Y$39),"")</f>
        <v/>
      </c>
      <c r="AC11" s="50" t="str">
        <f>IF(AND('Mapa final'!$AI$40="Muy Alta",'Mapa final'!$AK$40="Mayor"),CONCATENATE("R6C",'Mapa final'!$Y$40),"")</f>
        <v/>
      </c>
      <c r="AD11" s="50" t="str">
        <f>IF(AND('Mapa final'!$AI$41="Muy Alta",'Mapa final'!$AK$41="Mayor"),CONCATENATE("R6C",'Mapa final'!$Y$41),"")</f>
        <v/>
      </c>
      <c r="AE11" s="50" t="str">
        <f>IF(AND('Mapa final'!$AI$42="Muy Alta",'Mapa final'!$AK$42="Mayor"),CONCATENATE("R6C",'Mapa final'!$Y$42),"")</f>
        <v/>
      </c>
      <c r="AF11" s="50" t="str">
        <f>IF(AND('Mapa final'!$AI$43="Muy Alta",'Mapa final'!$AK$43="Mayor"),CONCATENATE("R6C",'Mapa final'!$Y$43),"")</f>
        <v/>
      </c>
      <c r="AG11" s="51" t="str">
        <f>IF(AND('Mapa final'!$AI$44="Muy Alta",'Mapa final'!$AK$44="Mayor"),CONCATENATE("R6C",'Mapa final'!$Y$44),"")</f>
        <v/>
      </c>
      <c r="AH11" s="52" t="str">
        <f>IF(AND('Mapa final'!$AI$39="Muy Alta",'Mapa final'!$AK$39="Catastrófico"),CONCATENATE("R6C",'Mapa final'!$Y$39),"")</f>
        <v/>
      </c>
      <c r="AI11" s="53" t="str">
        <f>IF(AND('Mapa final'!$AI$40="Muy Alta",'Mapa final'!$AK$40="Catastrófico"),CONCATENATE("R6C",'Mapa final'!$Y$40),"")</f>
        <v/>
      </c>
      <c r="AJ11" s="53" t="str">
        <f>IF(AND('Mapa final'!$AI$41="Muy Alta",'Mapa final'!$AK$41="Catastrófico"),CONCATENATE("R6C",'Mapa final'!$Y$41),"")</f>
        <v/>
      </c>
      <c r="AK11" s="53" t="str">
        <f>IF(AND('Mapa final'!$AI$42="Muy Alta",'Mapa final'!$AK$42="Catastrófico"),CONCATENATE("R6C",'Mapa final'!$Y$42),"")</f>
        <v/>
      </c>
      <c r="AL11" s="53" t="str">
        <f>IF(AND('Mapa final'!$AI$43="Muy Alta",'Mapa final'!$AK$43="Catastrófico"),CONCATENATE("R6C",'Mapa final'!$Y$43),"")</f>
        <v/>
      </c>
      <c r="AM11" s="54" t="str">
        <f>IF(AND('Mapa final'!$AI$44="Muy Alta",'Mapa final'!$AK$44="Catastrófico"),CONCATENATE("R6C",'Mapa final'!$Y$44),"")</f>
        <v/>
      </c>
      <c r="AN11" s="80"/>
      <c r="AO11" s="451"/>
      <c r="AP11" s="452"/>
      <c r="AQ11" s="452"/>
      <c r="AR11" s="452"/>
      <c r="AS11" s="452"/>
      <c r="AT11" s="453"/>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row>
    <row r="12" spans="1:91" ht="15" customHeight="1" x14ac:dyDescent="0.25">
      <c r="A12" s="80"/>
      <c r="B12" s="390"/>
      <c r="C12" s="390"/>
      <c r="D12" s="391"/>
      <c r="E12" s="431"/>
      <c r="F12" s="432"/>
      <c r="G12" s="432"/>
      <c r="H12" s="432"/>
      <c r="I12" s="433"/>
      <c r="J12" s="49" t="str">
        <f>IF(AND('Mapa final'!$AI$45="Muy Alta",'Mapa final'!$AK$45="Leve"),CONCATENATE("R7C",'Mapa final'!$Y$45),"")</f>
        <v/>
      </c>
      <c r="K12" s="50" t="str">
        <f>IF(AND('Mapa final'!$AI$46="Muy Alta",'Mapa final'!$AK$46="Leve"),CONCATENATE("R7C",'Mapa final'!$Y$46),"")</f>
        <v/>
      </c>
      <c r="L12" s="50" t="str">
        <f>IF(AND('Mapa final'!$AI$47="Muy Alta",'Mapa final'!$AK$47="Leve"),CONCATENATE("R7C",'Mapa final'!$Y$47),"")</f>
        <v/>
      </c>
      <c r="M12" s="50" t="str">
        <f>IF(AND('Mapa final'!$AI$48="Muy Alta",'Mapa final'!$AK$48="Leve"),CONCATENATE("R7C",'Mapa final'!$Y$48),"")</f>
        <v/>
      </c>
      <c r="N12" s="50" t="str">
        <f>IF(AND('Mapa final'!$AI$49="Muy Alta",'Mapa final'!$AK$49="Leve"),CONCATENATE("R7C",'Mapa final'!$Y$49),"")</f>
        <v/>
      </c>
      <c r="O12" s="51" t="str">
        <f>IF(AND('Mapa final'!$AI$50="Muy Alta",'Mapa final'!$AK$50="Leve"),CONCATENATE("R7C",'Mapa final'!$Y$50),"")</f>
        <v/>
      </c>
      <c r="P12" s="49" t="str">
        <f>IF(AND('Mapa final'!$AI$45="Muy Alta",'Mapa final'!$AK$45="Menor"),CONCATENATE("R7C",'Mapa final'!$Y$45),"")</f>
        <v/>
      </c>
      <c r="Q12" s="50" t="str">
        <f>IF(AND('Mapa final'!$AI$46="Muy Alta",'Mapa final'!$AK$46="Menor"),CONCATENATE("R7C",'Mapa final'!$Y$46),"")</f>
        <v/>
      </c>
      <c r="R12" s="50" t="str">
        <f>IF(AND('Mapa final'!$AI$47="Muy Alta",'Mapa final'!$AK$47="Menor"),CONCATENATE("R7C",'Mapa final'!$Y$47),"")</f>
        <v/>
      </c>
      <c r="S12" s="50" t="str">
        <f>IF(AND('Mapa final'!$AI$48="Muy Alta",'Mapa final'!$AK$48="Menor"),CONCATENATE("R7C",'Mapa final'!$Y$48),"")</f>
        <v/>
      </c>
      <c r="T12" s="50" t="str">
        <f>IF(AND('Mapa final'!$AI$49="Muy Alta",'Mapa final'!$AK$49="Menor"),CONCATENATE("R7C",'Mapa final'!$Y$49),"")</f>
        <v/>
      </c>
      <c r="U12" s="51" t="str">
        <f>IF(AND('Mapa final'!$AI$50="Muy Alta",'Mapa final'!$AK$50="Menor"),CONCATENATE("R7C",'Mapa final'!$Y$50),"")</f>
        <v/>
      </c>
      <c r="V12" s="49" t="str">
        <f>IF(AND('Mapa final'!$AI$45="Muy Alta",'Mapa final'!$AK$45="Moderado"),CONCATENATE("R7C",'Mapa final'!$Y$45),"")</f>
        <v/>
      </c>
      <c r="W12" s="50" t="str">
        <f>IF(AND('Mapa final'!$AI$46="Muy Alta",'Mapa final'!$AK$46="Moderado"),CONCATENATE("R7C",'Mapa final'!$Y$46),"")</f>
        <v/>
      </c>
      <c r="X12" s="50" t="str">
        <f>IF(AND('Mapa final'!$AI$47="Muy Alta",'Mapa final'!$AK$47="Moderado"),CONCATENATE("R7C",'Mapa final'!$Y$47),"")</f>
        <v/>
      </c>
      <c r="Y12" s="50" t="str">
        <f>IF(AND('Mapa final'!$AI$48="Muy Alta",'Mapa final'!$AK$48="Moderado"),CONCATENATE("R7C",'Mapa final'!$Y$48),"")</f>
        <v/>
      </c>
      <c r="Z12" s="50" t="str">
        <f>IF(AND('Mapa final'!$AI$49="Muy Alta",'Mapa final'!$AK$49="Moderado"),CONCATENATE("R7C",'Mapa final'!$Y$49),"")</f>
        <v/>
      </c>
      <c r="AA12" s="51" t="str">
        <f>IF(AND('Mapa final'!$AI$50="Muy Alta",'Mapa final'!$AK$50="Moderado"),CONCATENATE("R7C",'Mapa final'!$Y$50),"")</f>
        <v/>
      </c>
      <c r="AB12" s="49" t="str">
        <f>IF(AND('Mapa final'!$AI$45="Muy Alta",'Mapa final'!$AK$45="Mayor"),CONCATENATE("R7C",'Mapa final'!$Y$45),"")</f>
        <v/>
      </c>
      <c r="AC12" s="50" t="str">
        <f>IF(AND('Mapa final'!$AI$46="Muy Alta",'Mapa final'!$AK$46="Mayor"),CONCATENATE("R7C",'Mapa final'!$Y$46),"")</f>
        <v/>
      </c>
      <c r="AD12" s="50" t="str">
        <f>IF(AND('Mapa final'!$AI$47="Muy Alta",'Mapa final'!$AK$47="Mayor"),CONCATENATE("R7C",'Mapa final'!$Y$47),"")</f>
        <v/>
      </c>
      <c r="AE12" s="50" t="str">
        <f>IF(AND('Mapa final'!$AI$48="Muy Alta",'Mapa final'!$AK$48="Mayor"),CONCATENATE("R7C",'Mapa final'!$Y$48),"")</f>
        <v/>
      </c>
      <c r="AF12" s="50" t="str">
        <f>IF(AND('Mapa final'!$AI$49="Muy Alta",'Mapa final'!$AK$49="Mayor"),CONCATENATE("R7C",'Mapa final'!$Y$49),"")</f>
        <v/>
      </c>
      <c r="AG12" s="51" t="str">
        <f>IF(AND('Mapa final'!$AI$50="Muy Alta",'Mapa final'!$AK$50="Mayor"),CONCATENATE("R7C",'Mapa final'!$Y$50),"")</f>
        <v/>
      </c>
      <c r="AH12" s="52" t="str">
        <f>IF(AND('Mapa final'!$AI$45="Muy Alta",'Mapa final'!$AK$45="Catastrófico"),CONCATENATE("R7C",'Mapa final'!$Y$45),"")</f>
        <v/>
      </c>
      <c r="AI12" s="53" t="str">
        <f>IF(AND('Mapa final'!$AI$46="Muy Alta",'Mapa final'!$AK$46="Catastrófico"),CONCATENATE("R7C",'Mapa final'!$Y$46),"")</f>
        <v/>
      </c>
      <c r="AJ12" s="53" t="str">
        <f>IF(AND('Mapa final'!$AI$47="Muy Alta",'Mapa final'!$AK$47="Catastrófico"),CONCATENATE("R7C",'Mapa final'!$Y$47),"")</f>
        <v/>
      </c>
      <c r="AK12" s="53" t="str">
        <f>IF(AND('Mapa final'!$AI$48="Muy Alta",'Mapa final'!$AK$48="Catastrófico"),CONCATENATE("R7C",'Mapa final'!$Y$48),"")</f>
        <v/>
      </c>
      <c r="AL12" s="53" t="str">
        <f>IF(AND('Mapa final'!$AI$49="Muy Alta",'Mapa final'!$AK$49="Catastrófico"),CONCATENATE("R7C",'Mapa final'!$Y$49),"")</f>
        <v/>
      </c>
      <c r="AM12" s="54" t="str">
        <f>IF(AND('Mapa final'!$AI$50="Muy Alta",'Mapa final'!$AK$50="Catastrófico"),CONCATENATE("R7C",'Mapa final'!$Y$50),"")</f>
        <v/>
      </c>
      <c r="AN12" s="80"/>
      <c r="AO12" s="451"/>
      <c r="AP12" s="452"/>
      <c r="AQ12" s="452"/>
      <c r="AR12" s="452"/>
      <c r="AS12" s="452"/>
      <c r="AT12" s="453"/>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row>
    <row r="13" spans="1:91" ht="15" customHeight="1" x14ac:dyDescent="0.25">
      <c r="A13" s="80"/>
      <c r="B13" s="390"/>
      <c r="C13" s="390"/>
      <c r="D13" s="391"/>
      <c r="E13" s="431"/>
      <c r="F13" s="432"/>
      <c r="G13" s="432"/>
      <c r="H13" s="432"/>
      <c r="I13" s="433"/>
      <c r="J13" s="49" t="str">
        <f>IF(AND('Mapa final'!$AI$51="Muy Alta",'Mapa final'!$AK$51="Leve"),CONCATENATE("R8C",'Mapa final'!$Y$51),"")</f>
        <v/>
      </c>
      <c r="K13" s="50" t="str">
        <f>IF(AND('Mapa final'!$AI$52="Muy Alta",'Mapa final'!$AK$52="Leve"),CONCATENATE("R8C",'Mapa final'!$Y$52),"")</f>
        <v/>
      </c>
      <c r="L13" s="50" t="str">
        <f>IF(AND('Mapa final'!$AI$53="Muy Alta",'Mapa final'!$AK$53="Leve"),CONCATENATE("R8C",'Mapa final'!$Y$53),"")</f>
        <v/>
      </c>
      <c r="M13" s="50" t="str">
        <f>IF(AND('Mapa final'!$AI$54="Muy Alta",'Mapa final'!$AK$54="Leve"),CONCATENATE("R8C",'Mapa final'!$Y$54),"")</f>
        <v/>
      </c>
      <c r="N13" s="50" t="str">
        <f>IF(AND('Mapa final'!$AI$55="Muy Alta",'Mapa final'!$AK$55="Leve"),CONCATENATE("R8C",'Mapa final'!$Y$55),"")</f>
        <v/>
      </c>
      <c r="O13" s="51" t="str">
        <f>IF(AND('Mapa final'!$AI$56="Muy Alta",'Mapa final'!$AK$56="Leve"),CONCATENATE("R8C",'Mapa final'!$Y$56),"")</f>
        <v/>
      </c>
      <c r="P13" s="49" t="str">
        <f>IF(AND('Mapa final'!$AI$51="Muy Alta",'Mapa final'!$AK$51="Menor"),CONCATENATE("R8C",'Mapa final'!$Y$51),"")</f>
        <v/>
      </c>
      <c r="Q13" s="50" t="str">
        <f>IF(AND('Mapa final'!$AI$52="Muy Alta",'Mapa final'!$AK$52="Menor"),CONCATENATE("R8C",'Mapa final'!$Y$52),"")</f>
        <v/>
      </c>
      <c r="R13" s="50" t="str">
        <f>IF(AND('Mapa final'!$AI$53="Muy Alta",'Mapa final'!$AK$53="Menor"),CONCATENATE("R8C",'Mapa final'!$Y$53),"")</f>
        <v/>
      </c>
      <c r="S13" s="50" t="str">
        <f>IF(AND('Mapa final'!$AI$54="Muy Alta",'Mapa final'!$AK$54="Menor"),CONCATENATE("R8C",'Mapa final'!$Y$54),"")</f>
        <v/>
      </c>
      <c r="T13" s="50" t="str">
        <f>IF(AND('Mapa final'!$AI$55="Muy Alta",'Mapa final'!$AK$55="Menor"),CONCATENATE("R8C",'Mapa final'!$Y$55),"")</f>
        <v/>
      </c>
      <c r="U13" s="51" t="str">
        <f>IF(AND('Mapa final'!$AI$56="Muy Alta",'Mapa final'!$AK$56="Menor"),CONCATENATE("R8C",'Mapa final'!$Y$56),"")</f>
        <v/>
      </c>
      <c r="V13" s="49" t="str">
        <f>IF(AND('Mapa final'!$AI$51="Muy Alta",'Mapa final'!$AK$51="Moderado"),CONCATENATE("R8C",'Mapa final'!$Y$51),"")</f>
        <v/>
      </c>
      <c r="W13" s="50" t="str">
        <f>IF(AND('Mapa final'!$AI$52="Muy Alta",'Mapa final'!$AK$52="Moderado"),CONCATENATE("R8C",'Mapa final'!$Y$52),"")</f>
        <v/>
      </c>
      <c r="X13" s="50" t="str">
        <f>IF(AND('Mapa final'!$AI$53="Muy Alta",'Mapa final'!$AK$53="Moderado"),CONCATENATE("R8C",'Mapa final'!$Y$53),"")</f>
        <v/>
      </c>
      <c r="Y13" s="50" t="str">
        <f>IF(AND('Mapa final'!$AI$54="Muy Alta",'Mapa final'!$AK$54="Moderado"),CONCATENATE("R8C",'Mapa final'!$Y$54),"")</f>
        <v/>
      </c>
      <c r="Z13" s="50" t="str">
        <f>IF(AND('Mapa final'!$AI$55="Muy Alta",'Mapa final'!$AK$55="Moderado"),CONCATENATE("R8C",'Mapa final'!$Y$55),"")</f>
        <v/>
      </c>
      <c r="AA13" s="51" t="str">
        <f>IF(AND('Mapa final'!$AI$56="Muy Alta",'Mapa final'!$AK$56="Moderado"),CONCATENATE("R8C",'Mapa final'!$Y$56),"")</f>
        <v/>
      </c>
      <c r="AB13" s="49" t="str">
        <f>IF(AND('Mapa final'!$AI$51="Muy Alta",'Mapa final'!$AK$51="Mayor"),CONCATENATE("R8C",'Mapa final'!$Y$51),"")</f>
        <v/>
      </c>
      <c r="AC13" s="50" t="str">
        <f>IF(AND('Mapa final'!$AI$52="Muy Alta",'Mapa final'!$AK$52="Mayor"),CONCATENATE("R8C",'Mapa final'!$Y$52),"")</f>
        <v/>
      </c>
      <c r="AD13" s="50" t="str">
        <f>IF(AND('Mapa final'!$AI$53="Muy Alta",'Mapa final'!$AK$53="Mayor"),CONCATENATE("R8C",'Mapa final'!$Y$53),"")</f>
        <v/>
      </c>
      <c r="AE13" s="50" t="str">
        <f>IF(AND('Mapa final'!$AI$54="Muy Alta",'Mapa final'!$AK$54="Mayor"),CONCATENATE("R8C",'Mapa final'!$Y$54),"")</f>
        <v/>
      </c>
      <c r="AF13" s="50" t="str">
        <f>IF(AND('Mapa final'!$AI$55="Muy Alta",'Mapa final'!$AK$55="Mayor"),CONCATENATE("R8C",'Mapa final'!$Y$55),"")</f>
        <v/>
      </c>
      <c r="AG13" s="51" t="str">
        <f>IF(AND('Mapa final'!$AI$56="Muy Alta",'Mapa final'!$AK$56="Mayor"),CONCATENATE("R8C",'Mapa final'!$Y$56),"")</f>
        <v/>
      </c>
      <c r="AH13" s="52" t="str">
        <f>IF(AND('Mapa final'!$AI$51="Muy Alta",'Mapa final'!$AK$51="Catastrófico"),CONCATENATE("R8C",'Mapa final'!$Y$51),"")</f>
        <v/>
      </c>
      <c r="AI13" s="53" t="str">
        <f>IF(AND('Mapa final'!$AI$52="Muy Alta",'Mapa final'!$AK$52="Catastrófico"),CONCATENATE("R8C",'Mapa final'!$Y$52),"")</f>
        <v/>
      </c>
      <c r="AJ13" s="53" t="str">
        <f>IF(AND('Mapa final'!$AI$53="Muy Alta",'Mapa final'!$AK$53="Catastrófico"),CONCATENATE("R8C",'Mapa final'!$Y$53),"")</f>
        <v/>
      </c>
      <c r="AK13" s="53" t="str">
        <f>IF(AND('Mapa final'!$AI$54="Muy Alta",'Mapa final'!$AK$54="Catastrófico"),CONCATENATE("R8C",'Mapa final'!$Y$54),"")</f>
        <v/>
      </c>
      <c r="AL13" s="53" t="str">
        <f>IF(AND('Mapa final'!$AI$55="Muy Alta",'Mapa final'!$AK$55="Catastrófico"),CONCATENATE("R8C",'Mapa final'!$Y$55),"")</f>
        <v/>
      </c>
      <c r="AM13" s="54" t="str">
        <f>IF(AND('Mapa final'!$AI$56="Muy Alta",'Mapa final'!$AK$56="Catastrófico"),CONCATENATE("R8C",'Mapa final'!$Y$56),"")</f>
        <v/>
      </c>
      <c r="AN13" s="80"/>
      <c r="AO13" s="451"/>
      <c r="AP13" s="452"/>
      <c r="AQ13" s="452"/>
      <c r="AR13" s="452"/>
      <c r="AS13" s="452"/>
      <c r="AT13" s="453"/>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row>
    <row r="14" spans="1:91" ht="15" customHeight="1" x14ac:dyDescent="0.25">
      <c r="A14" s="80"/>
      <c r="B14" s="390"/>
      <c r="C14" s="390"/>
      <c r="D14" s="391"/>
      <c r="E14" s="431"/>
      <c r="F14" s="432"/>
      <c r="G14" s="432"/>
      <c r="H14" s="432"/>
      <c r="I14" s="433"/>
      <c r="J14" s="49" t="str">
        <f>IF(AND('Mapa final'!$AI$57="Muy Alta",'Mapa final'!$AK$57="Leve"),CONCATENATE("R9C",'Mapa final'!$Y$57),"")</f>
        <v/>
      </c>
      <c r="K14" s="50" t="str">
        <f>IF(AND('Mapa final'!$AI$58="Muy Alta",'Mapa final'!$AK$58="Leve"),CONCATENATE("R9C",'Mapa final'!$Y$58),"")</f>
        <v/>
      </c>
      <c r="L14" s="50" t="str">
        <f>IF(AND('Mapa final'!$AI$59="Muy Alta",'Mapa final'!$AK$59="Leve"),CONCATENATE("R9C",'Mapa final'!$Y$59),"")</f>
        <v/>
      </c>
      <c r="M14" s="50" t="str">
        <f>IF(AND('Mapa final'!$AI$60="Muy Alta",'Mapa final'!$AK$60="Leve"),CONCATENATE("R9C",'Mapa final'!$Y$60),"")</f>
        <v/>
      </c>
      <c r="N14" s="50" t="str">
        <f>IF(AND('Mapa final'!$AI$61="Muy Alta",'Mapa final'!$AK$61="Leve"),CONCATENATE("R9C",'Mapa final'!$Y$61),"")</f>
        <v/>
      </c>
      <c r="O14" s="51" t="str">
        <f>IF(AND('Mapa final'!$AI$62="Muy Alta",'Mapa final'!$AK$62="Leve"),CONCATENATE("R9C",'Mapa final'!$Y$62),"")</f>
        <v/>
      </c>
      <c r="P14" s="49" t="str">
        <f>IF(AND('Mapa final'!$AI$57="Muy Alta",'Mapa final'!$AK$57="Menor"),CONCATENATE("R9C",'Mapa final'!$Y$57),"")</f>
        <v/>
      </c>
      <c r="Q14" s="50" t="str">
        <f>IF(AND('Mapa final'!$AI$58="Muy Alta",'Mapa final'!$AK$58="Menor"),CONCATENATE("R9C",'Mapa final'!$Y$58),"")</f>
        <v/>
      </c>
      <c r="R14" s="50" t="str">
        <f>IF(AND('Mapa final'!$AI$59="Muy Alta",'Mapa final'!$AK$59="Menor"),CONCATENATE("R9C",'Mapa final'!$Y$59),"")</f>
        <v/>
      </c>
      <c r="S14" s="50" t="str">
        <f>IF(AND('Mapa final'!$AI$60="Muy Alta",'Mapa final'!$AK$60="Menor"),CONCATENATE("R9C",'Mapa final'!$Y$60),"")</f>
        <v/>
      </c>
      <c r="T14" s="50" t="str">
        <f>IF(AND('Mapa final'!$AI$61="Muy Alta",'Mapa final'!$AK$61="Menor"),CONCATENATE("R9C",'Mapa final'!$Y$61),"")</f>
        <v/>
      </c>
      <c r="U14" s="51" t="str">
        <f>IF(AND('Mapa final'!$AI$62="Muy Alta",'Mapa final'!$AK$62="Menor"),CONCATENATE("R9C",'Mapa final'!$Y$62),"")</f>
        <v/>
      </c>
      <c r="V14" s="49" t="str">
        <f>IF(AND('Mapa final'!$AI$57="Muy Alta",'Mapa final'!$AK$57="Moderado"),CONCATENATE("R9C",'Mapa final'!$Y$57),"")</f>
        <v/>
      </c>
      <c r="W14" s="50" t="str">
        <f>IF(AND('Mapa final'!$AI$58="Muy Alta",'Mapa final'!$AK$58="Moderado"),CONCATENATE("R9C",'Mapa final'!$Y$58),"")</f>
        <v/>
      </c>
      <c r="X14" s="50" t="str">
        <f>IF(AND('Mapa final'!$AI$59="Muy Alta",'Mapa final'!$AK$59="Moderado"),CONCATENATE("R9C",'Mapa final'!$Y$59),"")</f>
        <v/>
      </c>
      <c r="Y14" s="50" t="str">
        <f>IF(AND('Mapa final'!$AI$60="Muy Alta",'Mapa final'!$AK$60="Moderado"),CONCATENATE("R9C",'Mapa final'!$Y$60),"")</f>
        <v/>
      </c>
      <c r="Z14" s="50" t="str">
        <f>IF(AND('Mapa final'!$AI$61="Muy Alta",'Mapa final'!$AK$61="Moderado"),CONCATENATE("R9C",'Mapa final'!$Y$61),"")</f>
        <v/>
      </c>
      <c r="AA14" s="51" t="str">
        <f>IF(AND('Mapa final'!$AI$62="Muy Alta",'Mapa final'!$AK$62="Moderado"),CONCATENATE("R9C",'Mapa final'!$Y$62),"")</f>
        <v/>
      </c>
      <c r="AB14" s="49" t="str">
        <f>IF(AND('Mapa final'!$AI$57="Muy Alta",'Mapa final'!$AK$57="Mayor"),CONCATENATE("R9C",'Mapa final'!$Y$57),"")</f>
        <v/>
      </c>
      <c r="AC14" s="50" t="str">
        <f>IF(AND('Mapa final'!$AI$58="Muy Alta",'Mapa final'!$AK$58="Mayor"),CONCATENATE("R9C",'Mapa final'!$Y$58),"")</f>
        <v/>
      </c>
      <c r="AD14" s="50" t="str">
        <f>IF(AND('Mapa final'!$AI$59="Muy Alta",'Mapa final'!$AK$59="Mayor"),CONCATENATE("R9C",'Mapa final'!$Y$59),"")</f>
        <v/>
      </c>
      <c r="AE14" s="50" t="str">
        <f>IF(AND('Mapa final'!$AI$60="Muy Alta",'Mapa final'!$AK$60="Mayor"),CONCATENATE("R9C",'Mapa final'!$Y$60),"")</f>
        <v/>
      </c>
      <c r="AF14" s="50" t="str">
        <f>IF(AND('Mapa final'!$AI$61="Muy Alta",'Mapa final'!$AK$61="Mayor"),CONCATENATE("R9C",'Mapa final'!$Y$61),"")</f>
        <v/>
      </c>
      <c r="AG14" s="51" t="str">
        <f>IF(AND('Mapa final'!$AI$62="Muy Alta",'Mapa final'!$AK$62="Mayor"),CONCATENATE("R9C",'Mapa final'!$Y$62),"")</f>
        <v/>
      </c>
      <c r="AH14" s="52" t="str">
        <f>IF(AND('Mapa final'!$AI$57="Muy Alta",'Mapa final'!$AK$57="Catastrófico"),CONCATENATE("R9C",'Mapa final'!$Y$57),"")</f>
        <v/>
      </c>
      <c r="AI14" s="53" t="str">
        <f>IF(AND('Mapa final'!$AI$58="Muy Alta",'Mapa final'!$AK$58="Catastrófico"),CONCATENATE("R9C",'Mapa final'!$Y$58),"")</f>
        <v/>
      </c>
      <c r="AJ14" s="53" t="str">
        <f>IF(AND('Mapa final'!$AI$59="Muy Alta",'Mapa final'!$AK$59="Catastrófico"),CONCATENATE("R9C",'Mapa final'!$Y$59),"")</f>
        <v/>
      </c>
      <c r="AK14" s="53" t="str">
        <f>IF(AND('Mapa final'!$AI$60="Muy Alta",'Mapa final'!$AK$60="Catastrófico"),CONCATENATE("R9C",'Mapa final'!$Y$60),"")</f>
        <v/>
      </c>
      <c r="AL14" s="53" t="str">
        <f>IF(AND('Mapa final'!$AI$61="Muy Alta",'Mapa final'!$AK$61="Catastrófico"),CONCATENATE("R9C",'Mapa final'!$Y$61),"")</f>
        <v/>
      </c>
      <c r="AM14" s="54" t="str">
        <f>IF(AND('Mapa final'!$AI$62="Muy Alta",'Mapa final'!$AK$62="Catastrófico"),CONCATENATE("R9C",'Mapa final'!$Y$62),"")</f>
        <v/>
      </c>
      <c r="AN14" s="80"/>
      <c r="AO14" s="451"/>
      <c r="AP14" s="452"/>
      <c r="AQ14" s="452"/>
      <c r="AR14" s="452"/>
      <c r="AS14" s="452"/>
      <c r="AT14" s="453"/>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row>
    <row r="15" spans="1:91" ht="15.75" customHeight="1" thickBot="1" x14ac:dyDescent="0.3">
      <c r="A15" s="80"/>
      <c r="B15" s="390"/>
      <c r="C15" s="390"/>
      <c r="D15" s="391"/>
      <c r="E15" s="434"/>
      <c r="F15" s="435"/>
      <c r="G15" s="435"/>
      <c r="H15" s="435"/>
      <c r="I15" s="436"/>
      <c r="J15" s="55" t="str">
        <f>IF(AND('Mapa final'!$AI$63="Muy Alta",'Mapa final'!$AK$63="Leve"),CONCATENATE("R10C",'Mapa final'!$Y$63),"")</f>
        <v/>
      </c>
      <c r="K15" s="56" t="str">
        <f>IF(AND('Mapa final'!$AI$64="Muy Alta",'Mapa final'!$AK$64="Leve"),CONCATENATE("R10C",'Mapa final'!$Y$64),"")</f>
        <v/>
      </c>
      <c r="L15" s="56" t="str">
        <f>IF(AND('Mapa final'!$AI$65="Muy Alta",'Mapa final'!$AK$65="Leve"),CONCATENATE("R10C",'Mapa final'!$Y$65),"")</f>
        <v/>
      </c>
      <c r="M15" s="56" t="str">
        <f>IF(AND('Mapa final'!$AI$66="Muy Alta",'Mapa final'!$AK$66="Leve"),CONCATENATE("R10C",'Mapa final'!$Y$66),"")</f>
        <v/>
      </c>
      <c r="N15" s="56" t="str">
        <f>IF(AND('Mapa final'!$AI$67="Muy Alta",'Mapa final'!$AK$67="Leve"),CONCATENATE("R10C",'Mapa final'!$Y$67),"")</f>
        <v/>
      </c>
      <c r="O15" s="57" t="str">
        <f>IF(AND('Mapa final'!$AI$68="Muy Alta",'Mapa final'!$AK$68="Leve"),CONCATENATE("R10C",'Mapa final'!$Y$68),"")</f>
        <v/>
      </c>
      <c r="P15" s="49" t="str">
        <f>IF(AND('Mapa final'!$AI$63="Muy Alta",'Mapa final'!$AK$63="Menor"),CONCATENATE("R10C",'Mapa final'!$Y$63),"")</f>
        <v/>
      </c>
      <c r="Q15" s="50" t="str">
        <f>IF(AND('Mapa final'!$AI$64="Muy Alta",'Mapa final'!$AK$64="Menor"),CONCATENATE("R10C",'Mapa final'!$Y$64),"")</f>
        <v/>
      </c>
      <c r="R15" s="50" t="str">
        <f>IF(AND('Mapa final'!$AI$65="Muy Alta",'Mapa final'!$AK$65="Menor"),CONCATENATE("R10C",'Mapa final'!$Y$65),"")</f>
        <v/>
      </c>
      <c r="S15" s="50" t="str">
        <f>IF(AND('Mapa final'!$AI$66="Muy Alta",'Mapa final'!$AK$66="Menor"),CONCATENATE("R10C",'Mapa final'!$Y$66),"")</f>
        <v/>
      </c>
      <c r="T15" s="50" t="str">
        <f>IF(AND('Mapa final'!$AI$67="Muy Alta",'Mapa final'!$AK$67="Menor"),CONCATENATE("R10C",'Mapa final'!$Y$67),"")</f>
        <v/>
      </c>
      <c r="U15" s="51" t="str">
        <f>IF(AND('Mapa final'!$AI$68="Muy Alta",'Mapa final'!$AK$68="Menor"),CONCATENATE("R10C",'Mapa final'!$Y$68),"")</f>
        <v/>
      </c>
      <c r="V15" s="55" t="str">
        <f>IF(AND('Mapa final'!$AI$63="Muy Alta",'Mapa final'!$AK$63="Moderado"),CONCATENATE("R10C",'Mapa final'!$Y$63),"")</f>
        <v/>
      </c>
      <c r="W15" s="56" t="str">
        <f>IF(AND('Mapa final'!$AI$64="Muy Alta",'Mapa final'!$AK$64="Moderado"),CONCATENATE("R10C",'Mapa final'!$Y$64),"")</f>
        <v/>
      </c>
      <c r="X15" s="56" t="str">
        <f>IF(AND('Mapa final'!$AI$65="Muy Alta",'Mapa final'!$AK$65="Moderado"),CONCATENATE("R10C",'Mapa final'!$Y$65),"")</f>
        <v/>
      </c>
      <c r="Y15" s="56" t="str">
        <f>IF(AND('Mapa final'!$AI$66="Muy Alta",'Mapa final'!$AK$66="Moderado"),CONCATENATE("R10C",'Mapa final'!$Y$66),"")</f>
        <v/>
      </c>
      <c r="Z15" s="56" t="str">
        <f>IF(AND('Mapa final'!$AI$67="Muy Alta",'Mapa final'!$AK$67="Moderado"),CONCATENATE("R10C",'Mapa final'!$Y$67),"")</f>
        <v/>
      </c>
      <c r="AA15" s="57" t="str">
        <f>IF(AND('Mapa final'!$AI$68="Muy Alta",'Mapa final'!$AK$68="Moderado"),CONCATENATE("R10C",'Mapa final'!$Y$68),"")</f>
        <v/>
      </c>
      <c r="AB15" s="49" t="str">
        <f>IF(AND('Mapa final'!$AI$63="Muy Alta",'Mapa final'!$AK$63="Mayor"),CONCATENATE("R10C",'Mapa final'!$Y$63),"")</f>
        <v/>
      </c>
      <c r="AC15" s="50" t="str">
        <f>IF(AND('Mapa final'!$AI$64="Muy Alta",'Mapa final'!$AK$64="Mayor"),CONCATENATE("R10C",'Mapa final'!$Y$64),"")</f>
        <v/>
      </c>
      <c r="AD15" s="50" t="str">
        <f>IF(AND('Mapa final'!$AI$65="Muy Alta",'Mapa final'!$AK$65="Mayor"),CONCATENATE("R10C",'Mapa final'!$Y$65),"")</f>
        <v/>
      </c>
      <c r="AE15" s="50" t="str">
        <f>IF(AND('Mapa final'!$AI$66="Muy Alta",'Mapa final'!$AK$66="Mayor"),CONCATENATE("R10C",'Mapa final'!$Y$66),"")</f>
        <v/>
      </c>
      <c r="AF15" s="50" t="str">
        <f>IF(AND('Mapa final'!$AI$67="Muy Alta",'Mapa final'!$AK$67="Mayor"),CONCATENATE("R10C",'Mapa final'!$Y$67),"")</f>
        <v/>
      </c>
      <c r="AG15" s="51" t="str">
        <f>IF(AND('Mapa final'!$AI$68="Muy Alta",'Mapa final'!$AK$68="Mayor"),CONCATENATE("R10C",'Mapa final'!$Y$68),"")</f>
        <v/>
      </c>
      <c r="AH15" s="58" t="str">
        <f>IF(AND('Mapa final'!$AI$63="Muy Alta",'Mapa final'!$AK$63="Catastrófico"),CONCATENATE("R10C",'Mapa final'!$Y$63),"")</f>
        <v/>
      </c>
      <c r="AI15" s="59" t="str">
        <f>IF(AND('Mapa final'!$AI$64="Muy Alta",'Mapa final'!$AK$64="Catastrófico"),CONCATENATE("R10C",'Mapa final'!$Y$64),"")</f>
        <v/>
      </c>
      <c r="AJ15" s="59" t="str">
        <f>IF(AND('Mapa final'!$AI$65="Muy Alta",'Mapa final'!$AK$65="Catastrófico"),CONCATENATE("R10C",'Mapa final'!$Y$65),"")</f>
        <v/>
      </c>
      <c r="AK15" s="59" t="str">
        <f>IF(AND('Mapa final'!$AI$66="Muy Alta",'Mapa final'!$AK$66="Catastrófico"),CONCATENATE("R10C",'Mapa final'!$Y$66),"")</f>
        <v/>
      </c>
      <c r="AL15" s="59" t="str">
        <f>IF(AND('Mapa final'!$AI$67="Muy Alta",'Mapa final'!$AK$67="Catastrófico"),CONCATENATE("R10C",'Mapa final'!$Y$67),"")</f>
        <v/>
      </c>
      <c r="AM15" s="60" t="str">
        <f>IF(AND('Mapa final'!$AI$68="Muy Alta",'Mapa final'!$AK$68="Catastrófico"),CONCATENATE("R10C",'Mapa final'!$Y$68),"")</f>
        <v/>
      </c>
      <c r="AN15" s="80"/>
      <c r="AO15" s="454"/>
      <c r="AP15" s="455"/>
      <c r="AQ15" s="455"/>
      <c r="AR15" s="455"/>
      <c r="AS15" s="455"/>
      <c r="AT15" s="456"/>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row>
    <row r="16" spans="1:91" ht="15" customHeight="1" x14ac:dyDescent="0.25">
      <c r="A16" s="80"/>
      <c r="B16" s="390"/>
      <c r="C16" s="390"/>
      <c r="D16" s="391"/>
      <c r="E16" s="428" t="s">
        <v>128</v>
      </c>
      <c r="F16" s="429"/>
      <c r="G16" s="429"/>
      <c r="H16" s="429"/>
      <c r="I16" s="429"/>
      <c r="J16" s="61" t="str">
        <f>IF(AND('Mapa final'!$AI$11="Alta",'Mapa final'!$AK$11="Leve"),CONCATENATE("R1C",'Mapa final'!$Y$11),"")</f>
        <v/>
      </c>
      <c r="K16" s="62" t="str">
        <f>IF(AND('Mapa final'!$AI$12="Alta",'Mapa final'!$AK$12="Leve"),CONCATENATE("R1C",'Mapa final'!$Y$12),"")</f>
        <v/>
      </c>
      <c r="L16" s="62" t="str">
        <f>IF(AND('Mapa final'!$AI$13="Alta",'Mapa final'!$AK$13="Leve"),CONCATENATE("R1C",'Mapa final'!$Y$13),"")</f>
        <v/>
      </c>
      <c r="M16" s="62" t="str">
        <f>IF(AND('Mapa final'!$AI$14="Alta",'Mapa final'!$AK$14="Leve"),CONCATENATE("R1C",'Mapa final'!$Y$14),"")</f>
        <v/>
      </c>
      <c r="N16" s="62" t="e">
        <f>IF(AND('Mapa final'!#REF!="Alta",'Mapa final'!#REF!="Leve"),CONCATENATE("R1C",'Mapa final'!#REF!),"")</f>
        <v>#REF!</v>
      </c>
      <c r="O16" s="63" t="e">
        <f>IF(AND('Mapa final'!#REF!="Alta",'Mapa final'!#REF!="Leve"),CONCATENATE("R1C",'Mapa final'!#REF!),"")</f>
        <v>#REF!</v>
      </c>
      <c r="P16" s="61" t="str">
        <f>IF(AND('Mapa final'!$AI$11="Alta",'Mapa final'!$AK$11="Menor"),CONCATENATE("R1C",'Mapa final'!$Y$11),"")</f>
        <v/>
      </c>
      <c r="Q16" s="62" t="str">
        <f>IF(AND('Mapa final'!$AI$12="Alta",'Mapa final'!$AK$12="Menor"),CONCATENATE("R1C",'Mapa final'!$Y$12),"")</f>
        <v/>
      </c>
      <c r="R16" s="62" t="str">
        <f>IF(AND('Mapa final'!$AI$13="Alta",'Mapa final'!$AK$13="Menor"),CONCATENATE("R1C",'Mapa final'!$Y$13),"")</f>
        <v/>
      </c>
      <c r="S16" s="62" t="str">
        <f>IF(AND('Mapa final'!$AI$14="Alta",'Mapa final'!$AK$14="Menor"),CONCATENATE("R1C",'Mapa final'!$Y$14),"")</f>
        <v/>
      </c>
      <c r="T16" s="62" t="e">
        <f>IF(AND('Mapa final'!#REF!="Alta",'Mapa final'!#REF!="Menor"),CONCATENATE("R1C",'Mapa final'!#REF!),"")</f>
        <v>#REF!</v>
      </c>
      <c r="U16" s="63" t="e">
        <f>IF(AND('Mapa final'!#REF!="Alta",'Mapa final'!#REF!="Menor"),CONCATENATE("R1C",'Mapa final'!#REF!),"")</f>
        <v>#REF!</v>
      </c>
      <c r="V16" s="43" t="str">
        <f>IF(AND('Mapa final'!$AI$11="Alta",'Mapa final'!$AK$11="Moderado"),CONCATENATE("R1C",'Mapa final'!$Y$11),"")</f>
        <v/>
      </c>
      <c r="W16" s="44" t="str">
        <f>IF(AND('Mapa final'!$AI$12="Alta",'Mapa final'!$AK$12="Moderado"),CONCATENATE("R1C",'Mapa final'!$Y$12),"")</f>
        <v/>
      </c>
      <c r="X16" s="44" t="str">
        <f>IF(AND('Mapa final'!$AI$13="Alta",'Mapa final'!$AK$13="Moderado"),CONCATENATE("R1C",'Mapa final'!$Y$13),"")</f>
        <v/>
      </c>
      <c r="Y16" s="44" t="str">
        <f>IF(AND('Mapa final'!$AI$14="Alta",'Mapa final'!$AK$14="Moderado"),CONCATENATE("R1C",'Mapa final'!$Y$14),"")</f>
        <v/>
      </c>
      <c r="Z16" s="44" t="e">
        <f>IF(AND('Mapa final'!#REF!="Alta",'Mapa final'!#REF!="Moderado"),CONCATENATE("R1C",'Mapa final'!#REF!),"")</f>
        <v>#REF!</v>
      </c>
      <c r="AA16" s="45" t="e">
        <f>IF(AND('Mapa final'!#REF!="Alta",'Mapa final'!#REF!="Moderado"),CONCATENATE("R1C",'Mapa final'!#REF!),"")</f>
        <v>#REF!</v>
      </c>
      <c r="AB16" s="43" t="str">
        <f>IF(AND('Mapa final'!$AI$11="Alta",'Mapa final'!$AK$11="Mayor"),CONCATENATE("R1C",'Mapa final'!$Y$11),"")</f>
        <v/>
      </c>
      <c r="AC16" s="44" t="str">
        <f>IF(AND('Mapa final'!$AI$12="Alta",'Mapa final'!$AK$12="Mayor"),CONCATENATE("R1C",'Mapa final'!$Y$12),"")</f>
        <v/>
      </c>
      <c r="AD16" s="44" t="str">
        <f>IF(AND('Mapa final'!$AI$13="Alta",'Mapa final'!$AK$13="Mayor"),CONCATENATE("R1C",'Mapa final'!$Y$13),"")</f>
        <v/>
      </c>
      <c r="AE16" s="44" t="str">
        <f>IF(AND('Mapa final'!$AI$14="Alta",'Mapa final'!$AK$14="Mayor"),CONCATENATE("R1C",'Mapa final'!$Y$14),"")</f>
        <v/>
      </c>
      <c r="AF16" s="44" t="e">
        <f>IF(AND('Mapa final'!#REF!="Alta",'Mapa final'!#REF!="Mayor"),CONCATENATE("R1C",'Mapa final'!#REF!),"")</f>
        <v>#REF!</v>
      </c>
      <c r="AG16" s="45" t="e">
        <f>IF(AND('Mapa final'!#REF!="Alta",'Mapa final'!#REF!="Mayor"),CONCATENATE("R1C",'Mapa final'!#REF!),"")</f>
        <v>#REF!</v>
      </c>
      <c r="AH16" s="46" t="str">
        <f>IF(AND('Mapa final'!$AI$11="Alta",'Mapa final'!$AK$11="Catastrófico"),CONCATENATE("R1C",'Mapa final'!$Y$11),"")</f>
        <v/>
      </c>
      <c r="AI16" s="47" t="str">
        <f>IF(AND('Mapa final'!$AI$12="Alta",'Mapa final'!$AK$12="Catastrófico"),CONCATENATE("R1C",'Mapa final'!$Y$12),"")</f>
        <v/>
      </c>
      <c r="AJ16" s="47" t="str">
        <f>IF(AND('Mapa final'!$AI$13="Alta",'Mapa final'!$AK$13="Catastrófico"),CONCATENATE("R1C",'Mapa final'!$Y$13),"")</f>
        <v/>
      </c>
      <c r="AK16" s="47" t="str">
        <f>IF(AND('Mapa final'!$AI$14="Alta",'Mapa final'!$AK$14="Catastrófico"),CONCATENATE("R1C",'Mapa final'!$Y$14),"")</f>
        <v/>
      </c>
      <c r="AL16" s="47" t="e">
        <f>IF(AND('Mapa final'!#REF!="Alta",'Mapa final'!#REF!="Catastrófico"),CONCATENATE("R1C",'Mapa final'!#REF!),"")</f>
        <v>#REF!</v>
      </c>
      <c r="AM16" s="48" t="e">
        <f>IF(AND('Mapa final'!#REF!="Alta",'Mapa final'!#REF!="Catastrófico"),CONCATENATE("R1C",'Mapa final'!#REF!),"")</f>
        <v>#REF!</v>
      </c>
      <c r="AN16" s="80"/>
      <c r="AO16" s="438" t="s">
        <v>129</v>
      </c>
      <c r="AP16" s="439"/>
      <c r="AQ16" s="439"/>
      <c r="AR16" s="439"/>
      <c r="AS16" s="439"/>
      <c r="AT16" s="44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row>
    <row r="17" spans="1:76" ht="15" customHeight="1" x14ac:dyDescent="0.25">
      <c r="A17" s="80"/>
      <c r="B17" s="390"/>
      <c r="C17" s="390"/>
      <c r="D17" s="391"/>
      <c r="E17" s="447"/>
      <c r="F17" s="432"/>
      <c r="G17" s="432"/>
      <c r="H17" s="432"/>
      <c r="I17" s="432"/>
      <c r="J17" s="64" t="str">
        <f>IF(AND('Mapa final'!$AI$15="Alta",'Mapa final'!$AK$15="Leve"),CONCATENATE("R2C",'Mapa final'!$Y$15),"")</f>
        <v/>
      </c>
      <c r="K17" s="65" t="str">
        <f>IF(AND('Mapa final'!$AI$16="Alta",'Mapa final'!$AK$16="Leve"),CONCATENATE("R2C",'Mapa final'!$Y$16),"")</f>
        <v/>
      </c>
      <c r="L17" s="65" t="str">
        <f>IF(AND('Mapa final'!$AI$17="Alta",'Mapa final'!$AK$17="Leve"),CONCATENATE("R2C",'Mapa final'!$Y$17),"")</f>
        <v/>
      </c>
      <c r="M17" s="65" t="str">
        <f>IF(AND('Mapa final'!$AI$18="Alta",'Mapa final'!$AK$18="Leve"),CONCATENATE("R2C",'Mapa final'!$Y$18),"")</f>
        <v/>
      </c>
      <c r="N17" s="65" t="str">
        <f>IF(AND('Mapa final'!$AI$19="Alta",'Mapa final'!$AK$19="Leve"),CONCATENATE("R2C",'Mapa final'!$Y$19),"")</f>
        <v/>
      </c>
      <c r="O17" s="66" t="str">
        <f>IF(AND('Mapa final'!$AI$20="Alta",'Mapa final'!$AK$20="Leve"),CONCATENATE("R2C",'Mapa final'!$Y$20),"")</f>
        <v/>
      </c>
      <c r="P17" s="64" t="str">
        <f>IF(AND('Mapa final'!$AI$15="Alta",'Mapa final'!$AK$15="Menor"),CONCATENATE("R2C",'Mapa final'!$Y$15),"")</f>
        <v/>
      </c>
      <c r="Q17" s="65" t="str">
        <f>IF(AND('Mapa final'!$AI$16="Alta",'Mapa final'!$AK$16="Menor"),CONCATENATE("R2C",'Mapa final'!$Y$16),"")</f>
        <v/>
      </c>
      <c r="R17" s="65" t="str">
        <f>IF(AND('Mapa final'!$AI$17="Alta",'Mapa final'!$AK$17="Menor"),CONCATENATE("R2C",'Mapa final'!$Y$17),"")</f>
        <v/>
      </c>
      <c r="S17" s="65" t="str">
        <f>IF(AND('Mapa final'!$AI$18="Alta",'Mapa final'!$AK$18="Menor"),CONCATENATE("R2C",'Mapa final'!$Y$18),"")</f>
        <v/>
      </c>
      <c r="T17" s="65" t="str">
        <f>IF(AND('Mapa final'!$AI$19="Alta",'Mapa final'!$AK$19="Menor"),CONCATENATE("R2C",'Mapa final'!$Y$19),"")</f>
        <v/>
      </c>
      <c r="U17" s="66" t="str">
        <f>IF(AND('Mapa final'!$AI$20="Alta",'Mapa final'!$AK$20="Menor"),CONCATENATE("R2C",'Mapa final'!$Y$20),"")</f>
        <v/>
      </c>
      <c r="V17" s="49" t="str">
        <f>IF(AND('Mapa final'!$AI$15="Alta",'Mapa final'!$AK$15="Moderado"),CONCATENATE("R2C",'Mapa final'!$Y$15),"")</f>
        <v/>
      </c>
      <c r="W17" s="50" t="str">
        <f>IF(AND('Mapa final'!$AI$16="Alta",'Mapa final'!$AK$16="Moderado"),CONCATENATE("R2C",'Mapa final'!$Y$16),"")</f>
        <v/>
      </c>
      <c r="X17" s="50" t="str">
        <f>IF(AND('Mapa final'!$AI$17="Alta",'Mapa final'!$AK$17="Moderado"),CONCATENATE("R2C",'Mapa final'!$Y$17),"")</f>
        <v/>
      </c>
      <c r="Y17" s="50" t="str">
        <f>IF(AND('Mapa final'!$AI$18="Alta",'Mapa final'!$AK$18="Moderado"),CONCATENATE("R2C",'Mapa final'!$Y$18),"")</f>
        <v/>
      </c>
      <c r="Z17" s="50" t="str">
        <f>IF(AND('Mapa final'!$AI$19="Alta",'Mapa final'!$AK$19="Moderado"),CONCATENATE("R2C",'Mapa final'!$Y$19),"")</f>
        <v/>
      </c>
      <c r="AA17" s="51" t="str">
        <f>IF(AND('Mapa final'!$AI$20="Alta",'Mapa final'!$AK$20="Moderado"),CONCATENATE("R2C",'Mapa final'!$Y$20),"")</f>
        <v/>
      </c>
      <c r="AB17" s="49" t="str">
        <f>IF(AND('Mapa final'!$AI$15="Alta",'Mapa final'!$AK$15="Mayor"),CONCATENATE("R2C",'Mapa final'!$Y$15),"")</f>
        <v/>
      </c>
      <c r="AC17" s="50" t="str">
        <f>IF(AND('Mapa final'!$AI$16="Alta",'Mapa final'!$AK$16="Mayor"),CONCATENATE("R2C",'Mapa final'!$Y$16),"")</f>
        <v/>
      </c>
      <c r="AD17" s="50" t="str">
        <f>IF(AND('Mapa final'!$AI$17="Alta",'Mapa final'!$AK$17="Mayor"),CONCATENATE("R2C",'Mapa final'!$Y$17),"")</f>
        <v/>
      </c>
      <c r="AE17" s="50" t="str">
        <f>IF(AND('Mapa final'!$AI$18="Alta",'Mapa final'!$AK$18="Mayor"),CONCATENATE("R2C",'Mapa final'!$Y$18),"")</f>
        <v/>
      </c>
      <c r="AF17" s="50" t="str">
        <f>IF(AND('Mapa final'!$AI$19="Alta",'Mapa final'!$AK$19="Mayor"),CONCATENATE("R2C",'Mapa final'!$Y$19),"")</f>
        <v/>
      </c>
      <c r="AG17" s="51" t="str">
        <f>IF(AND('Mapa final'!$AI$20="Alta",'Mapa final'!$AK$20="Mayor"),CONCATENATE("R2C",'Mapa final'!$Y$20),"")</f>
        <v/>
      </c>
      <c r="AH17" s="52" t="str">
        <f>IF(AND('Mapa final'!$AI$15="Alta",'Mapa final'!$AK$15="Catastrófico"),CONCATENATE("R2C",'Mapa final'!$Y$15),"")</f>
        <v/>
      </c>
      <c r="AI17" s="53" t="str">
        <f>IF(AND('Mapa final'!$AI$16="Alta",'Mapa final'!$AK$16="Catastrófico"),CONCATENATE("R2C",'Mapa final'!$Y$16),"")</f>
        <v/>
      </c>
      <c r="AJ17" s="53" t="str">
        <f>IF(AND('Mapa final'!$AI$17="Alta",'Mapa final'!$AK$17="Catastrófico"),CONCATENATE("R2C",'Mapa final'!$Y$17),"")</f>
        <v/>
      </c>
      <c r="AK17" s="53" t="str">
        <f>IF(AND('Mapa final'!$AI$18="Alta",'Mapa final'!$AK$18="Catastrófico"),CONCATENATE("R2C",'Mapa final'!$Y$18),"")</f>
        <v/>
      </c>
      <c r="AL17" s="53" t="str">
        <f>IF(AND('Mapa final'!$AI$19="Alta",'Mapa final'!$AK$19="Catastrófico"),CONCATENATE("R2C",'Mapa final'!$Y$19),"")</f>
        <v/>
      </c>
      <c r="AM17" s="54" t="str">
        <f>IF(AND('Mapa final'!$AI$20="Alta",'Mapa final'!$AK$20="Catastrófico"),CONCATENATE("R2C",'Mapa final'!$Y$20),"")</f>
        <v/>
      </c>
      <c r="AN17" s="80"/>
      <c r="AO17" s="441"/>
      <c r="AP17" s="442"/>
      <c r="AQ17" s="442"/>
      <c r="AR17" s="442"/>
      <c r="AS17" s="442"/>
      <c r="AT17" s="443"/>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row>
    <row r="18" spans="1:76" ht="15" customHeight="1" x14ac:dyDescent="0.25">
      <c r="A18" s="80"/>
      <c r="B18" s="390"/>
      <c r="C18" s="390"/>
      <c r="D18" s="391"/>
      <c r="E18" s="431"/>
      <c r="F18" s="432"/>
      <c r="G18" s="432"/>
      <c r="H18" s="432"/>
      <c r="I18" s="432"/>
      <c r="J18" s="64" t="str">
        <f>IF(AND('Mapa final'!$AI$21="Alta",'Mapa final'!$AK$21="Leve"),CONCATENATE("R3C",'Mapa final'!$Y$21),"")</f>
        <v/>
      </c>
      <c r="K18" s="65" t="str">
        <f>IF(AND('Mapa final'!$AI$22="Alta",'Mapa final'!$AK$22="Leve"),CONCATENATE("R3C",'Mapa final'!$Y$22),"")</f>
        <v/>
      </c>
      <c r="L18" s="65" t="str">
        <f>IF(AND('Mapa final'!$AI$23="Alta",'Mapa final'!$AK$23="Leve"),CONCATENATE("R3C",'Mapa final'!$Y$23),"")</f>
        <v/>
      </c>
      <c r="M18" s="65" t="str">
        <f>IF(AND('Mapa final'!$AI$24="Alta",'Mapa final'!$AK$24="Leve"),CONCATENATE("R3C",'Mapa final'!$Y$24),"")</f>
        <v/>
      </c>
      <c r="N18" s="65" t="str">
        <f>IF(AND('Mapa final'!$AI$25="Alta",'Mapa final'!$AK$25="Leve"),CONCATENATE("R3C",'Mapa final'!$Y$25),"")</f>
        <v/>
      </c>
      <c r="O18" s="66" t="str">
        <f>IF(AND('Mapa final'!$AI$26="Alta",'Mapa final'!$AK$26="Leve"),CONCATENATE("R3C",'Mapa final'!$Y$26),"")</f>
        <v/>
      </c>
      <c r="P18" s="64" t="str">
        <f>IF(AND('Mapa final'!$AI$21="Alta",'Mapa final'!$AK$21="Menor"),CONCATENATE("R3C",'Mapa final'!$Y$21),"")</f>
        <v/>
      </c>
      <c r="Q18" s="65" t="str">
        <f>IF(AND('Mapa final'!$AI$22="Alta",'Mapa final'!$AK$22="Menor"),CONCATENATE("R3C",'Mapa final'!$Y$22),"")</f>
        <v/>
      </c>
      <c r="R18" s="65" t="str">
        <f>IF(AND('Mapa final'!$AI$23="Alta",'Mapa final'!$AK$23="Menor"),CONCATENATE("R3C",'Mapa final'!$Y$23),"")</f>
        <v/>
      </c>
      <c r="S18" s="65" t="str">
        <f>IF(AND('Mapa final'!$AI$24="Alta",'Mapa final'!$AK$24="Menor"),CONCATENATE("R3C",'Mapa final'!$Y$24),"")</f>
        <v/>
      </c>
      <c r="T18" s="65" t="str">
        <f>IF(AND('Mapa final'!$AI$25="Alta",'Mapa final'!$AK$25="Menor"),CONCATENATE("R3C",'Mapa final'!$Y$25),"")</f>
        <v/>
      </c>
      <c r="U18" s="66" t="str">
        <f>IF(AND('Mapa final'!$AI$26="Alta",'Mapa final'!$AK$26="Menor"),CONCATENATE("R3C",'Mapa final'!$Y$26),"")</f>
        <v/>
      </c>
      <c r="V18" s="49" t="str">
        <f>IF(AND('Mapa final'!$AI$21="Alta",'Mapa final'!$AK$21="Moderado"),CONCATENATE("R3C",'Mapa final'!$Y$21),"")</f>
        <v/>
      </c>
      <c r="W18" s="50" t="str">
        <f>IF(AND('Mapa final'!$AI$22="Alta",'Mapa final'!$AK$22="Moderado"),CONCATENATE("R3C",'Mapa final'!$Y$22),"")</f>
        <v/>
      </c>
      <c r="X18" s="50" t="str">
        <f>IF(AND('Mapa final'!$AI$23="Alta",'Mapa final'!$AK$23="Moderado"),CONCATENATE("R3C",'Mapa final'!$Y$23),"")</f>
        <v/>
      </c>
      <c r="Y18" s="50" t="str">
        <f>IF(AND('Mapa final'!$AI$24="Alta",'Mapa final'!$AK$24="Moderado"),CONCATENATE("R3C",'Mapa final'!$Y$24),"")</f>
        <v/>
      </c>
      <c r="Z18" s="50" t="str">
        <f>IF(AND('Mapa final'!$AI$25="Alta",'Mapa final'!$AK$25="Moderado"),CONCATENATE("R3C",'Mapa final'!$Y$25),"")</f>
        <v/>
      </c>
      <c r="AA18" s="51" t="str">
        <f>IF(AND('Mapa final'!$AI$26="Alta",'Mapa final'!$AK$26="Moderado"),CONCATENATE("R3C",'Mapa final'!$Y$26),"")</f>
        <v/>
      </c>
      <c r="AB18" s="49" t="str">
        <f>IF(AND('Mapa final'!$AI$21="Alta",'Mapa final'!$AK$21="Mayor"),CONCATENATE("R3C",'Mapa final'!$Y$21),"")</f>
        <v/>
      </c>
      <c r="AC18" s="50" t="str">
        <f>IF(AND('Mapa final'!$AI$22="Alta",'Mapa final'!$AK$22="Mayor"),CONCATENATE("R3C",'Mapa final'!$Y$22),"")</f>
        <v/>
      </c>
      <c r="AD18" s="50" t="str">
        <f>IF(AND('Mapa final'!$AI$23="Alta",'Mapa final'!$AK$23="Mayor"),CONCATENATE("R3C",'Mapa final'!$Y$23),"")</f>
        <v/>
      </c>
      <c r="AE18" s="50" t="str">
        <f>IF(AND('Mapa final'!$AI$24="Alta",'Mapa final'!$AK$24="Mayor"),CONCATENATE("R3C",'Mapa final'!$Y$24),"")</f>
        <v/>
      </c>
      <c r="AF18" s="50" t="str">
        <f>IF(AND('Mapa final'!$AI$25="Alta",'Mapa final'!$AK$25="Mayor"),CONCATENATE("R3C",'Mapa final'!$Y$25),"")</f>
        <v/>
      </c>
      <c r="AG18" s="51" t="str">
        <f>IF(AND('Mapa final'!$AI$26="Alta",'Mapa final'!$AK$26="Mayor"),CONCATENATE("R3C",'Mapa final'!$Y$26),"")</f>
        <v/>
      </c>
      <c r="AH18" s="52" t="str">
        <f>IF(AND('Mapa final'!$AI$21="Alta",'Mapa final'!$AK$21="Catastrófico"),CONCATENATE("R3C",'Mapa final'!$Y$21),"")</f>
        <v/>
      </c>
      <c r="AI18" s="53" t="str">
        <f>IF(AND('Mapa final'!$AI$22="Alta",'Mapa final'!$AK$22="Catastrófico"),CONCATENATE("R3C",'Mapa final'!$Y$22),"")</f>
        <v/>
      </c>
      <c r="AJ18" s="53" t="str">
        <f>IF(AND('Mapa final'!$AI$23="Alta",'Mapa final'!$AK$23="Catastrófico"),CONCATENATE("R3C",'Mapa final'!$Y$23),"")</f>
        <v/>
      </c>
      <c r="AK18" s="53" t="str">
        <f>IF(AND('Mapa final'!$AI$24="Alta",'Mapa final'!$AK$24="Catastrófico"),CONCATENATE("R3C",'Mapa final'!$Y$24),"")</f>
        <v/>
      </c>
      <c r="AL18" s="53" t="str">
        <f>IF(AND('Mapa final'!$AI$25="Alta",'Mapa final'!$AK$25="Catastrófico"),CONCATENATE("R3C",'Mapa final'!$Y$25),"")</f>
        <v/>
      </c>
      <c r="AM18" s="54" t="str">
        <f>IF(AND('Mapa final'!$AI$26="Alta",'Mapa final'!$AK$26="Catastrófico"),CONCATENATE("R3C",'Mapa final'!$Y$26),"")</f>
        <v/>
      </c>
      <c r="AN18" s="80"/>
      <c r="AO18" s="441"/>
      <c r="AP18" s="442"/>
      <c r="AQ18" s="442"/>
      <c r="AR18" s="442"/>
      <c r="AS18" s="442"/>
      <c r="AT18" s="443"/>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row>
    <row r="19" spans="1:76" ht="15" customHeight="1" x14ac:dyDescent="0.25">
      <c r="A19" s="80"/>
      <c r="B19" s="390"/>
      <c r="C19" s="390"/>
      <c r="D19" s="391"/>
      <c r="E19" s="431"/>
      <c r="F19" s="432"/>
      <c r="G19" s="432"/>
      <c r="H19" s="432"/>
      <c r="I19" s="432"/>
      <c r="J19" s="64" t="str">
        <f>IF(AND('Mapa final'!$AI$27="Alta",'Mapa final'!$AK$27="Leve"),CONCATENATE("R4C",'Mapa final'!$Y$27),"")</f>
        <v/>
      </c>
      <c r="K19" s="65" t="str">
        <f>IF(AND('Mapa final'!$AI$28="Alta",'Mapa final'!$AK$28="Leve"),CONCATENATE("R4C",'Mapa final'!$Y$28),"")</f>
        <v/>
      </c>
      <c r="L19" s="65" t="str">
        <f>IF(AND('Mapa final'!$AI$29="Alta",'Mapa final'!$AK$29="Leve"),CONCATENATE("R4C",'Mapa final'!$Y$29),"")</f>
        <v/>
      </c>
      <c r="M19" s="65" t="str">
        <f>IF(AND('Mapa final'!$AI$30="Alta",'Mapa final'!$AK$30="Leve"),CONCATENATE("R4C",'Mapa final'!$Y$30),"")</f>
        <v/>
      </c>
      <c r="N19" s="65" t="str">
        <f>IF(AND('Mapa final'!$AI$31="Alta",'Mapa final'!$AK$31="Leve"),CONCATENATE("R4C",'Mapa final'!$Y$31),"")</f>
        <v/>
      </c>
      <c r="O19" s="66" t="str">
        <f>IF(AND('Mapa final'!$AI$32="Alta",'Mapa final'!$AK$32="Leve"),CONCATENATE("R4C",'Mapa final'!$Y$32),"")</f>
        <v/>
      </c>
      <c r="P19" s="64" t="str">
        <f>IF(AND('Mapa final'!$AI$27="Alta",'Mapa final'!$AK$27="Menor"),CONCATENATE("R4C",'Mapa final'!$Y$27),"")</f>
        <v/>
      </c>
      <c r="Q19" s="65" t="str">
        <f>IF(AND('Mapa final'!$AI$28="Alta",'Mapa final'!$AK$28="Menor"),CONCATENATE("R4C",'Mapa final'!$Y$28),"")</f>
        <v/>
      </c>
      <c r="R19" s="65" t="str">
        <f>IF(AND('Mapa final'!$AI$29="Alta",'Mapa final'!$AK$29="Menor"),CONCATENATE("R4C",'Mapa final'!$Y$29),"")</f>
        <v/>
      </c>
      <c r="S19" s="65" t="str">
        <f>IF(AND('Mapa final'!$AI$30="Alta",'Mapa final'!$AK$30="Menor"),CONCATENATE("R4C",'Mapa final'!$Y$30),"")</f>
        <v/>
      </c>
      <c r="T19" s="65" t="str">
        <f>IF(AND('Mapa final'!$AI$31="Alta",'Mapa final'!$AK$31="Menor"),CONCATENATE("R4C",'Mapa final'!$Y$31),"")</f>
        <v/>
      </c>
      <c r="U19" s="66" t="str">
        <f>IF(AND('Mapa final'!$AI$32="Alta",'Mapa final'!$AK$32="Menor"),CONCATENATE("R4C",'Mapa final'!$Y$32),"")</f>
        <v/>
      </c>
      <c r="V19" s="49" t="str">
        <f>IF(AND('Mapa final'!$AI$27="Alta",'Mapa final'!$AK$27="Moderado"),CONCATENATE("R4C",'Mapa final'!$Y$27),"")</f>
        <v/>
      </c>
      <c r="W19" s="50" t="str">
        <f>IF(AND('Mapa final'!$AI$28="Alta",'Mapa final'!$AK$28="Moderado"),CONCATENATE("R4C",'Mapa final'!$Y$28),"")</f>
        <v/>
      </c>
      <c r="X19" s="50" t="str">
        <f>IF(AND('Mapa final'!$AI$29="Alta",'Mapa final'!$AK$29="Moderado"),CONCATENATE("R4C",'Mapa final'!$Y$29),"")</f>
        <v/>
      </c>
      <c r="Y19" s="50" t="str">
        <f>IF(AND('Mapa final'!$AI$30="Alta",'Mapa final'!$AK$30="Moderado"),CONCATENATE("R4C",'Mapa final'!$Y$30),"")</f>
        <v/>
      </c>
      <c r="Z19" s="50" t="str">
        <f>IF(AND('Mapa final'!$AI$31="Alta",'Mapa final'!$AK$31="Moderado"),CONCATENATE("R4C",'Mapa final'!$Y$31),"")</f>
        <v/>
      </c>
      <c r="AA19" s="51" t="str">
        <f>IF(AND('Mapa final'!$AI$32="Alta",'Mapa final'!$AK$32="Moderado"),CONCATENATE("R4C",'Mapa final'!$Y$32),"")</f>
        <v/>
      </c>
      <c r="AB19" s="49" t="str">
        <f>IF(AND('Mapa final'!$AI$27="Alta",'Mapa final'!$AK$27="Mayor"),CONCATENATE("R4C",'Mapa final'!$Y$27),"")</f>
        <v/>
      </c>
      <c r="AC19" s="50" t="str">
        <f>IF(AND('Mapa final'!$AI$28="Alta",'Mapa final'!$AK$28="Mayor"),CONCATENATE("R4C",'Mapa final'!$Y$28),"")</f>
        <v/>
      </c>
      <c r="AD19" s="50" t="str">
        <f>IF(AND('Mapa final'!$AI$29="Alta",'Mapa final'!$AK$29="Mayor"),CONCATENATE("R4C",'Mapa final'!$Y$29),"")</f>
        <v/>
      </c>
      <c r="AE19" s="50" t="str">
        <f>IF(AND('Mapa final'!$AI$30="Alta",'Mapa final'!$AK$30="Mayor"),CONCATENATE("R4C",'Mapa final'!$Y$30),"")</f>
        <v/>
      </c>
      <c r="AF19" s="50" t="str">
        <f>IF(AND('Mapa final'!$AI$31="Alta",'Mapa final'!$AK$31="Mayor"),CONCATENATE("R4C",'Mapa final'!$Y$31),"")</f>
        <v/>
      </c>
      <c r="AG19" s="51" t="str">
        <f>IF(AND('Mapa final'!$AI$32="Alta",'Mapa final'!$AK$32="Mayor"),CONCATENATE("R4C",'Mapa final'!$Y$32),"")</f>
        <v/>
      </c>
      <c r="AH19" s="52" t="str">
        <f>IF(AND('Mapa final'!$AI$27="Alta",'Mapa final'!$AK$27="Catastrófico"),CONCATENATE("R4C",'Mapa final'!$Y$27),"")</f>
        <v/>
      </c>
      <c r="AI19" s="53" t="str">
        <f>IF(AND('Mapa final'!$AI$28="Alta",'Mapa final'!$AK$28="Catastrófico"),CONCATENATE("R4C",'Mapa final'!$Y$28),"")</f>
        <v/>
      </c>
      <c r="AJ19" s="53" t="str">
        <f>IF(AND('Mapa final'!$AI$29="Alta",'Mapa final'!$AK$29="Catastrófico"),CONCATENATE("R4C",'Mapa final'!$Y$29),"")</f>
        <v/>
      </c>
      <c r="AK19" s="53" t="str">
        <f>IF(AND('Mapa final'!$AI$30="Alta",'Mapa final'!$AK$30="Catastrófico"),CONCATENATE("R4C",'Mapa final'!$Y$30),"")</f>
        <v/>
      </c>
      <c r="AL19" s="53" t="str">
        <f>IF(AND('Mapa final'!$AI$31="Alta",'Mapa final'!$AK$31="Catastrófico"),CONCATENATE("R4C",'Mapa final'!$Y$31),"")</f>
        <v/>
      </c>
      <c r="AM19" s="54" t="str">
        <f>IF(AND('Mapa final'!$AI$32="Alta",'Mapa final'!$AK$32="Catastrófico"),CONCATENATE("R4C",'Mapa final'!$Y$32),"")</f>
        <v/>
      </c>
      <c r="AN19" s="80"/>
      <c r="AO19" s="441"/>
      <c r="AP19" s="442"/>
      <c r="AQ19" s="442"/>
      <c r="AR19" s="442"/>
      <c r="AS19" s="442"/>
      <c r="AT19" s="443"/>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row>
    <row r="20" spans="1:76" ht="15" customHeight="1" x14ac:dyDescent="0.25">
      <c r="A20" s="80"/>
      <c r="B20" s="390"/>
      <c r="C20" s="390"/>
      <c r="D20" s="391"/>
      <c r="E20" s="431"/>
      <c r="F20" s="432"/>
      <c r="G20" s="432"/>
      <c r="H20" s="432"/>
      <c r="I20" s="432"/>
      <c r="J20" s="64" t="str">
        <f>IF(AND('Mapa final'!$AI$33="Alta",'Mapa final'!$AK$33="Leve"),CONCATENATE("R5C",'Mapa final'!$Y$33),"")</f>
        <v/>
      </c>
      <c r="K20" s="65" t="str">
        <f>IF(AND('Mapa final'!$AI$34="Alta",'Mapa final'!$AK$34="Leve"),CONCATENATE("R5C",'Mapa final'!$Y$34),"")</f>
        <v/>
      </c>
      <c r="L20" s="65" t="str">
        <f>IF(AND('Mapa final'!$AI$35="Alta",'Mapa final'!$AK$35="Leve"),CONCATENATE("R5C",'Mapa final'!$Y$35),"")</f>
        <v/>
      </c>
      <c r="M20" s="65" t="str">
        <f>IF(AND('Mapa final'!$AI$36="Alta",'Mapa final'!$AK$36="Leve"),CONCATENATE("R5C",'Mapa final'!$Y$36),"")</f>
        <v/>
      </c>
      <c r="N20" s="65" t="str">
        <f>IF(AND('Mapa final'!$AI$37="Alta",'Mapa final'!$AK$37="Leve"),CONCATENATE("R5C",'Mapa final'!$Y$37),"")</f>
        <v/>
      </c>
      <c r="O20" s="66" t="str">
        <f>IF(AND('Mapa final'!$AI$38="Alta",'Mapa final'!$AK$38="Leve"),CONCATENATE("R5C",'Mapa final'!$Y$38),"")</f>
        <v/>
      </c>
      <c r="P20" s="64" t="str">
        <f>IF(AND('Mapa final'!$AI$33="Alta",'Mapa final'!$AK$33="Menor"),CONCATENATE("R5C",'Mapa final'!$Y$33),"")</f>
        <v/>
      </c>
      <c r="Q20" s="65" t="str">
        <f>IF(AND('Mapa final'!$AI$34="Alta",'Mapa final'!$AK$34="Menor"),CONCATENATE("R5C",'Mapa final'!$Y$34),"")</f>
        <v/>
      </c>
      <c r="R20" s="65" t="str">
        <f>IF(AND('Mapa final'!$AI$35="Alta",'Mapa final'!$AK$35="Menor"),CONCATENATE("R5C",'Mapa final'!$Y$35),"")</f>
        <v/>
      </c>
      <c r="S20" s="65" t="str">
        <f>IF(AND('Mapa final'!$AI$36="Alta",'Mapa final'!$AK$36="Menor"),CONCATENATE("R5C",'Mapa final'!$Y$36),"")</f>
        <v/>
      </c>
      <c r="T20" s="65" t="str">
        <f>IF(AND('Mapa final'!$AI$37="Alta",'Mapa final'!$AK$37="Menor"),CONCATENATE("R5C",'Mapa final'!$Y$37),"")</f>
        <v/>
      </c>
      <c r="U20" s="66" t="str">
        <f>IF(AND('Mapa final'!$AI$38="Alta",'Mapa final'!$AK$38="Menor"),CONCATENATE("R5C",'Mapa final'!$Y$38),"")</f>
        <v/>
      </c>
      <c r="V20" s="49" t="str">
        <f>IF(AND('Mapa final'!$AI$33="Alta",'Mapa final'!$AK$33="Moderado"),CONCATENATE("R5C",'Mapa final'!$Y$33),"")</f>
        <v/>
      </c>
      <c r="W20" s="50" t="str">
        <f>IF(AND('Mapa final'!$AI$34="Alta",'Mapa final'!$AK$34="Moderado"),CONCATENATE("R5C",'Mapa final'!$Y$34),"")</f>
        <v/>
      </c>
      <c r="X20" s="50" t="str">
        <f>IF(AND('Mapa final'!$AI$35="Alta",'Mapa final'!$AK$35="Moderado"),CONCATENATE("R5C",'Mapa final'!$Y$35),"")</f>
        <v/>
      </c>
      <c r="Y20" s="50" t="str">
        <f>IF(AND('Mapa final'!$AI$36="Alta",'Mapa final'!$AK$36="Moderado"),CONCATENATE("R5C",'Mapa final'!$Y$36),"")</f>
        <v/>
      </c>
      <c r="Z20" s="50" t="str">
        <f>IF(AND('Mapa final'!$AI$37="Alta",'Mapa final'!$AK$37="Moderado"),CONCATENATE("R5C",'Mapa final'!$Y$37),"")</f>
        <v/>
      </c>
      <c r="AA20" s="51" t="str">
        <f>IF(AND('Mapa final'!$AI$38="Alta",'Mapa final'!$AK$38="Moderado"),CONCATENATE("R5C",'Mapa final'!$Y$38),"")</f>
        <v/>
      </c>
      <c r="AB20" s="49" t="str">
        <f>IF(AND('Mapa final'!$AI$33="Alta",'Mapa final'!$AK$33="Mayor"),CONCATENATE("R5C",'Mapa final'!$Y$33),"")</f>
        <v/>
      </c>
      <c r="AC20" s="50" t="str">
        <f>IF(AND('Mapa final'!$AI$34="Alta",'Mapa final'!$AK$34="Mayor"),CONCATENATE("R5C",'Mapa final'!$Y$34),"")</f>
        <v/>
      </c>
      <c r="AD20" s="50" t="str">
        <f>IF(AND('Mapa final'!$AI$35="Alta",'Mapa final'!$AK$35="Mayor"),CONCATENATE("R5C",'Mapa final'!$Y$35),"")</f>
        <v/>
      </c>
      <c r="AE20" s="50" t="str">
        <f>IF(AND('Mapa final'!$AI$36="Alta",'Mapa final'!$AK$36="Mayor"),CONCATENATE("R5C",'Mapa final'!$Y$36),"")</f>
        <v/>
      </c>
      <c r="AF20" s="50" t="str">
        <f>IF(AND('Mapa final'!$AI$37="Alta",'Mapa final'!$AK$37="Mayor"),CONCATENATE("R5C",'Mapa final'!$Y$37),"")</f>
        <v/>
      </c>
      <c r="AG20" s="51" t="str">
        <f>IF(AND('Mapa final'!$AI$38="Alta",'Mapa final'!$AK$38="Mayor"),CONCATENATE("R5C",'Mapa final'!$Y$38),"")</f>
        <v/>
      </c>
      <c r="AH20" s="52" t="str">
        <f>IF(AND('Mapa final'!$AI$33="Alta",'Mapa final'!$AK$33="Catastrófico"),CONCATENATE("R5C",'Mapa final'!$Y$33),"")</f>
        <v/>
      </c>
      <c r="AI20" s="53" t="str">
        <f>IF(AND('Mapa final'!$AI$34="Alta",'Mapa final'!$AK$34="Catastrófico"),CONCATENATE("R5C",'Mapa final'!$Y$34),"")</f>
        <v/>
      </c>
      <c r="AJ20" s="53" t="str">
        <f>IF(AND('Mapa final'!$AI$35="Alta",'Mapa final'!$AK$35="Catastrófico"),CONCATENATE("R5C",'Mapa final'!$Y$35),"")</f>
        <v/>
      </c>
      <c r="AK20" s="53" t="str">
        <f>IF(AND('Mapa final'!$AI$36="Alta",'Mapa final'!$AK$36="Catastrófico"),CONCATENATE("R5C",'Mapa final'!$Y$36),"")</f>
        <v/>
      </c>
      <c r="AL20" s="53" t="str">
        <f>IF(AND('Mapa final'!$AI$37="Alta",'Mapa final'!$AK$37="Catastrófico"),CONCATENATE("R5C",'Mapa final'!$Y$37),"")</f>
        <v/>
      </c>
      <c r="AM20" s="54" t="str">
        <f>IF(AND('Mapa final'!$AI$38="Alta",'Mapa final'!$AK$38="Catastrófico"),CONCATENATE("R5C",'Mapa final'!$Y$38),"")</f>
        <v/>
      </c>
      <c r="AN20" s="80"/>
      <c r="AO20" s="441"/>
      <c r="AP20" s="442"/>
      <c r="AQ20" s="442"/>
      <c r="AR20" s="442"/>
      <c r="AS20" s="442"/>
      <c r="AT20" s="443"/>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row>
    <row r="21" spans="1:76" ht="15" customHeight="1" x14ac:dyDescent="0.25">
      <c r="A21" s="80"/>
      <c r="B21" s="390"/>
      <c r="C21" s="390"/>
      <c r="D21" s="391"/>
      <c r="E21" s="431"/>
      <c r="F21" s="432"/>
      <c r="G21" s="432"/>
      <c r="H21" s="432"/>
      <c r="I21" s="432"/>
      <c r="J21" s="64" t="str">
        <f>IF(AND('Mapa final'!$AI$39="Alta",'Mapa final'!$AK$39="Leve"),CONCATENATE("R6C",'Mapa final'!$Y$39),"")</f>
        <v/>
      </c>
      <c r="K21" s="65" t="str">
        <f>IF(AND('Mapa final'!$AI$40="Alta",'Mapa final'!$AK$40="Leve"),CONCATENATE("R6C",'Mapa final'!$Y$40),"")</f>
        <v/>
      </c>
      <c r="L21" s="65" t="str">
        <f>IF(AND('Mapa final'!$AI$41="Alta",'Mapa final'!$AK$41="Leve"),CONCATENATE("R6C",'Mapa final'!$Y$41),"")</f>
        <v/>
      </c>
      <c r="M21" s="65" t="str">
        <f>IF(AND('Mapa final'!$AI$42="Alta",'Mapa final'!$AK$42="Leve"),CONCATENATE("R6C",'Mapa final'!$Y$42),"")</f>
        <v/>
      </c>
      <c r="N21" s="65" t="str">
        <f>IF(AND('Mapa final'!$AI$43="Alta",'Mapa final'!$AK$43="Leve"),CONCATENATE("R6C",'Mapa final'!$Y$43),"")</f>
        <v/>
      </c>
      <c r="O21" s="66" t="str">
        <f>IF(AND('Mapa final'!$AI$44="Alta",'Mapa final'!$AK$44="Leve"),CONCATENATE("R6C",'Mapa final'!$Y$44),"")</f>
        <v/>
      </c>
      <c r="P21" s="64" t="str">
        <f>IF(AND('Mapa final'!$AI$39="Alta",'Mapa final'!$AK$39="Menor"),CONCATENATE("R6C",'Mapa final'!$Y$39),"")</f>
        <v/>
      </c>
      <c r="Q21" s="65" t="str">
        <f>IF(AND('Mapa final'!$AI$40="Alta",'Mapa final'!$AK$40="Menor"),CONCATENATE("R6C",'Mapa final'!$Y$40),"")</f>
        <v/>
      </c>
      <c r="R21" s="65" t="str">
        <f>IF(AND('Mapa final'!$AI$41="Alta",'Mapa final'!$AK$41="Menor"),CONCATENATE("R6C",'Mapa final'!$Y$41),"")</f>
        <v/>
      </c>
      <c r="S21" s="65" t="str">
        <f>IF(AND('Mapa final'!$AI$42="Alta",'Mapa final'!$AK$42="Menor"),CONCATENATE("R6C",'Mapa final'!$Y$42),"")</f>
        <v/>
      </c>
      <c r="T21" s="65" t="str">
        <f>IF(AND('Mapa final'!$AI$43="Alta",'Mapa final'!$AK$43="Menor"),CONCATENATE("R6C",'Mapa final'!$Y$43),"")</f>
        <v/>
      </c>
      <c r="U21" s="66" t="str">
        <f>IF(AND('Mapa final'!$AI$44="Alta",'Mapa final'!$AK$44="Menor"),CONCATENATE("R6C",'Mapa final'!$Y$44),"")</f>
        <v/>
      </c>
      <c r="V21" s="49" t="str">
        <f>IF(AND('Mapa final'!$AI$39="Alta",'Mapa final'!$AK$39="Moderado"),CONCATENATE("R6C",'Mapa final'!$Y$39),"")</f>
        <v/>
      </c>
      <c r="W21" s="50" t="str">
        <f>IF(AND('Mapa final'!$AI$40="Alta",'Mapa final'!$AK$40="Moderado"),CONCATENATE("R6C",'Mapa final'!$Y$40),"")</f>
        <v/>
      </c>
      <c r="X21" s="50" t="str">
        <f>IF(AND('Mapa final'!$AI$41="Alta",'Mapa final'!$AK$41="Moderado"),CONCATENATE("R6C",'Mapa final'!$Y$41),"")</f>
        <v/>
      </c>
      <c r="Y21" s="50" t="str">
        <f>IF(AND('Mapa final'!$AI$42="Alta",'Mapa final'!$AK$42="Moderado"),CONCATENATE("R6C",'Mapa final'!$Y$42),"")</f>
        <v/>
      </c>
      <c r="Z21" s="50" t="str">
        <f>IF(AND('Mapa final'!$AI$43="Alta",'Mapa final'!$AK$43="Moderado"),CONCATENATE("R6C",'Mapa final'!$Y$43),"")</f>
        <v/>
      </c>
      <c r="AA21" s="51" t="str">
        <f>IF(AND('Mapa final'!$AI$44="Alta",'Mapa final'!$AK$44="Moderado"),CONCATENATE("R6C",'Mapa final'!$Y$44),"")</f>
        <v/>
      </c>
      <c r="AB21" s="49" t="str">
        <f>IF(AND('Mapa final'!$AI$39="Alta",'Mapa final'!$AK$39="Mayor"),CONCATENATE("R6C",'Mapa final'!$Y$39),"")</f>
        <v/>
      </c>
      <c r="AC21" s="50" t="str">
        <f>IF(AND('Mapa final'!$AI$40="Alta",'Mapa final'!$AK$40="Mayor"),CONCATENATE("R6C",'Mapa final'!$Y$40),"")</f>
        <v/>
      </c>
      <c r="AD21" s="50" t="str">
        <f>IF(AND('Mapa final'!$AI$41="Alta",'Mapa final'!$AK$41="Mayor"),CONCATENATE("R6C",'Mapa final'!$Y$41),"")</f>
        <v/>
      </c>
      <c r="AE21" s="50" t="str">
        <f>IF(AND('Mapa final'!$AI$42="Alta",'Mapa final'!$AK$42="Mayor"),CONCATENATE("R6C",'Mapa final'!$Y$42),"")</f>
        <v/>
      </c>
      <c r="AF21" s="50" t="str">
        <f>IF(AND('Mapa final'!$AI$43="Alta",'Mapa final'!$AK$43="Mayor"),CONCATENATE("R6C",'Mapa final'!$Y$43),"")</f>
        <v/>
      </c>
      <c r="AG21" s="51" t="str">
        <f>IF(AND('Mapa final'!$AI$44="Alta",'Mapa final'!$AK$44="Mayor"),CONCATENATE("R6C",'Mapa final'!$Y$44),"")</f>
        <v/>
      </c>
      <c r="AH21" s="52" t="str">
        <f>IF(AND('Mapa final'!$AI$39="Alta",'Mapa final'!$AK$39="Catastrófico"),CONCATENATE("R6C",'Mapa final'!$Y$39),"")</f>
        <v/>
      </c>
      <c r="AI21" s="53" t="str">
        <f>IF(AND('Mapa final'!$AI$40="Alta",'Mapa final'!$AK$40="Catastrófico"),CONCATENATE("R6C",'Mapa final'!$Y$40),"")</f>
        <v/>
      </c>
      <c r="AJ21" s="53" t="str">
        <f>IF(AND('Mapa final'!$AI$41="Alta",'Mapa final'!$AK$41="Catastrófico"),CONCATENATE("R6C",'Mapa final'!$Y$41),"")</f>
        <v/>
      </c>
      <c r="AK21" s="53" t="str">
        <f>IF(AND('Mapa final'!$AI$42="Alta",'Mapa final'!$AK$42="Catastrófico"),CONCATENATE("R6C",'Mapa final'!$Y$42),"")</f>
        <v/>
      </c>
      <c r="AL21" s="53" t="str">
        <f>IF(AND('Mapa final'!$AI$43="Alta",'Mapa final'!$AK$43="Catastrófico"),CONCATENATE("R6C",'Mapa final'!$Y$43),"")</f>
        <v/>
      </c>
      <c r="AM21" s="54" t="str">
        <f>IF(AND('Mapa final'!$AI$44="Alta",'Mapa final'!$AK$44="Catastrófico"),CONCATENATE("R6C",'Mapa final'!$Y$44),"")</f>
        <v/>
      </c>
      <c r="AN21" s="80"/>
      <c r="AO21" s="441"/>
      <c r="AP21" s="442"/>
      <c r="AQ21" s="442"/>
      <c r="AR21" s="442"/>
      <c r="AS21" s="442"/>
      <c r="AT21" s="443"/>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row>
    <row r="22" spans="1:76" ht="15" customHeight="1" x14ac:dyDescent="0.25">
      <c r="A22" s="80"/>
      <c r="B22" s="390"/>
      <c r="C22" s="390"/>
      <c r="D22" s="391"/>
      <c r="E22" s="431"/>
      <c r="F22" s="432"/>
      <c r="G22" s="432"/>
      <c r="H22" s="432"/>
      <c r="I22" s="432"/>
      <c r="J22" s="64" t="str">
        <f>IF(AND('Mapa final'!$AI$45="Alta",'Mapa final'!$AK$45="Leve"),CONCATENATE("R7C",'Mapa final'!$Y$45),"")</f>
        <v/>
      </c>
      <c r="K22" s="65" t="str">
        <f>IF(AND('Mapa final'!$AI$46="Alta",'Mapa final'!$AK$46="Leve"),CONCATENATE("R7C",'Mapa final'!$Y$46),"")</f>
        <v/>
      </c>
      <c r="L22" s="65" t="str">
        <f>IF(AND('Mapa final'!$AI$47="Alta",'Mapa final'!$AK$47="Leve"),CONCATENATE("R7C",'Mapa final'!$Y$47),"")</f>
        <v/>
      </c>
      <c r="M22" s="65" t="str">
        <f>IF(AND('Mapa final'!$AI$48="Alta",'Mapa final'!$AK$48="Leve"),CONCATENATE("R7C",'Mapa final'!$Y$48),"")</f>
        <v/>
      </c>
      <c r="N22" s="65" t="str">
        <f>IF(AND('Mapa final'!$AI$49="Alta",'Mapa final'!$AK$49="Leve"),CONCATENATE("R7C",'Mapa final'!$Y$49),"")</f>
        <v/>
      </c>
      <c r="O22" s="66" t="str">
        <f>IF(AND('Mapa final'!$AI$50="Alta",'Mapa final'!$AK$50="Leve"),CONCATENATE("R7C",'Mapa final'!$Y$50),"")</f>
        <v/>
      </c>
      <c r="P22" s="64" t="str">
        <f>IF(AND('Mapa final'!$AI$45="Alta",'Mapa final'!$AK$45="Menor"),CONCATENATE("R7C",'Mapa final'!$Y$45),"")</f>
        <v/>
      </c>
      <c r="Q22" s="65" t="str">
        <f>IF(AND('Mapa final'!$AI$46="Alta",'Mapa final'!$AK$46="Menor"),CONCATENATE("R7C",'Mapa final'!$Y$46),"")</f>
        <v/>
      </c>
      <c r="R22" s="65" t="str">
        <f>IF(AND('Mapa final'!$AI$47="Alta",'Mapa final'!$AK$47="Menor"),CONCATENATE("R7C",'Mapa final'!$Y$47),"")</f>
        <v/>
      </c>
      <c r="S22" s="65" t="str">
        <f>IF(AND('Mapa final'!$AI$48="Alta",'Mapa final'!$AK$48="Menor"),CONCATENATE("R7C",'Mapa final'!$Y$48),"")</f>
        <v/>
      </c>
      <c r="T22" s="65" t="str">
        <f>IF(AND('Mapa final'!$AI$49="Alta",'Mapa final'!$AK$49="Menor"),CONCATENATE("R7C",'Mapa final'!$Y$49),"")</f>
        <v/>
      </c>
      <c r="U22" s="66" t="str">
        <f>IF(AND('Mapa final'!$AI$50="Alta",'Mapa final'!$AK$50="Menor"),CONCATENATE("R7C",'Mapa final'!$Y$50),"")</f>
        <v/>
      </c>
      <c r="V22" s="49" t="str">
        <f>IF(AND('Mapa final'!$AI$45="Alta",'Mapa final'!$AK$45="Moderado"),CONCATENATE("R7C",'Mapa final'!$Y$45),"")</f>
        <v/>
      </c>
      <c r="W22" s="50" t="str">
        <f>IF(AND('Mapa final'!$AI$46="Alta",'Mapa final'!$AK$46="Moderado"),CONCATENATE("R7C",'Mapa final'!$Y$46),"")</f>
        <v/>
      </c>
      <c r="X22" s="50" t="str">
        <f>IF(AND('Mapa final'!$AI$47="Alta",'Mapa final'!$AK$47="Moderado"),CONCATENATE("R7C",'Mapa final'!$Y$47),"")</f>
        <v/>
      </c>
      <c r="Y22" s="50" t="str">
        <f>IF(AND('Mapa final'!$AI$48="Alta",'Mapa final'!$AK$48="Moderado"),CONCATENATE("R7C",'Mapa final'!$Y$48),"")</f>
        <v/>
      </c>
      <c r="Z22" s="50" t="str">
        <f>IF(AND('Mapa final'!$AI$49="Alta",'Mapa final'!$AK$49="Moderado"),CONCATENATE("R7C",'Mapa final'!$Y$49),"")</f>
        <v/>
      </c>
      <c r="AA22" s="51" t="str">
        <f>IF(AND('Mapa final'!$AI$50="Alta",'Mapa final'!$AK$50="Moderado"),CONCATENATE("R7C",'Mapa final'!$Y$50),"")</f>
        <v/>
      </c>
      <c r="AB22" s="49" t="str">
        <f>IF(AND('Mapa final'!$AI$45="Alta",'Mapa final'!$AK$45="Mayor"),CONCATENATE("R7C",'Mapa final'!$Y$45),"")</f>
        <v/>
      </c>
      <c r="AC22" s="50" t="str">
        <f>IF(AND('Mapa final'!$AI$46="Alta",'Mapa final'!$AK$46="Mayor"),CONCATENATE("R7C",'Mapa final'!$Y$46),"")</f>
        <v/>
      </c>
      <c r="AD22" s="50" t="str">
        <f>IF(AND('Mapa final'!$AI$47="Alta",'Mapa final'!$AK$47="Mayor"),CONCATENATE("R7C",'Mapa final'!$Y$47),"")</f>
        <v/>
      </c>
      <c r="AE22" s="50" t="str">
        <f>IF(AND('Mapa final'!$AI$48="Alta",'Mapa final'!$AK$48="Mayor"),CONCATENATE("R7C",'Mapa final'!$Y$48),"")</f>
        <v/>
      </c>
      <c r="AF22" s="50" t="str">
        <f>IF(AND('Mapa final'!$AI$49="Alta",'Mapa final'!$AK$49="Mayor"),CONCATENATE("R7C",'Mapa final'!$Y$49),"")</f>
        <v/>
      </c>
      <c r="AG22" s="51" t="str">
        <f>IF(AND('Mapa final'!$AI$50="Alta",'Mapa final'!$AK$50="Mayor"),CONCATENATE("R7C",'Mapa final'!$Y$50),"")</f>
        <v/>
      </c>
      <c r="AH22" s="52" t="str">
        <f>IF(AND('Mapa final'!$AI$45="Alta",'Mapa final'!$AK$45="Catastrófico"),CONCATENATE("R7C",'Mapa final'!$Y$45),"")</f>
        <v/>
      </c>
      <c r="AI22" s="53" t="str">
        <f>IF(AND('Mapa final'!$AI$46="Alta",'Mapa final'!$AK$46="Catastrófico"),CONCATENATE("R7C",'Mapa final'!$Y$46),"")</f>
        <v/>
      </c>
      <c r="AJ22" s="53" t="str">
        <f>IF(AND('Mapa final'!$AI$47="Alta",'Mapa final'!$AK$47="Catastrófico"),CONCATENATE("R7C",'Mapa final'!$Y$47),"")</f>
        <v/>
      </c>
      <c r="AK22" s="53" t="str">
        <f>IF(AND('Mapa final'!$AI$48="Alta",'Mapa final'!$AK$48="Catastrófico"),CONCATENATE("R7C",'Mapa final'!$Y$48),"")</f>
        <v/>
      </c>
      <c r="AL22" s="53" t="str">
        <f>IF(AND('Mapa final'!$AI$49="Alta",'Mapa final'!$AK$49="Catastrófico"),CONCATENATE("R7C",'Mapa final'!$Y$49),"")</f>
        <v/>
      </c>
      <c r="AM22" s="54" t="str">
        <f>IF(AND('Mapa final'!$AI$50="Alta",'Mapa final'!$AK$50="Catastrófico"),CONCATENATE("R7C",'Mapa final'!$Y$50),"")</f>
        <v/>
      </c>
      <c r="AN22" s="80"/>
      <c r="AO22" s="441"/>
      <c r="AP22" s="442"/>
      <c r="AQ22" s="442"/>
      <c r="AR22" s="442"/>
      <c r="AS22" s="442"/>
      <c r="AT22" s="443"/>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row>
    <row r="23" spans="1:76" ht="15" customHeight="1" x14ac:dyDescent="0.25">
      <c r="A23" s="80"/>
      <c r="B23" s="390"/>
      <c r="C23" s="390"/>
      <c r="D23" s="391"/>
      <c r="E23" s="431"/>
      <c r="F23" s="432"/>
      <c r="G23" s="432"/>
      <c r="H23" s="432"/>
      <c r="I23" s="432"/>
      <c r="J23" s="64" t="str">
        <f>IF(AND('Mapa final'!$AI$51="Alta",'Mapa final'!$AK$51="Leve"),CONCATENATE("R8C",'Mapa final'!$Y$51),"")</f>
        <v/>
      </c>
      <c r="K23" s="65" t="str">
        <f>IF(AND('Mapa final'!$AI$52="Alta",'Mapa final'!$AK$52="Leve"),CONCATENATE("R8C",'Mapa final'!$Y$52),"")</f>
        <v/>
      </c>
      <c r="L23" s="65" t="str">
        <f>IF(AND('Mapa final'!$AI$53="Alta",'Mapa final'!$AK$53="Leve"),CONCATENATE("R8C",'Mapa final'!$Y$53),"")</f>
        <v/>
      </c>
      <c r="M23" s="65" t="str">
        <f>IF(AND('Mapa final'!$AI$54="Alta",'Mapa final'!$AK$54="Leve"),CONCATENATE("R8C",'Mapa final'!$Y$54),"")</f>
        <v/>
      </c>
      <c r="N23" s="65" t="str">
        <f>IF(AND('Mapa final'!$AI$55="Alta",'Mapa final'!$AK$55="Leve"),CONCATENATE("R8C",'Mapa final'!$Y$55),"")</f>
        <v/>
      </c>
      <c r="O23" s="66" t="str">
        <f>IF(AND('Mapa final'!$AI$56="Alta",'Mapa final'!$AK$56="Leve"),CONCATENATE("R8C",'Mapa final'!$Y$56),"")</f>
        <v/>
      </c>
      <c r="P23" s="64" t="str">
        <f>IF(AND('Mapa final'!$AI$51="Alta",'Mapa final'!$AK$51="Menor"),CONCATENATE("R8C",'Mapa final'!$Y$51),"")</f>
        <v/>
      </c>
      <c r="Q23" s="65" t="str">
        <f>IF(AND('Mapa final'!$AI$52="Alta",'Mapa final'!$AK$52="Menor"),CONCATENATE("R8C",'Mapa final'!$Y$52),"")</f>
        <v/>
      </c>
      <c r="R23" s="65" t="str">
        <f>IF(AND('Mapa final'!$AI$53="Alta",'Mapa final'!$AK$53="Menor"),CONCATENATE("R8C",'Mapa final'!$Y$53),"")</f>
        <v/>
      </c>
      <c r="S23" s="65" t="str">
        <f>IF(AND('Mapa final'!$AI$54="Alta",'Mapa final'!$AK$54="Menor"),CONCATENATE("R8C",'Mapa final'!$Y$54),"")</f>
        <v/>
      </c>
      <c r="T23" s="65" t="str">
        <f>IF(AND('Mapa final'!$AI$55="Alta",'Mapa final'!$AK$55="Menor"),CONCATENATE("R8C",'Mapa final'!$Y$55),"")</f>
        <v/>
      </c>
      <c r="U23" s="66" t="str">
        <f>IF(AND('Mapa final'!$AI$56="Alta",'Mapa final'!$AK$56="Menor"),CONCATENATE("R8C",'Mapa final'!$Y$56),"")</f>
        <v/>
      </c>
      <c r="V23" s="49" t="str">
        <f>IF(AND('Mapa final'!$AI$51="Alta",'Mapa final'!$AK$51="Moderado"),CONCATENATE("R8C",'Mapa final'!$Y$51),"")</f>
        <v/>
      </c>
      <c r="W23" s="50" t="str">
        <f>IF(AND('Mapa final'!$AI$52="Alta",'Mapa final'!$AK$52="Moderado"),CONCATENATE("R8C",'Mapa final'!$Y$52),"")</f>
        <v/>
      </c>
      <c r="X23" s="50" t="str">
        <f>IF(AND('Mapa final'!$AI$53="Alta",'Mapa final'!$AK$53="Moderado"),CONCATENATE("R8C",'Mapa final'!$Y$53),"")</f>
        <v/>
      </c>
      <c r="Y23" s="50" t="str">
        <f>IF(AND('Mapa final'!$AI$54="Alta",'Mapa final'!$AK$54="Moderado"),CONCATENATE("R8C",'Mapa final'!$Y$54),"")</f>
        <v/>
      </c>
      <c r="Z23" s="50" t="str">
        <f>IF(AND('Mapa final'!$AI$55="Alta",'Mapa final'!$AK$55="Moderado"),CONCATENATE("R8C",'Mapa final'!$Y$55),"")</f>
        <v/>
      </c>
      <c r="AA23" s="51" t="str">
        <f>IF(AND('Mapa final'!$AI$56="Alta",'Mapa final'!$AK$56="Moderado"),CONCATENATE("R8C",'Mapa final'!$Y$56),"")</f>
        <v/>
      </c>
      <c r="AB23" s="49" t="str">
        <f>IF(AND('Mapa final'!$AI$51="Alta",'Mapa final'!$AK$51="Mayor"),CONCATENATE("R8C",'Mapa final'!$Y$51),"")</f>
        <v/>
      </c>
      <c r="AC23" s="50" t="str">
        <f>IF(AND('Mapa final'!$AI$52="Alta",'Mapa final'!$AK$52="Mayor"),CONCATENATE("R8C",'Mapa final'!$Y$52),"")</f>
        <v/>
      </c>
      <c r="AD23" s="50" t="str">
        <f>IF(AND('Mapa final'!$AI$53="Alta",'Mapa final'!$AK$53="Mayor"),CONCATENATE("R8C",'Mapa final'!$Y$53),"")</f>
        <v/>
      </c>
      <c r="AE23" s="50" t="str">
        <f>IF(AND('Mapa final'!$AI$54="Alta",'Mapa final'!$AK$54="Mayor"),CONCATENATE("R8C",'Mapa final'!$Y$54),"")</f>
        <v/>
      </c>
      <c r="AF23" s="50" t="str">
        <f>IF(AND('Mapa final'!$AI$55="Alta",'Mapa final'!$AK$55="Mayor"),CONCATENATE("R8C",'Mapa final'!$Y$55),"")</f>
        <v/>
      </c>
      <c r="AG23" s="51" t="str">
        <f>IF(AND('Mapa final'!$AI$56="Alta",'Mapa final'!$AK$56="Mayor"),CONCATENATE("R8C",'Mapa final'!$Y$56),"")</f>
        <v/>
      </c>
      <c r="AH23" s="52" t="str">
        <f>IF(AND('Mapa final'!$AI$51="Alta",'Mapa final'!$AK$51="Catastrófico"),CONCATENATE("R8C",'Mapa final'!$Y$51),"")</f>
        <v/>
      </c>
      <c r="AI23" s="53" t="str">
        <f>IF(AND('Mapa final'!$AI$52="Alta",'Mapa final'!$AK$52="Catastrófico"),CONCATENATE("R8C",'Mapa final'!$Y$52),"")</f>
        <v/>
      </c>
      <c r="AJ23" s="53" t="str">
        <f>IF(AND('Mapa final'!$AI$53="Alta",'Mapa final'!$AK$53="Catastrófico"),CONCATENATE("R8C",'Mapa final'!$Y$53),"")</f>
        <v/>
      </c>
      <c r="AK23" s="53" t="str">
        <f>IF(AND('Mapa final'!$AI$54="Alta",'Mapa final'!$AK$54="Catastrófico"),CONCATENATE("R8C",'Mapa final'!$Y$54),"")</f>
        <v/>
      </c>
      <c r="AL23" s="53" t="str">
        <f>IF(AND('Mapa final'!$AI$55="Alta",'Mapa final'!$AK$55="Catastrófico"),CONCATENATE("R8C",'Mapa final'!$Y$55),"")</f>
        <v/>
      </c>
      <c r="AM23" s="54" t="str">
        <f>IF(AND('Mapa final'!$AI$56="Alta",'Mapa final'!$AK$56="Catastrófico"),CONCATENATE("R8C",'Mapa final'!$Y$56),"")</f>
        <v/>
      </c>
      <c r="AN23" s="80"/>
      <c r="AO23" s="441"/>
      <c r="AP23" s="442"/>
      <c r="AQ23" s="442"/>
      <c r="AR23" s="442"/>
      <c r="AS23" s="442"/>
      <c r="AT23" s="443"/>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row>
    <row r="24" spans="1:76" ht="15" customHeight="1" x14ac:dyDescent="0.25">
      <c r="A24" s="80"/>
      <c r="B24" s="390"/>
      <c r="C24" s="390"/>
      <c r="D24" s="391"/>
      <c r="E24" s="431"/>
      <c r="F24" s="432"/>
      <c r="G24" s="432"/>
      <c r="H24" s="432"/>
      <c r="I24" s="432"/>
      <c r="J24" s="64" t="str">
        <f>IF(AND('Mapa final'!$AI$57="Alta",'Mapa final'!$AK$57="Leve"),CONCATENATE("R9C",'Mapa final'!$Y$57),"")</f>
        <v/>
      </c>
      <c r="K24" s="65" t="str">
        <f>IF(AND('Mapa final'!$AI$58="Alta",'Mapa final'!$AK$58="Leve"),CONCATENATE("R9C",'Mapa final'!$Y$58),"")</f>
        <v/>
      </c>
      <c r="L24" s="65" t="str">
        <f>IF(AND('Mapa final'!$AI$59="Alta",'Mapa final'!$AK$59="Leve"),CONCATENATE("R9C",'Mapa final'!$Y$59),"")</f>
        <v/>
      </c>
      <c r="M24" s="65" t="str">
        <f>IF(AND('Mapa final'!$AI$60="Alta",'Mapa final'!$AK$60="Leve"),CONCATENATE("R9C",'Mapa final'!$Y$60),"")</f>
        <v/>
      </c>
      <c r="N24" s="65" t="str">
        <f>IF(AND('Mapa final'!$AI$61="Alta",'Mapa final'!$AK$61="Leve"),CONCATENATE("R9C",'Mapa final'!$Y$61),"")</f>
        <v/>
      </c>
      <c r="O24" s="66" t="str">
        <f>IF(AND('Mapa final'!$AI$62="Alta",'Mapa final'!$AK$62="Leve"),CONCATENATE("R9C",'Mapa final'!$Y$62),"")</f>
        <v/>
      </c>
      <c r="P24" s="64" t="str">
        <f>IF(AND('Mapa final'!$AI$57="Alta",'Mapa final'!$AK$57="Menor"),CONCATENATE("R9C",'Mapa final'!$Y$57),"")</f>
        <v/>
      </c>
      <c r="Q24" s="65" t="str">
        <f>IF(AND('Mapa final'!$AI$58="Alta",'Mapa final'!$AK$58="Menor"),CONCATENATE("R9C",'Mapa final'!$Y$58),"")</f>
        <v/>
      </c>
      <c r="R24" s="65" t="str">
        <f>IF(AND('Mapa final'!$AI$59="Alta",'Mapa final'!$AK$59="Menor"),CONCATENATE("R9C",'Mapa final'!$Y$59),"")</f>
        <v/>
      </c>
      <c r="S24" s="65" t="str">
        <f>IF(AND('Mapa final'!$AI$60="Alta",'Mapa final'!$AK$60="Menor"),CONCATENATE("R9C",'Mapa final'!$Y$60),"")</f>
        <v/>
      </c>
      <c r="T24" s="65" t="str">
        <f>IF(AND('Mapa final'!$AI$61="Alta",'Mapa final'!$AK$61="Menor"),CONCATENATE("R9C",'Mapa final'!$Y$61),"")</f>
        <v/>
      </c>
      <c r="U24" s="66" t="str">
        <f>IF(AND('Mapa final'!$AI$62="Alta",'Mapa final'!$AK$62="Menor"),CONCATENATE("R9C",'Mapa final'!$Y$62),"")</f>
        <v/>
      </c>
      <c r="V24" s="49" t="str">
        <f>IF(AND('Mapa final'!$AI$57="Alta",'Mapa final'!$AK$57="Moderado"),CONCATENATE("R9C",'Mapa final'!$Y$57),"")</f>
        <v/>
      </c>
      <c r="W24" s="50" t="str">
        <f>IF(AND('Mapa final'!$AI$58="Alta",'Mapa final'!$AK$58="Moderado"),CONCATENATE("R9C",'Mapa final'!$Y$58),"")</f>
        <v/>
      </c>
      <c r="X24" s="50" t="str">
        <f>IF(AND('Mapa final'!$AI$59="Alta",'Mapa final'!$AK$59="Moderado"),CONCATENATE("R9C",'Mapa final'!$Y$59),"")</f>
        <v/>
      </c>
      <c r="Y24" s="50" t="str">
        <f>IF(AND('Mapa final'!$AI$60="Alta",'Mapa final'!$AK$60="Moderado"),CONCATENATE("R9C",'Mapa final'!$Y$60),"")</f>
        <v/>
      </c>
      <c r="Z24" s="50" t="str">
        <f>IF(AND('Mapa final'!$AI$61="Alta",'Mapa final'!$AK$61="Moderado"),CONCATENATE("R9C",'Mapa final'!$Y$61),"")</f>
        <v/>
      </c>
      <c r="AA24" s="51" t="str">
        <f>IF(AND('Mapa final'!$AI$62="Alta",'Mapa final'!$AK$62="Moderado"),CONCATENATE("R9C",'Mapa final'!$Y$62),"")</f>
        <v/>
      </c>
      <c r="AB24" s="49" t="str">
        <f>IF(AND('Mapa final'!$AI$57="Alta",'Mapa final'!$AK$57="Mayor"),CONCATENATE("R9C",'Mapa final'!$Y$57),"")</f>
        <v/>
      </c>
      <c r="AC24" s="50" t="str">
        <f>IF(AND('Mapa final'!$AI$58="Alta",'Mapa final'!$AK$58="Mayor"),CONCATENATE("R9C",'Mapa final'!$Y$58),"")</f>
        <v/>
      </c>
      <c r="AD24" s="50" t="str">
        <f>IF(AND('Mapa final'!$AI$59="Alta",'Mapa final'!$AK$59="Mayor"),CONCATENATE("R9C",'Mapa final'!$Y$59),"")</f>
        <v/>
      </c>
      <c r="AE24" s="50" t="str">
        <f>IF(AND('Mapa final'!$AI$60="Alta",'Mapa final'!$AK$60="Mayor"),CONCATENATE("R9C",'Mapa final'!$Y$60),"")</f>
        <v/>
      </c>
      <c r="AF24" s="50" t="str">
        <f>IF(AND('Mapa final'!$AI$61="Alta",'Mapa final'!$AK$61="Mayor"),CONCATENATE("R9C",'Mapa final'!$Y$61),"")</f>
        <v/>
      </c>
      <c r="AG24" s="51" t="str">
        <f>IF(AND('Mapa final'!$AI$62="Alta",'Mapa final'!$AK$62="Mayor"),CONCATENATE("R9C",'Mapa final'!$Y$62),"")</f>
        <v/>
      </c>
      <c r="AH24" s="52" t="str">
        <f>IF(AND('Mapa final'!$AI$57="Alta",'Mapa final'!$AK$57="Catastrófico"),CONCATENATE("R9C",'Mapa final'!$Y$57),"")</f>
        <v/>
      </c>
      <c r="AI24" s="53" t="str">
        <f>IF(AND('Mapa final'!$AI$58="Alta",'Mapa final'!$AK$58="Catastrófico"),CONCATENATE("R9C",'Mapa final'!$Y$58),"")</f>
        <v/>
      </c>
      <c r="AJ24" s="53" t="str">
        <f>IF(AND('Mapa final'!$AI$59="Alta",'Mapa final'!$AK$59="Catastrófico"),CONCATENATE("R9C",'Mapa final'!$Y$59),"")</f>
        <v/>
      </c>
      <c r="AK24" s="53" t="str">
        <f>IF(AND('Mapa final'!$AI$60="Alta",'Mapa final'!$AK$60="Catastrófico"),CONCATENATE("R9C",'Mapa final'!$Y$60),"")</f>
        <v/>
      </c>
      <c r="AL24" s="53" t="str">
        <f>IF(AND('Mapa final'!$AI$61="Alta",'Mapa final'!$AK$61="Catastrófico"),CONCATENATE("R9C",'Mapa final'!$Y$61),"")</f>
        <v/>
      </c>
      <c r="AM24" s="54" t="str">
        <f>IF(AND('Mapa final'!$AI$62="Alta",'Mapa final'!$AK$62="Catastrófico"),CONCATENATE("R9C",'Mapa final'!$Y$62),"")</f>
        <v/>
      </c>
      <c r="AN24" s="80"/>
      <c r="AO24" s="441"/>
      <c r="AP24" s="442"/>
      <c r="AQ24" s="442"/>
      <c r="AR24" s="442"/>
      <c r="AS24" s="442"/>
      <c r="AT24" s="443"/>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row>
    <row r="25" spans="1:76" ht="15.75" customHeight="1" thickBot="1" x14ac:dyDescent="0.3">
      <c r="A25" s="80"/>
      <c r="B25" s="390"/>
      <c r="C25" s="390"/>
      <c r="D25" s="391"/>
      <c r="E25" s="434"/>
      <c r="F25" s="435"/>
      <c r="G25" s="435"/>
      <c r="H25" s="435"/>
      <c r="I25" s="435"/>
      <c r="J25" s="67" t="str">
        <f>IF(AND('Mapa final'!$AI$63="Alta",'Mapa final'!$AK$63="Leve"),CONCATENATE("R10C",'Mapa final'!$Y$63),"")</f>
        <v/>
      </c>
      <c r="K25" s="68" t="str">
        <f>IF(AND('Mapa final'!$AI$64="Alta",'Mapa final'!$AK$64="Leve"),CONCATENATE("R10C",'Mapa final'!$Y$64),"")</f>
        <v/>
      </c>
      <c r="L25" s="68" t="str">
        <f>IF(AND('Mapa final'!$AI$65="Alta",'Mapa final'!$AK$65="Leve"),CONCATENATE("R10C",'Mapa final'!$Y$65),"")</f>
        <v/>
      </c>
      <c r="M25" s="68" t="str">
        <f>IF(AND('Mapa final'!$AI$66="Alta",'Mapa final'!$AK$66="Leve"),CONCATENATE("R10C",'Mapa final'!$Y$66),"")</f>
        <v/>
      </c>
      <c r="N25" s="68" t="str">
        <f>IF(AND('Mapa final'!$AI$67="Alta",'Mapa final'!$AK$67="Leve"),CONCATENATE("R10C",'Mapa final'!$Y$67),"")</f>
        <v/>
      </c>
      <c r="O25" s="69" t="str">
        <f>IF(AND('Mapa final'!$AI$68="Alta",'Mapa final'!$AK$68="Leve"),CONCATENATE("R10C",'Mapa final'!$Y$68),"")</f>
        <v/>
      </c>
      <c r="P25" s="67" t="str">
        <f>IF(AND('Mapa final'!$AI$63="Alta",'Mapa final'!$AK$63="Menor"),CONCATENATE("R10C",'Mapa final'!$Y$63),"")</f>
        <v/>
      </c>
      <c r="Q25" s="68" t="str">
        <f>IF(AND('Mapa final'!$AI$64="Alta",'Mapa final'!$AK$64="Menor"),CONCATENATE("R10C",'Mapa final'!$Y$64),"")</f>
        <v/>
      </c>
      <c r="R25" s="68" t="str">
        <f>IF(AND('Mapa final'!$AI$65="Alta",'Mapa final'!$AK$65="Menor"),CONCATENATE("R10C",'Mapa final'!$Y$65),"")</f>
        <v/>
      </c>
      <c r="S25" s="68" t="str">
        <f>IF(AND('Mapa final'!$AI$66="Alta",'Mapa final'!$AK$66="Menor"),CONCATENATE("R10C",'Mapa final'!$Y$66),"")</f>
        <v/>
      </c>
      <c r="T25" s="68" t="str">
        <f>IF(AND('Mapa final'!$AI$67="Alta",'Mapa final'!$AK$67="Menor"),CONCATENATE("R10C",'Mapa final'!$Y$67),"")</f>
        <v/>
      </c>
      <c r="U25" s="69" t="str">
        <f>IF(AND('Mapa final'!$AI$68="Alta",'Mapa final'!$AK$68="Menor"),CONCATENATE("R10C",'Mapa final'!$Y$68),"")</f>
        <v/>
      </c>
      <c r="V25" s="55" t="str">
        <f>IF(AND('Mapa final'!$AI$63="Alta",'Mapa final'!$AK$63="Moderado"),CONCATENATE("R10C",'Mapa final'!$Y$63),"")</f>
        <v/>
      </c>
      <c r="W25" s="56" t="str">
        <f>IF(AND('Mapa final'!$AI$64="Alta",'Mapa final'!$AK$64="Moderado"),CONCATENATE("R10C",'Mapa final'!$Y$64),"")</f>
        <v/>
      </c>
      <c r="X25" s="56" t="str">
        <f>IF(AND('Mapa final'!$AI$65="Alta",'Mapa final'!$AK$65="Moderado"),CONCATENATE("R10C",'Mapa final'!$Y$65),"")</f>
        <v/>
      </c>
      <c r="Y25" s="56" t="str">
        <f>IF(AND('Mapa final'!$AI$66="Alta",'Mapa final'!$AK$66="Moderado"),CONCATENATE("R10C",'Mapa final'!$Y$66),"")</f>
        <v/>
      </c>
      <c r="Z25" s="56" t="str">
        <f>IF(AND('Mapa final'!$AI$67="Alta",'Mapa final'!$AK$67="Moderado"),CONCATENATE("R10C",'Mapa final'!$Y$67),"")</f>
        <v/>
      </c>
      <c r="AA25" s="57" t="str">
        <f>IF(AND('Mapa final'!$AI$68="Alta",'Mapa final'!$AK$68="Moderado"),CONCATENATE("R10C",'Mapa final'!$Y$68),"")</f>
        <v/>
      </c>
      <c r="AB25" s="55" t="str">
        <f>IF(AND('Mapa final'!$AI$63="Alta",'Mapa final'!$AK$63="Mayor"),CONCATENATE("R10C",'Mapa final'!$Y$63),"")</f>
        <v/>
      </c>
      <c r="AC25" s="56" t="str">
        <f>IF(AND('Mapa final'!$AI$64="Alta",'Mapa final'!$AK$64="Mayor"),CONCATENATE("R10C",'Mapa final'!$Y$64),"")</f>
        <v/>
      </c>
      <c r="AD25" s="56" t="str">
        <f>IF(AND('Mapa final'!$AI$65="Alta",'Mapa final'!$AK$65="Mayor"),CONCATENATE("R10C",'Mapa final'!$Y$65),"")</f>
        <v/>
      </c>
      <c r="AE25" s="56" t="str">
        <f>IF(AND('Mapa final'!$AI$66="Alta",'Mapa final'!$AK$66="Mayor"),CONCATENATE("R10C",'Mapa final'!$Y$66),"")</f>
        <v/>
      </c>
      <c r="AF25" s="56" t="str">
        <f>IF(AND('Mapa final'!$AI$67="Alta",'Mapa final'!$AK$67="Mayor"),CONCATENATE("R10C",'Mapa final'!$Y$67),"")</f>
        <v/>
      </c>
      <c r="AG25" s="57" t="str">
        <f>IF(AND('Mapa final'!$AI$68="Alta",'Mapa final'!$AK$68="Mayor"),CONCATENATE("R10C",'Mapa final'!$Y$68),"")</f>
        <v/>
      </c>
      <c r="AH25" s="58" t="str">
        <f>IF(AND('Mapa final'!$AI$63="Alta",'Mapa final'!$AK$63="Catastrófico"),CONCATENATE("R10C",'Mapa final'!$Y$63),"")</f>
        <v/>
      </c>
      <c r="AI25" s="59" t="str">
        <f>IF(AND('Mapa final'!$AI$64="Alta",'Mapa final'!$AK$64="Catastrófico"),CONCATENATE("R10C",'Mapa final'!$Y$64),"")</f>
        <v/>
      </c>
      <c r="AJ25" s="59" t="str">
        <f>IF(AND('Mapa final'!$AI$65="Alta",'Mapa final'!$AK$65="Catastrófico"),CONCATENATE("R10C",'Mapa final'!$Y$65),"")</f>
        <v/>
      </c>
      <c r="AK25" s="59" t="str">
        <f>IF(AND('Mapa final'!$AI$66="Alta",'Mapa final'!$AK$66="Catastrófico"),CONCATENATE("R10C",'Mapa final'!$Y$66),"")</f>
        <v/>
      </c>
      <c r="AL25" s="59" t="str">
        <f>IF(AND('Mapa final'!$AI$67="Alta",'Mapa final'!$AK$67="Catastrófico"),CONCATENATE("R10C",'Mapa final'!$Y$67),"")</f>
        <v/>
      </c>
      <c r="AM25" s="60" t="str">
        <f>IF(AND('Mapa final'!$AI$68="Alta",'Mapa final'!$AK$68="Catastrófico"),CONCATENATE("R10C",'Mapa final'!$Y$68),"")</f>
        <v/>
      </c>
      <c r="AN25" s="80"/>
      <c r="AO25" s="444"/>
      <c r="AP25" s="445"/>
      <c r="AQ25" s="445"/>
      <c r="AR25" s="445"/>
      <c r="AS25" s="445"/>
      <c r="AT25" s="446"/>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row>
    <row r="26" spans="1:76" ht="15" customHeight="1" x14ac:dyDescent="0.25">
      <c r="A26" s="80"/>
      <c r="B26" s="390"/>
      <c r="C26" s="390"/>
      <c r="D26" s="391"/>
      <c r="E26" s="428" t="s">
        <v>130</v>
      </c>
      <c r="F26" s="429"/>
      <c r="G26" s="429"/>
      <c r="H26" s="429"/>
      <c r="I26" s="430"/>
      <c r="J26" s="61" t="str">
        <f>IF(AND('Mapa final'!$AI$11="Media",'Mapa final'!$AK$11="Leve"),CONCATENATE("R1C",'Mapa final'!$Y$11),"")</f>
        <v/>
      </c>
      <c r="K26" s="62" t="str">
        <f>IF(AND('Mapa final'!$AI$12="Media",'Mapa final'!$AK$12="Leve"),CONCATENATE("R1C",'Mapa final'!$Y$12),"")</f>
        <v/>
      </c>
      <c r="L26" s="62" t="str">
        <f>IF(AND('Mapa final'!$AI$13="Media",'Mapa final'!$AK$13="Leve"),CONCATENATE("R1C",'Mapa final'!$Y$13),"")</f>
        <v/>
      </c>
      <c r="M26" s="62" t="str">
        <f>IF(AND('Mapa final'!$AI$14="Media",'Mapa final'!$AK$14="Leve"),CONCATENATE("R1C",'Mapa final'!$Y$14),"")</f>
        <v/>
      </c>
      <c r="N26" s="62" t="e">
        <f>IF(AND('Mapa final'!#REF!="Media",'Mapa final'!#REF!="Leve"),CONCATENATE("R1C",'Mapa final'!#REF!),"")</f>
        <v>#REF!</v>
      </c>
      <c r="O26" s="63" t="e">
        <f>IF(AND('Mapa final'!#REF!="Media",'Mapa final'!#REF!="Leve"),CONCATENATE("R1C",'Mapa final'!#REF!),"")</f>
        <v>#REF!</v>
      </c>
      <c r="P26" s="61" t="str">
        <f>IF(AND('Mapa final'!$AI$11="Media",'Mapa final'!$AK$11="Menor"),CONCATENATE("R1C",'Mapa final'!$Y$11),"")</f>
        <v/>
      </c>
      <c r="Q26" s="62" t="str">
        <f>IF(AND('Mapa final'!$AI$12="Media",'Mapa final'!$AK$12="Menor"),CONCATENATE("R1C",'Mapa final'!$Y$12),"")</f>
        <v/>
      </c>
      <c r="R26" s="62" t="str">
        <f>IF(AND('Mapa final'!$AI$13="Media",'Mapa final'!$AK$13="Menor"),CONCATENATE("R1C",'Mapa final'!$Y$13),"")</f>
        <v/>
      </c>
      <c r="S26" s="62" t="str">
        <f>IF(AND('Mapa final'!$AI$14="Media",'Mapa final'!$AK$14="Menor"),CONCATENATE("R1C",'Mapa final'!$Y$14),"")</f>
        <v/>
      </c>
      <c r="T26" s="62" t="e">
        <f>IF(AND('Mapa final'!#REF!="Media",'Mapa final'!#REF!="Menor"),CONCATENATE("R1C",'Mapa final'!#REF!),"")</f>
        <v>#REF!</v>
      </c>
      <c r="U26" s="63" t="e">
        <f>IF(AND('Mapa final'!#REF!="Media",'Mapa final'!#REF!="Menor"),CONCATENATE("R1C",'Mapa final'!#REF!),"")</f>
        <v>#REF!</v>
      </c>
      <c r="V26" s="61" t="str">
        <f>IF(AND('Mapa final'!$AI$11="Media",'Mapa final'!$AK$11="Moderado"),CONCATENATE("R1C",'Mapa final'!$Y$11),"")</f>
        <v/>
      </c>
      <c r="W26" s="62" t="str">
        <f>IF(AND('Mapa final'!$AI$12="Media",'Mapa final'!$AK$12="Moderado"),CONCATENATE("R1C",'Mapa final'!$Y$12),"")</f>
        <v/>
      </c>
      <c r="X26" s="62" t="str">
        <f>IF(AND('Mapa final'!$AI$13="Media",'Mapa final'!$AK$13="Moderado"),CONCATENATE("R1C",'Mapa final'!$Y$13),"")</f>
        <v/>
      </c>
      <c r="Y26" s="62" t="str">
        <f>IF(AND('Mapa final'!$AI$14="Media",'Mapa final'!$AK$14="Moderado"),CONCATENATE("R1C",'Mapa final'!$Y$14),"")</f>
        <v/>
      </c>
      <c r="Z26" s="62" t="e">
        <f>IF(AND('Mapa final'!#REF!="Media",'Mapa final'!#REF!="Moderado"),CONCATENATE("R1C",'Mapa final'!#REF!),"")</f>
        <v>#REF!</v>
      </c>
      <c r="AA26" s="63" t="e">
        <f>IF(AND('Mapa final'!#REF!="Media",'Mapa final'!#REF!="Moderado"),CONCATENATE("R1C",'Mapa final'!#REF!),"")</f>
        <v>#REF!</v>
      </c>
      <c r="AB26" s="43" t="str">
        <f>IF(AND('Mapa final'!$AI$11="Media",'Mapa final'!$AK$11="Mayor"),CONCATENATE("R1C",'Mapa final'!$Y$11),"")</f>
        <v>R1C1</v>
      </c>
      <c r="AC26" s="44" t="str">
        <f>IF(AND('Mapa final'!$AI$12="Media",'Mapa final'!$AK$12="Mayor"),CONCATENATE("R1C",'Mapa final'!$Y$12),"")</f>
        <v/>
      </c>
      <c r="AD26" s="44" t="str">
        <f>IF(AND('Mapa final'!$AI$13="Media",'Mapa final'!$AK$13="Mayor"),CONCATENATE("R1C",'Mapa final'!$Y$13),"")</f>
        <v/>
      </c>
      <c r="AE26" s="44" t="str">
        <f>IF(AND('Mapa final'!$AI$14="Media",'Mapa final'!$AK$14="Mayor"),CONCATENATE("R1C",'Mapa final'!$Y$14),"")</f>
        <v/>
      </c>
      <c r="AF26" s="44" t="e">
        <f>IF(AND('Mapa final'!#REF!="Media",'Mapa final'!#REF!="Mayor"),CONCATENATE("R1C",'Mapa final'!#REF!),"")</f>
        <v>#REF!</v>
      </c>
      <c r="AG26" s="45" t="e">
        <f>IF(AND('Mapa final'!#REF!="Media",'Mapa final'!#REF!="Mayor"),CONCATENATE("R1C",'Mapa final'!#REF!),"")</f>
        <v>#REF!</v>
      </c>
      <c r="AH26" s="46" t="str">
        <f>IF(AND('Mapa final'!$AI$11="Media",'Mapa final'!$AK$11="Catastrófico"),CONCATENATE("R1C",'Mapa final'!$Y$11),"")</f>
        <v/>
      </c>
      <c r="AI26" s="47" t="str">
        <f>IF(AND('Mapa final'!$AI$12="Media",'Mapa final'!$AK$12="Catastrófico"),CONCATENATE("R1C",'Mapa final'!$Y$12),"")</f>
        <v/>
      </c>
      <c r="AJ26" s="47" t="str">
        <f>IF(AND('Mapa final'!$AI$13="Media",'Mapa final'!$AK$13="Catastrófico"),CONCATENATE("R1C",'Mapa final'!$Y$13),"")</f>
        <v/>
      </c>
      <c r="AK26" s="47" t="str">
        <f>IF(AND('Mapa final'!$AI$14="Media",'Mapa final'!$AK$14="Catastrófico"),CONCATENATE("R1C",'Mapa final'!$Y$14),"")</f>
        <v/>
      </c>
      <c r="AL26" s="47" t="e">
        <f>IF(AND('Mapa final'!#REF!="Media",'Mapa final'!#REF!="Catastrófico"),CONCATENATE("R1C",'Mapa final'!#REF!),"")</f>
        <v>#REF!</v>
      </c>
      <c r="AM26" s="48" t="e">
        <f>IF(AND('Mapa final'!#REF!="Media",'Mapa final'!#REF!="Catastrófico"),CONCATENATE("R1C",'Mapa final'!#REF!),"")</f>
        <v>#REF!</v>
      </c>
      <c r="AN26" s="80"/>
      <c r="AO26" s="468" t="s">
        <v>131</v>
      </c>
      <c r="AP26" s="469"/>
      <c r="AQ26" s="469"/>
      <c r="AR26" s="469"/>
      <c r="AS26" s="469"/>
      <c r="AT26" s="47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row>
    <row r="27" spans="1:76" ht="15" customHeight="1" x14ac:dyDescent="0.25">
      <c r="A27" s="80"/>
      <c r="B27" s="390"/>
      <c r="C27" s="390"/>
      <c r="D27" s="391"/>
      <c r="E27" s="447"/>
      <c r="F27" s="432"/>
      <c r="G27" s="432"/>
      <c r="H27" s="432"/>
      <c r="I27" s="433"/>
      <c r="J27" s="64" t="str">
        <f>IF(AND('Mapa final'!$AI$15="Media",'Mapa final'!$AK$15="Leve"),CONCATENATE("R2C",'Mapa final'!$Y$15),"")</f>
        <v/>
      </c>
      <c r="K27" s="65" t="str">
        <f>IF(AND('Mapa final'!$AI$16="Media",'Mapa final'!$AK$16="Leve"),CONCATENATE("R2C",'Mapa final'!$Y$16),"")</f>
        <v/>
      </c>
      <c r="L27" s="65" t="str">
        <f>IF(AND('Mapa final'!$AI$17="Media",'Mapa final'!$AK$17="Leve"),CONCATENATE("R2C",'Mapa final'!$Y$17),"")</f>
        <v/>
      </c>
      <c r="M27" s="65" t="str">
        <f>IF(AND('Mapa final'!$AI$18="Media",'Mapa final'!$AK$18="Leve"),CONCATENATE("R2C",'Mapa final'!$Y$18),"")</f>
        <v/>
      </c>
      <c r="N27" s="65" t="str">
        <f>IF(AND('Mapa final'!$AI$19="Media",'Mapa final'!$AK$19="Leve"),CONCATENATE("R2C",'Mapa final'!$Y$19),"")</f>
        <v/>
      </c>
      <c r="O27" s="66" t="str">
        <f>IF(AND('Mapa final'!$AI$20="Media",'Mapa final'!$AK$20="Leve"),CONCATENATE("R2C",'Mapa final'!$Y$20),"")</f>
        <v/>
      </c>
      <c r="P27" s="64" t="str">
        <f>IF(AND('Mapa final'!$AI$15="Media",'Mapa final'!$AK$15="Menor"),CONCATENATE("R2C",'Mapa final'!$Y$15),"")</f>
        <v/>
      </c>
      <c r="Q27" s="65" t="str">
        <f>IF(AND('Mapa final'!$AI$16="Media",'Mapa final'!$AK$16="Menor"),CONCATENATE("R2C",'Mapa final'!$Y$16),"")</f>
        <v/>
      </c>
      <c r="R27" s="65" t="str">
        <f>IF(AND('Mapa final'!$AI$17="Media",'Mapa final'!$AK$17="Menor"),CONCATENATE("R2C",'Mapa final'!$Y$17),"")</f>
        <v/>
      </c>
      <c r="S27" s="65" t="str">
        <f>IF(AND('Mapa final'!$AI$18="Media",'Mapa final'!$AK$18="Menor"),CONCATENATE("R2C",'Mapa final'!$Y$18),"")</f>
        <v/>
      </c>
      <c r="T27" s="65" t="str">
        <f>IF(AND('Mapa final'!$AI$19="Media",'Mapa final'!$AK$19="Menor"),CONCATENATE("R2C",'Mapa final'!$Y$19),"")</f>
        <v/>
      </c>
      <c r="U27" s="66" t="str">
        <f>IF(AND('Mapa final'!$AI$20="Media",'Mapa final'!$AK$20="Menor"),CONCATENATE("R2C",'Mapa final'!$Y$20),"")</f>
        <v/>
      </c>
      <c r="V27" s="64" t="str">
        <f>IF(AND('Mapa final'!$AI$15="Media",'Mapa final'!$AK$15="Moderado"),CONCATENATE("R2C",'Mapa final'!$Y$15),"")</f>
        <v/>
      </c>
      <c r="W27" s="65" t="str">
        <f>IF(AND('Mapa final'!$AI$16="Media",'Mapa final'!$AK$16="Moderado"),CONCATENATE("R2C",'Mapa final'!$Y$16),"")</f>
        <v/>
      </c>
      <c r="X27" s="65" t="str">
        <f>IF(AND('Mapa final'!$AI$17="Media",'Mapa final'!$AK$17="Moderado"),CONCATENATE("R2C",'Mapa final'!$Y$17),"")</f>
        <v/>
      </c>
      <c r="Y27" s="65" t="str">
        <f>IF(AND('Mapa final'!$AI$18="Media",'Mapa final'!$AK$18="Moderado"),CONCATENATE("R2C",'Mapa final'!$Y$18),"")</f>
        <v/>
      </c>
      <c r="Z27" s="65" t="str">
        <f>IF(AND('Mapa final'!$AI$19="Media",'Mapa final'!$AK$19="Moderado"),CONCATENATE("R2C",'Mapa final'!$Y$19),"")</f>
        <v/>
      </c>
      <c r="AA27" s="66" t="str">
        <f>IF(AND('Mapa final'!$AI$20="Media",'Mapa final'!$AK$20="Moderado"),CONCATENATE("R2C",'Mapa final'!$Y$20),"")</f>
        <v/>
      </c>
      <c r="AB27" s="49" t="str">
        <f>IF(AND('Mapa final'!$AI$15="Media",'Mapa final'!$AK$15="Mayor"),CONCATENATE("R2C",'Mapa final'!$Y$15),"")</f>
        <v>R2C1</v>
      </c>
      <c r="AC27" s="50" t="str">
        <f>IF(AND('Mapa final'!$AI$16="Media",'Mapa final'!$AK$16="Mayor"),CONCATENATE("R2C",'Mapa final'!$Y$16),"")</f>
        <v/>
      </c>
      <c r="AD27" s="50" t="str">
        <f>IF(AND('Mapa final'!$AI$17="Media",'Mapa final'!$AK$17="Mayor"),CONCATENATE("R2C",'Mapa final'!$Y$17),"")</f>
        <v/>
      </c>
      <c r="AE27" s="50" t="str">
        <f>IF(AND('Mapa final'!$AI$18="Media",'Mapa final'!$AK$18="Mayor"),CONCATENATE("R2C",'Mapa final'!$Y$18),"")</f>
        <v/>
      </c>
      <c r="AF27" s="50" t="str">
        <f>IF(AND('Mapa final'!$AI$19="Media",'Mapa final'!$AK$19="Mayor"),CONCATENATE("R2C",'Mapa final'!$Y$19),"")</f>
        <v/>
      </c>
      <c r="AG27" s="51" t="str">
        <f>IF(AND('Mapa final'!$AI$20="Media",'Mapa final'!$AK$20="Mayor"),CONCATENATE("R2C",'Mapa final'!$Y$20),"")</f>
        <v/>
      </c>
      <c r="AH27" s="52" t="str">
        <f>IF(AND('Mapa final'!$AI$15="Media",'Mapa final'!$AK$15="Catastrófico"),CONCATENATE("R2C",'Mapa final'!$Y$15),"")</f>
        <v/>
      </c>
      <c r="AI27" s="53" t="str">
        <f>IF(AND('Mapa final'!$AI$16="Media",'Mapa final'!$AK$16="Catastrófico"),CONCATENATE("R2C",'Mapa final'!$Y$16),"")</f>
        <v/>
      </c>
      <c r="AJ27" s="53" t="str">
        <f>IF(AND('Mapa final'!$AI$17="Media",'Mapa final'!$AK$17="Catastrófico"),CONCATENATE("R2C",'Mapa final'!$Y$17),"")</f>
        <v/>
      </c>
      <c r="AK27" s="53" t="str">
        <f>IF(AND('Mapa final'!$AI$18="Media",'Mapa final'!$AK$18="Catastrófico"),CONCATENATE("R2C",'Mapa final'!$Y$18),"")</f>
        <v/>
      </c>
      <c r="AL27" s="53" t="str">
        <f>IF(AND('Mapa final'!$AI$19="Media",'Mapa final'!$AK$19="Catastrófico"),CONCATENATE("R2C",'Mapa final'!$Y$19),"")</f>
        <v/>
      </c>
      <c r="AM27" s="54" t="str">
        <f>IF(AND('Mapa final'!$AI$20="Media",'Mapa final'!$AK$20="Catastrófico"),CONCATENATE("R2C",'Mapa final'!$Y$20),"")</f>
        <v/>
      </c>
      <c r="AN27" s="80"/>
      <c r="AO27" s="471"/>
      <c r="AP27" s="472"/>
      <c r="AQ27" s="472"/>
      <c r="AR27" s="472"/>
      <c r="AS27" s="472"/>
      <c r="AT27" s="473"/>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row>
    <row r="28" spans="1:76" ht="15" customHeight="1" x14ac:dyDescent="0.25">
      <c r="A28" s="80"/>
      <c r="B28" s="390"/>
      <c r="C28" s="390"/>
      <c r="D28" s="391"/>
      <c r="E28" s="431"/>
      <c r="F28" s="432"/>
      <c r="G28" s="432"/>
      <c r="H28" s="432"/>
      <c r="I28" s="433"/>
      <c r="J28" s="64" t="str">
        <f>IF(AND('Mapa final'!$AI$21="Media",'Mapa final'!$AK$21="Leve"),CONCATENATE("R3C",'Mapa final'!$Y$21),"")</f>
        <v/>
      </c>
      <c r="K28" s="65" t="str">
        <f>IF(AND('Mapa final'!$AI$22="Media",'Mapa final'!$AK$22="Leve"),CONCATENATE("R3C",'Mapa final'!$Y$22),"")</f>
        <v/>
      </c>
      <c r="L28" s="65" t="str">
        <f>IF(AND('Mapa final'!$AI$23="Media",'Mapa final'!$AK$23="Leve"),CONCATENATE("R3C",'Mapa final'!$Y$23),"")</f>
        <v/>
      </c>
      <c r="M28" s="65" t="str">
        <f>IF(AND('Mapa final'!$AI$24="Media",'Mapa final'!$AK$24="Leve"),CONCATENATE("R3C",'Mapa final'!$Y$24),"")</f>
        <v/>
      </c>
      <c r="N28" s="65" t="str">
        <f>IF(AND('Mapa final'!$AI$25="Media",'Mapa final'!$AK$25="Leve"),CONCATENATE("R3C",'Mapa final'!$Y$25),"")</f>
        <v/>
      </c>
      <c r="O28" s="66" t="str">
        <f>IF(AND('Mapa final'!$AI$26="Media",'Mapa final'!$AK$26="Leve"),CONCATENATE("R3C",'Mapa final'!$Y$26),"")</f>
        <v/>
      </c>
      <c r="P28" s="64" t="str">
        <f>IF(AND('Mapa final'!$AI$21="Media",'Mapa final'!$AK$21="Menor"),CONCATENATE("R3C",'Mapa final'!$Y$21),"")</f>
        <v/>
      </c>
      <c r="Q28" s="65" t="str">
        <f>IF(AND('Mapa final'!$AI$22="Media",'Mapa final'!$AK$22="Menor"),CONCATENATE("R3C",'Mapa final'!$Y$22),"")</f>
        <v/>
      </c>
      <c r="R28" s="65" t="str">
        <f>IF(AND('Mapa final'!$AI$23="Media",'Mapa final'!$AK$23="Menor"),CONCATENATE("R3C",'Mapa final'!$Y$23),"")</f>
        <v/>
      </c>
      <c r="S28" s="65" t="str">
        <f>IF(AND('Mapa final'!$AI$24="Media",'Mapa final'!$AK$24="Menor"),CONCATENATE("R3C",'Mapa final'!$Y$24),"")</f>
        <v/>
      </c>
      <c r="T28" s="65" t="str">
        <f>IF(AND('Mapa final'!$AI$25="Media",'Mapa final'!$AK$25="Menor"),CONCATENATE("R3C",'Mapa final'!$Y$25),"")</f>
        <v/>
      </c>
      <c r="U28" s="66" t="str">
        <f>IF(AND('Mapa final'!$AI$26="Media",'Mapa final'!$AK$26="Menor"),CONCATENATE("R3C",'Mapa final'!$Y$26),"")</f>
        <v/>
      </c>
      <c r="V28" s="64" t="str">
        <f>IF(AND('Mapa final'!$AI$21="Media",'Mapa final'!$AK$21="Moderado"),CONCATENATE("R3C",'Mapa final'!$Y$21),"")</f>
        <v/>
      </c>
      <c r="W28" s="65" t="str">
        <f>IF(AND('Mapa final'!$AI$22="Media",'Mapa final'!$AK$22="Moderado"),CONCATENATE("R3C",'Mapa final'!$Y$22),"")</f>
        <v/>
      </c>
      <c r="X28" s="65" t="str">
        <f>IF(AND('Mapa final'!$AI$23="Media",'Mapa final'!$AK$23="Moderado"),CONCATENATE("R3C",'Mapa final'!$Y$23),"")</f>
        <v/>
      </c>
      <c r="Y28" s="65" t="str">
        <f>IF(AND('Mapa final'!$AI$24="Media",'Mapa final'!$AK$24="Moderado"),CONCATENATE("R3C",'Mapa final'!$Y$24),"")</f>
        <v/>
      </c>
      <c r="Z28" s="65" t="str">
        <f>IF(AND('Mapa final'!$AI$25="Media",'Mapa final'!$AK$25="Moderado"),CONCATENATE("R3C",'Mapa final'!$Y$25),"")</f>
        <v/>
      </c>
      <c r="AA28" s="66" t="str">
        <f>IF(AND('Mapa final'!$AI$26="Media",'Mapa final'!$AK$26="Moderado"),CONCATENATE("R3C",'Mapa final'!$Y$26),"")</f>
        <v/>
      </c>
      <c r="AB28" s="49" t="str">
        <f>IF(AND('Mapa final'!$AI$21="Media",'Mapa final'!$AK$21="Mayor"),CONCATENATE("R3C",'Mapa final'!$Y$21),"")</f>
        <v/>
      </c>
      <c r="AC28" s="50" t="str">
        <f>IF(AND('Mapa final'!$AI$22="Media",'Mapa final'!$AK$22="Mayor"),CONCATENATE("R3C",'Mapa final'!$Y$22),"")</f>
        <v/>
      </c>
      <c r="AD28" s="50" t="str">
        <f>IF(AND('Mapa final'!$AI$23="Media",'Mapa final'!$AK$23="Mayor"),CONCATENATE("R3C",'Mapa final'!$Y$23),"")</f>
        <v/>
      </c>
      <c r="AE28" s="50" t="str">
        <f>IF(AND('Mapa final'!$AI$24="Media",'Mapa final'!$AK$24="Mayor"),CONCATENATE("R3C",'Mapa final'!$Y$24),"")</f>
        <v/>
      </c>
      <c r="AF28" s="50" t="str">
        <f>IF(AND('Mapa final'!$AI$25="Media",'Mapa final'!$AK$25="Mayor"),CONCATENATE("R3C",'Mapa final'!$Y$25),"")</f>
        <v/>
      </c>
      <c r="AG28" s="51" t="str">
        <f>IF(AND('Mapa final'!$AI$26="Media",'Mapa final'!$AK$26="Mayor"),CONCATENATE("R3C",'Mapa final'!$Y$26),"")</f>
        <v/>
      </c>
      <c r="AH28" s="52" t="str">
        <f>IF(AND('Mapa final'!$AI$21="Media",'Mapa final'!$AK$21="Catastrófico"),CONCATENATE("R3C",'Mapa final'!$Y$21),"")</f>
        <v/>
      </c>
      <c r="AI28" s="53" t="str">
        <f>IF(AND('Mapa final'!$AI$22="Media",'Mapa final'!$AK$22="Catastrófico"),CONCATENATE("R3C",'Mapa final'!$Y$22),"")</f>
        <v/>
      </c>
      <c r="AJ28" s="53" t="str">
        <f>IF(AND('Mapa final'!$AI$23="Media",'Mapa final'!$AK$23="Catastrófico"),CONCATENATE("R3C",'Mapa final'!$Y$23),"")</f>
        <v/>
      </c>
      <c r="AK28" s="53" t="str">
        <f>IF(AND('Mapa final'!$AI$24="Media",'Mapa final'!$AK$24="Catastrófico"),CONCATENATE("R3C",'Mapa final'!$Y$24),"")</f>
        <v/>
      </c>
      <c r="AL28" s="53" t="str">
        <f>IF(AND('Mapa final'!$AI$25="Media",'Mapa final'!$AK$25="Catastrófico"),CONCATENATE("R3C",'Mapa final'!$Y$25),"")</f>
        <v/>
      </c>
      <c r="AM28" s="54" t="str">
        <f>IF(AND('Mapa final'!$AI$26="Media",'Mapa final'!$AK$26="Catastrófico"),CONCATENATE("R3C",'Mapa final'!$Y$26),"")</f>
        <v/>
      </c>
      <c r="AN28" s="80"/>
      <c r="AO28" s="471"/>
      <c r="AP28" s="472"/>
      <c r="AQ28" s="472"/>
      <c r="AR28" s="472"/>
      <c r="AS28" s="472"/>
      <c r="AT28" s="473"/>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row>
    <row r="29" spans="1:76" ht="15" customHeight="1" x14ac:dyDescent="0.25">
      <c r="A29" s="80"/>
      <c r="B29" s="390"/>
      <c r="C29" s="390"/>
      <c r="D29" s="391"/>
      <c r="E29" s="431"/>
      <c r="F29" s="432"/>
      <c r="G29" s="432"/>
      <c r="H29" s="432"/>
      <c r="I29" s="433"/>
      <c r="J29" s="64" t="str">
        <f>IF(AND('Mapa final'!$AI$27="Media",'Mapa final'!$AK$27="Leve"),CONCATENATE("R4C",'Mapa final'!$Y$27),"")</f>
        <v/>
      </c>
      <c r="K29" s="65" t="str">
        <f>IF(AND('Mapa final'!$AI$28="Media",'Mapa final'!$AK$28="Leve"),CONCATENATE("R4C",'Mapa final'!$Y$28),"")</f>
        <v/>
      </c>
      <c r="L29" s="65" t="str">
        <f>IF(AND('Mapa final'!$AI$29="Media",'Mapa final'!$AK$29="Leve"),CONCATENATE("R4C",'Mapa final'!$Y$29),"")</f>
        <v/>
      </c>
      <c r="M29" s="65" t="str">
        <f>IF(AND('Mapa final'!$AI$30="Media",'Mapa final'!$AK$30="Leve"),CONCATENATE("R4C",'Mapa final'!$Y$30),"")</f>
        <v/>
      </c>
      <c r="N29" s="65" t="str">
        <f>IF(AND('Mapa final'!$AI$31="Media",'Mapa final'!$AK$31="Leve"),CONCATENATE("R4C",'Mapa final'!$Y$31),"")</f>
        <v/>
      </c>
      <c r="O29" s="66" t="str">
        <f>IF(AND('Mapa final'!$AI$32="Media",'Mapa final'!$AK$32="Leve"),CONCATENATE("R4C",'Mapa final'!$Y$32),"")</f>
        <v/>
      </c>
      <c r="P29" s="64" t="str">
        <f>IF(AND('Mapa final'!$AI$27="Media",'Mapa final'!$AK$27="Menor"),CONCATENATE("R4C",'Mapa final'!$Y$27),"")</f>
        <v/>
      </c>
      <c r="Q29" s="65" t="str">
        <f>IF(AND('Mapa final'!$AI$28="Media",'Mapa final'!$AK$28="Menor"),CONCATENATE("R4C",'Mapa final'!$Y$28),"")</f>
        <v/>
      </c>
      <c r="R29" s="65" t="str">
        <f>IF(AND('Mapa final'!$AI$29="Media",'Mapa final'!$AK$29="Menor"),CONCATENATE("R4C",'Mapa final'!$Y$29),"")</f>
        <v/>
      </c>
      <c r="S29" s="65" t="str">
        <f>IF(AND('Mapa final'!$AI$30="Media",'Mapa final'!$AK$30="Menor"),CONCATENATE("R4C",'Mapa final'!$Y$30),"")</f>
        <v/>
      </c>
      <c r="T29" s="65" t="str">
        <f>IF(AND('Mapa final'!$AI$31="Media",'Mapa final'!$AK$31="Menor"),CONCATENATE("R4C",'Mapa final'!$Y$31),"")</f>
        <v/>
      </c>
      <c r="U29" s="66" t="str">
        <f>IF(AND('Mapa final'!$AI$32="Media",'Mapa final'!$AK$32="Menor"),CONCATENATE("R4C",'Mapa final'!$Y$32),"")</f>
        <v/>
      </c>
      <c r="V29" s="64" t="str">
        <f>IF(AND('Mapa final'!$AI$27="Media",'Mapa final'!$AK$27="Moderado"),CONCATENATE("R4C",'Mapa final'!$Y$27),"")</f>
        <v/>
      </c>
      <c r="W29" s="65" t="str">
        <f>IF(AND('Mapa final'!$AI$28="Media",'Mapa final'!$AK$28="Moderado"),CONCATENATE("R4C",'Mapa final'!$Y$28),"")</f>
        <v/>
      </c>
      <c r="X29" s="65" t="str">
        <f>IF(AND('Mapa final'!$AI$29="Media",'Mapa final'!$AK$29="Moderado"),CONCATENATE("R4C",'Mapa final'!$Y$29),"")</f>
        <v/>
      </c>
      <c r="Y29" s="65" t="str">
        <f>IF(AND('Mapa final'!$AI$30="Media",'Mapa final'!$AK$30="Moderado"),CONCATENATE("R4C",'Mapa final'!$Y$30),"")</f>
        <v/>
      </c>
      <c r="Z29" s="65" t="str">
        <f>IF(AND('Mapa final'!$AI$31="Media",'Mapa final'!$AK$31="Moderado"),CONCATENATE("R4C",'Mapa final'!$Y$31),"")</f>
        <v/>
      </c>
      <c r="AA29" s="66" t="str">
        <f>IF(AND('Mapa final'!$AI$32="Media",'Mapa final'!$AK$32="Moderado"),CONCATENATE("R4C",'Mapa final'!$Y$32),"")</f>
        <v/>
      </c>
      <c r="AB29" s="49" t="str">
        <f>IF(AND('Mapa final'!$AI$27="Media",'Mapa final'!$AK$27="Mayor"),CONCATENATE("R4C",'Mapa final'!$Y$27),"")</f>
        <v/>
      </c>
      <c r="AC29" s="50" t="str">
        <f>IF(AND('Mapa final'!$AI$28="Media",'Mapa final'!$AK$28="Mayor"),CONCATENATE("R4C",'Mapa final'!$Y$28),"")</f>
        <v/>
      </c>
      <c r="AD29" s="50" t="str">
        <f>IF(AND('Mapa final'!$AI$29="Media",'Mapa final'!$AK$29="Mayor"),CONCATENATE("R4C",'Mapa final'!$Y$29),"")</f>
        <v/>
      </c>
      <c r="AE29" s="50" t="str">
        <f>IF(AND('Mapa final'!$AI$30="Media",'Mapa final'!$AK$30="Mayor"),CONCATENATE("R4C",'Mapa final'!$Y$30),"")</f>
        <v/>
      </c>
      <c r="AF29" s="50" t="str">
        <f>IF(AND('Mapa final'!$AI$31="Media",'Mapa final'!$AK$31="Mayor"),CONCATENATE("R4C",'Mapa final'!$Y$31),"")</f>
        <v/>
      </c>
      <c r="AG29" s="51" t="str">
        <f>IF(AND('Mapa final'!$AI$32="Media",'Mapa final'!$AK$32="Mayor"),CONCATENATE("R4C",'Mapa final'!$Y$32),"")</f>
        <v/>
      </c>
      <c r="AH29" s="52" t="str">
        <f>IF(AND('Mapa final'!$AI$27="Media",'Mapa final'!$AK$27="Catastrófico"),CONCATENATE("R4C",'Mapa final'!$Y$27),"")</f>
        <v/>
      </c>
      <c r="AI29" s="53" t="str">
        <f>IF(AND('Mapa final'!$AI$28="Media",'Mapa final'!$AK$28="Catastrófico"),CONCATENATE("R4C",'Mapa final'!$Y$28),"")</f>
        <v/>
      </c>
      <c r="AJ29" s="53" t="str">
        <f>IF(AND('Mapa final'!$AI$29="Media",'Mapa final'!$AK$29="Catastrófico"),CONCATENATE("R4C",'Mapa final'!$Y$29),"")</f>
        <v/>
      </c>
      <c r="AK29" s="53" t="str">
        <f>IF(AND('Mapa final'!$AI$30="Media",'Mapa final'!$AK$30="Catastrófico"),CONCATENATE("R4C",'Mapa final'!$Y$30),"")</f>
        <v/>
      </c>
      <c r="AL29" s="53" t="str">
        <f>IF(AND('Mapa final'!$AI$31="Media",'Mapa final'!$AK$31="Catastrófico"),CONCATENATE("R4C",'Mapa final'!$Y$31),"")</f>
        <v/>
      </c>
      <c r="AM29" s="54" t="str">
        <f>IF(AND('Mapa final'!$AI$32="Media",'Mapa final'!$AK$32="Catastrófico"),CONCATENATE("R4C",'Mapa final'!$Y$32),"")</f>
        <v/>
      </c>
      <c r="AN29" s="80"/>
      <c r="AO29" s="471"/>
      <c r="AP29" s="472"/>
      <c r="AQ29" s="472"/>
      <c r="AR29" s="472"/>
      <c r="AS29" s="472"/>
      <c r="AT29" s="473"/>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row>
    <row r="30" spans="1:76" ht="15" customHeight="1" x14ac:dyDescent="0.25">
      <c r="A30" s="80"/>
      <c r="B30" s="390"/>
      <c r="C30" s="390"/>
      <c r="D30" s="391"/>
      <c r="E30" s="431"/>
      <c r="F30" s="432"/>
      <c r="G30" s="432"/>
      <c r="H30" s="432"/>
      <c r="I30" s="433"/>
      <c r="J30" s="64" t="str">
        <f>IF(AND('Mapa final'!$AI$33="Media",'Mapa final'!$AK$33="Leve"),CONCATENATE("R5C",'Mapa final'!$Y$33),"")</f>
        <v/>
      </c>
      <c r="K30" s="65" t="str">
        <f>IF(AND('Mapa final'!$AI$34="Media",'Mapa final'!$AK$34="Leve"),CONCATENATE("R5C",'Mapa final'!$Y$34),"")</f>
        <v/>
      </c>
      <c r="L30" s="65" t="str">
        <f>IF(AND('Mapa final'!$AI$35="Media",'Mapa final'!$AK$35="Leve"),CONCATENATE("R5C",'Mapa final'!$Y$35),"")</f>
        <v/>
      </c>
      <c r="M30" s="65" t="str">
        <f>IF(AND('Mapa final'!$AI$36="Media",'Mapa final'!$AK$36="Leve"),CONCATENATE("R5C",'Mapa final'!$Y$36),"")</f>
        <v/>
      </c>
      <c r="N30" s="65" t="str">
        <f>IF(AND('Mapa final'!$AI$37="Media",'Mapa final'!$AK$37="Leve"),CONCATENATE("R5C",'Mapa final'!$Y$37),"")</f>
        <v/>
      </c>
      <c r="O30" s="66" t="str">
        <f>IF(AND('Mapa final'!$AI$38="Media",'Mapa final'!$AK$38="Leve"),CONCATENATE("R5C",'Mapa final'!$Y$38),"")</f>
        <v/>
      </c>
      <c r="P30" s="64" t="str">
        <f>IF(AND('Mapa final'!$AI$33="Media",'Mapa final'!$AK$33="Menor"),CONCATENATE("R5C",'Mapa final'!$Y$33),"")</f>
        <v/>
      </c>
      <c r="Q30" s="65" t="str">
        <f>IF(AND('Mapa final'!$AI$34="Media",'Mapa final'!$AK$34="Menor"),CONCATENATE("R5C",'Mapa final'!$Y$34),"")</f>
        <v/>
      </c>
      <c r="R30" s="65" t="str">
        <f>IF(AND('Mapa final'!$AI$35="Media",'Mapa final'!$AK$35="Menor"),CONCATENATE("R5C",'Mapa final'!$Y$35),"")</f>
        <v/>
      </c>
      <c r="S30" s="65" t="str">
        <f>IF(AND('Mapa final'!$AI$36="Media",'Mapa final'!$AK$36="Menor"),CONCATENATE("R5C",'Mapa final'!$Y$36),"")</f>
        <v/>
      </c>
      <c r="T30" s="65" t="str">
        <f>IF(AND('Mapa final'!$AI$37="Media",'Mapa final'!$AK$37="Menor"),CONCATENATE("R5C",'Mapa final'!$Y$37),"")</f>
        <v/>
      </c>
      <c r="U30" s="66" t="str">
        <f>IF(AND('Mapa final'!$AI$38="Media",'Mapa final'!$AK$38="Menor"),CONCATENATE("R5C",'Mapa final'!$Y$38),"")</f>
        <v/>
      </c>
      <c r="V30" s="64" t="str">
        <f>IF(AND('Mapa final'!$AI$33="Media",'Mapa final'!$AK$33="Moderado"),CONCATENATE("R5C",'Mapa final'!$Y$33),"")</f>
        <v/>
      </c>
      <c r="W30" s="65" t="str">
        <f>IF(AND('Mapa final'!$AI$34="Media",'Mapa final'!$AK$34="Moderado"),CONCATENATE("R5C",'Mapa final'!$Y$34),"")</f>
        <v/>
      </c>
      <c r="X30" s="65" t="str">
        <f>IF(AND('Mapa final'!$AI$35="Media",'Mapa final'!$AK$35="Moderado"),CONCATENATE("R5C",'Mapa final'!$Y$35),"")</f>
        <v/>
      </c>
      <c r="Y30" s="65" t="str">
        <f>IF(AND('Mapa final'!$AI$36="Media",'Mapa final'!$AK$36="Moderado"),CONCATENATE("R5C",'Mapa final'!$Y$36),"")</f>
        <v/>
      </c>
      <c r="Z30" s="65" t="str">
        <f>IF(AND('Mapa final'!$AI$37="Media",'Mapa final'!$AK$37="Moderado"),CONCATENATE("R5C",'Mapa final'!$Y$37),"")</f>
        <v/>
      </c>
      <c r="AA30" s="66" t="str">
        <f>IF(AND('Mapa final'!$AI$38="Media",'Mapa final'!$AK$38="Moderado"),CONCATENATE("R5C",'Mapa final'!$Y$38),"")</f>
        <v/>
      </c>
      <c r="AB30" s="49" t="str">
        <f>IF(AND('Mapa final'!$AI$33="Media",'Mapa final'!$AK$33="Mayor"),CONCATENATE("R5C",'Mapa final'!$Y$33),"")</f>
        <v/>
      </c>
      <c r="AC30" s="50" t="str">
        <f>IF(AND('Mapa final'!$AI$34="Media",'Mapa final'!$AK$34="Mayor"),CONCATENATE("R5C",'Mapa final'!$Y$34),"")</f>
        <v/>
      </c>
      <c r="AD30" s="50" t="str">
        <f>IF(AND('Mapa final'!$AI$35="Media",'Mapa final'!$AK$35="Mayor"),CONCATENATE("R5C",'Mapa final'!$Y$35),"")</f>
        <v/>
      </c>
      <c r="AE30" s="50" t="str">
        <f>IF(AND('Mapa final'!$AI$36="Media",'Mapa final'!$AK$36="Mayor"),CONCATENATE("R5C",'Mapa final'!$Y$36),"")</f>
        <v/>
      </c>
      <c r="AF30" s="50" t="str">
        <f>IF(AND('Mapa final'!$AI$37="Media",'Mapa final'!$AK$37="Mayor"),CONCATENATE("R5C",'Mapa final'!$Y$37),"")</f>
        <v/>
      </c>
      <c r="AG30" s="51" t="str">
        <f>IF(AND('Mapa final'!$AI$38="Media",'Mapa final'!$AK$38="Mayor"),CONCATENATE("R5C",'Mapa final'!$Y$38),"")</f>
        <v/>
      </c>
      <c r="AH30" s="52" t="str">
        <f>IF(AND('Mapa final'!$AI$33="Media",'Mapa final'!$AK$33="Catastrófico"),CONCATENATE("R5C",'Mapa final'!$Y$33),"")</f>
        <v/>
      </c>
      <c r="AI30" s="53" t="str">
        <f>IF(AND('Mapa final'!$AI$34="Media",'Mapa final'!$AK$34="Catastrófico"),CONCATENATE("R5C",'Mapa final'!$Y$34),"")</f>
        <v/>
      </c>
      <c r="AJ30" s="53" t="str">
        <f>IF(AND('Mapa final'!$AI$35="Media",'Mapa final'!$AK$35="Catastrófico"),CONCATENATE("R5C",'Mapa final'!$Y$35),"")</f>
        <v/>
      </c>
      <c r="AK30" s="53" t="str">
        <f>IF(AND('Mapa final'!$AI$36="Media",'Mapa final'!$AK$36="Catastrófico"),CONCATENATE("R5C",'Mapa final'!$Y$36),"")</f>
        <v/>
      </c>
      <c r="AL30" s="53" t="str">
        <f>IF(AND('Mapa final'!$AI$37="Media",'Mapa final'!$AK$37="Catastrófico"),CONCATENATE("R5C",'Mapa final'!$Y$37),"")</f>
        <v/>
      </c>
      <c r="AM30" s="54" t="str">
        <f>IF(AND('Mapa final'!$AI$38="Media",'Mapa final'!$AK$38="Catastrófico"),CONCATENATE("R5C",'Mapa final'!$Y$38),"")</f>
        <v/>
      </c>
      <c r="AN30" s="80"/>
      <c r="AO30" s="471"/>
      <c r="AP30" s="472"/>
      <c r="AQ30" s="472"/>
      <c r="AR30" s="472"/>
      <c r="AS30" s="472"/>
      <c r="AT30" s="473"/>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row>
    <row r="31" spans="1:76" ht="15" customHeight="1" x14ac:dyDescent="0.25">
      <c r="A31" s="80"/>
      <c r="B31" s="390"/>
      <c r="C31" s="390"/>
      <c r="D31" s="391"/>
      <c r="E31" s="431"/>
      <c r="F31" s="432"/>
      <c r="G31" s="432"/>
      <c r="H31" s="432"/>
      <c r="I31" s="433"/>
      <c r="J31" s="64" t="str">
        <f>IF(AND('Mapa final'!$AI$39="Media",'Mapa final'!$AK$39="Leve"),CONCATENATE("R6C",'Mapa final'!$Y$39),"")</f>
        <v/>
      </c>
      <c r="K31" s="65" t="str">
        <f>IF(AND('Mapa final'!$AI$40="Media",'Mapa final'!$AK$40="Leve"),CONCATENATE("R6C",'Mapa final'!$Y$40),"")</f>
        <v/>
      </c>
      <c r="L31" s="65" t="str">
        <f>IF(AND('Mapa final'!$AI$41="Media",'Mapa final'!$AK$41="Leve"),CONCATENATE("R6C",'Mapa final'!$Y$41),"")</f>
        <v/>
      </c>
      <c r="M31" s="65" t="str">
        <f>IF(AND('Mapa final'!$AI$42="Media",'Mapa final'!$AK$42="Leve"),CONCATENATE("R6C",'Mapa final'!$Y$42),"")</f>
        <v/>
      </c>
      <c r="N31" s="65" t="str">
        <f>IF(AND('Mapa final'!$AI$43="Media",'Mapa final'!$AK$43="Leve"),CONCATENATE("R6C",'Mapa final'!$Y$43),"")</f>
        <v/>
      </c>
      <c r="O31" s="66" t="str">
        <f>IF(AND('Mapa final'!$AI$44="Media",'Mapa final'!$AK$44="Leve"),CONCATENATE("R6C",'Mapa final'!$Y$44),"")</f>
        <v/>
      </c>
      <c r="P31" s="64" t="str">
        <f>IF(AND('Mapa final'!$AI$39="Media",'Mapa final'!$AK$39="Menor"),CONCATENATE("R6C",'Mapa final'!$Y$39),"")</f>
        <v/>
      </c>
      <c r="Q31" s="65" t="str">
        <f>IF(AND('Mapa final'!$AI$40="Media",'Mapa final'!$AK$40="Menor"),CONCATENATE("R6C",'Mapa final'!$Y$40),"")</f>
        <v/>
      </c>
      <c r="R31" s="65" t="str">
        <f>IF(AND('Mapa final'!$AI$41="Media",'Mapa final'!$AK$41="Menor"),CONCATENATE("R6C",'Mapa final'!$Y$41),"")</f>
        <v/>
      </c>
      <c r="S31" s="65" t="str">
        <f>IF(AND('Mapa final'!$AI$42="Media",'Mapa final'!$AK$42="Menor"),CONCATENATE("R6C",'Mapa final'!$Y$42),"")</f>
        <v/>
      </c>
      <c r="T31" s="65" t="str">
        <f>IF(AND('Mapa final'!$AI$43="Media",'Mapa final'!$AK$43="Menor"),CONCATENATE("R6C",'Mapa final'!$Y$43),"")</f>
        <v/>
      </c>
      <c r="U31" s="66" t="str">
        <f>IF(AND('Mapa final'!$AI$44="Media",'Mapa final'!$AK$44="Menor"),CONCATENATE("R6C",'Mapa final'!$Y$44),"")</f>
        <v/>
      </c>
      <c r="V31" s="64" t="str">
        <f>IF(AND('Mapa final'!$AI$39="Media",'Mapa final'!$AK$39="Moderado"),CONCATENATE("R6C",'Mapa final'!$Y$39),"")</f>
        <v/>
      </c>
      <c r="W31" s="65" t="str">
        <f>IF(AND('Mapa final'!$AI$40="Media",'Mapa final'!$AK$40="Moderado"),CONCATENATE("R6C",'Mapa final'!$Y$40),"")</f>
        <v/>
      </c>
      <c r="X31" s="65" t="str">
        <f>IF(AND('Mapa final'!$AI$41="Media",'Mapa final'!$AK$41="Moderado"),CONCATENATE("R6C",'Mapa final'!$Y$41),"")</f>
        <v/>
      </c>
      <c r="Y31" s="65" t="str">
        <f>IF(AND('Mapa final'!$AI$42="Media",'Mapa final'!$AK$42="Moderado"),CONCATENATE("R6C",'Mapa final'!$Y$42),"")</f>
        <v/>
      </c>
      <c r="Z31" s="65" t="str">
        <f>IF(AND('Mapa final'!$AI$43="Media",'Mapa final'!$AK$43="Moderado"),CONCATENATE("R6C",'Mapa final'!$Y$43),"")</f>
        <v/>
      </c>
      <c r="AA31" s="66" t="str">
        <f>IF(AND('Mapa final'!$AI$44="Media",'Mapa final'!$AK$44="Moderado"),CONCATENATE("R6C",'Mapa final'!$Y$44),"")</f>
        <v/>
      </c>
      <c r="AB31" s="49" t="str">
        <f>IF(AND('Mapa final'!$AI$39="Media",'Mapa final'!$AK$39="Mayor"),CONCATENATE("R6C",'Mapa final'!$Y$39),"")</f>
        <v/>
      </c>
      <c r="AC31" s="50" t="str">
        <f>IF(AND('Mapa final'!$AI$40="Media",'Mapa final'!$AK$40="Mayor"),CONCATENATE("R6C",'Mapa final'!$Y$40),"")</f>
        <v/>
      </c>
      <c r="AD31" s="50" t="str">
        <f>IF(AND('Mapa final'!$AI$41="Media",'Mapa final'!$AK$41="Mayor"),CONCATENATE("R6C",'Mapa final'!$Y$41),"")</f>
        <v/>
      </c>
      <c r="AE31" s="50" t="str">
        <f>IF(AND('Mapa final'!$AI$42="Media",'Mapa final'!$AK$42="Mayor"),CONCATENATE("R6C",'Mapa final'!$Y$42),"")</f>
        <v/>
      </c>
      <c r="AF31" s="50" t="str">
        <f>IF(AND('Mapa final'!$AI$43="Media",'Mapa final'!$AK$43="Mayor"),CONCATENATE("R6C",'Mapa final'!$Y$43),"")</f>
        <v/>
      </c>
      <c r="AG31" s="51" t="str">
        <f>IF(AND('Mapa final'!$AI$44="Media",'Mapa final'!$AK$44="Mayor"),CONCATENATE("R6C",'Mapa final'!$Y$44),"")</f>
        <v/>
      </c>
      <c r="AH31" s="52" t="str">
        <f>IF(AND('Mapa final'!$AI$39="Media",'Mapa final'!$AK$39="Catastrófico"),CONCATENATE("R6C",'Mapa final'!$Y$39),"")</f>
        <v/>
      </c>
      <c r="AI31" s="53" t="str">
        <f>IF(AND('Mapa final'!$AI$40="Media",'Mapa final'!$AK$40="Catastrófico"),CONCATENATE("R6C",'Mapa final'!$Y$40),"")</f>
        <v/>
      </c>
      <c r="AJ31" s="53" t="str">
        <f>IF(AND('Mapa final'!$AI$41="Media",'Mapa final'!$AK$41="Catastrófico"),CONCATENATE("R6C",'Mapa final'!$Y$41),"")</f>
        <v/>
      </c>
      <c r="AK31" s="53" t="str">
        <f>IF(AND('Mapa final'!$AI$42="Media",'Mapa final'!$AK$42="Catastrófico"),CONCATENATE("R6C",'Mapa final'!$Y$42),"")</f>
        <v/>
      </c>
      <c r="AL31" s="53" t="str">
        <f>IF(AND('Mapa final'!$AI$43="Media",'Mapa final'!$AK$43="Catastrófico"),CONCATENATE("R6C",'Mapa final'!$Y$43),"")</f>
        <v/>
      </c>
      <c r="AM31" s="54" t="str">
        <f>IF(AND('Mapa final'!$AI$44="Media",'Mapa final'!$AK$44="Catastrófico"),CONCATENATE("R6C",'Mapa final'!$Y$44),"")</f>
        <v/>
      </c>
      <c r="AN31" s="80"/>
      <c r="AO31" s="471"/>
      <c r="AP31" s="472"/>
      <c r="AQ31" s="472"/>
      <c r="AR31" s="472"/>
      <c r="AS31" s="472"/>
      <c r="AT31" s="473"/>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row>
    <row r="32" spans="1:76" ht="15" customHeight="1" x14ac:dyDescent="0.25">
      <c r="A32" s="80"/>
      <c r="B32" s="390"/>
      <c r="C32" s="390"/>
      <c r="D32" s="391"/>
      <c r="E32" s="431"/>
      <c r="F32" s="432"/>
      <c r="G32" s="432"/>
      <c r="H32" s="432"/>
      <c r="I32" s="433"/>
      <c r="J32" s="64" t="str">
        <f>IF(AND('Mapa final'!$AI$45="Media",'Mapa final'!$AK$45="Leve"),CONCATENATE("R7C",'Mapa final'!$Y$45),"")</f>
        <v/>
      </c>
      <c r="K32" s="65" t="str">
        <f>IF(AND('Mapa final'!$AI$46="Media",'Mapa final'!$AK$46="Leve"),CONCATENATE("R7C",'Mapa final'!$Y$46),"")</f>
        <v/>
      </c>
      <c r="L32" s="65" t="str">
        <f>IF(AND('Mapa final'!$AI$47="Media",'Mapa final'!$AK$47="Leve"),CONCATENATE("R7C",'Mapa final'!$Y$47),"")</f>
        <v/>
      </c>
      <c r="M32" s="65" t="str">
        <f>IF(AND('Mapa final'!$AI$48="Media",'Mapa final'!$AK$48="Leve"),CONCATENATE("R7C",'Mapa final'!$Y$48),"")</f>
        <v/>
      </c>
      <c r="N32" s="65" t="str">
        <f>IF(AND('Mapa final'!$AI$49="Media",'Mapa final'!$AK$49="Leve"),CONCATENATE("R7C",'Mapa final'!$Y$49),"")</f>
        <v/>
      </c>
      <c r="O32" s="66" t="str">
        <f>IF(AND('Mapa final'!$AI$50="Media",'Mapa final'!$AK$50="Leve"),CONCATENATE("R7C",'Mapa final'!$Y$50),"")</f>
        <v/>
      </c>
      <c r="P32" s="64" t="str">
        <f>IF(AND('Mapa final'!$AI$45="Media",'Mapa final'!$AK$45="Menor"),CONCATENATE("R7C",'Mapa final'!$Y$45),"")</f>
        <v/>
      </c>
      <c r="Q32" s="65" t="str">
        <f>IF(AND('Mapa final'!$AI$46="Media",'Mapa final'!$AK$46="Menor"),CONCATENATE("R7C",'Mapa final'!$Y$46),"")</f>
        <v/>
      </c>
      <c r="R32" s="65" t="str">
        <f>IF(AND('Mapa final'!$AI$47="Media",'Mapa final'!$AK$47="Menor"),CONCATENATE("R7C",'Mapa final'!$Y$47),"")</f>
        <v/>
      </c>
      <c r="S32" s="65" t="str">
        <f>IF(AND('Mapa final'!$AI$48="Media",'Mapa final'!$AK$48="Menor"),CONCATENATE("R7C",'Mapa final'!$Y$48),"")</f>
        <v/>
      </c>
      <c r="T32" s="65" t="str">
        <f>IF(AND('Mapa final'!$AI$49="Media",'Mapa final'!$AK$49="Menor"),CONCATENATE("R7C",'Mapa final'!$Y$49),"")</f>
        <v/>
      </c>
      <c r="U32" s="66" t="str">
        <f>IF(AND('Mapa final'!$AI$50="Media",'Mapa final'!$AK$50="Menor"),CONCATENATE("R7C",'Mapa final'!$Y$50),"")</f>
        <v/>
      </c>
      <c r="V32" s="64" t="str">
        <f>IF(AND('Mapa final'!$AI$45="Media",'Mapa final'!$AK$45="Moderado"),CONCATENATE("R7C",'Mapa final'!$Y$45),"")</f>
        <v/>
      </c>
      <c r="W32" s="65" t="str">
        <f>IF(AND('Mapa final'!$AI$46="Media",'Mapa final'!$AK$46="Moderado"),CONCATENATE("R7C",'Mapa final'!$Y$46),"")</f>
        <v/>
      </c>
      <c r="X32" s="65" t="str">
        <f>IF(AND('Mapa final'!$AI$47="Media",'Mapa final'!$AK$47="Moderado"),CONCATENATE("R7C",'Mapa final'!$Y$47),"")</f>
        <v/>
      </c>
      <c r="Y32" s="65" t="str">
        <f>IF(AND('Mapa final'!$AI$48="Media",'Mapa final'!$AK$48="Moderado"),CONCATENATE("R7C",'Mapa final'!$Y$48),"")</f>
        <v/>
      </c>
      <c r="Z32" s="65" t="str">
        <f>IF(AND('Mapa final'!$AI$49="Media",'Mapa final'!$AK$49="Moderado"),CONCATENATE("R7C",'Mapa final'!$Y$49),"")</f>
        <v/>
      </c>
      <c r="AA32" s="66" t="str">
        <f>IF(AND('Mapa final'!$AI$50="Media",'Mapa final'!$AK$50="Moderado"),CONCATENATE("R7C",'Mapa final'!$Y$50),"")</f>
        <v/>
      </c>
      <c r="AB32" s="49" t="str">
        <f>IF(AND('Mapa final'!$AI$45="Media",'Mapa final'!$AK$45="Mayor"),CONCATENATE("R7C",'Mapa final'!$Y$45),"")</f>
        <v/>
      </c>
      <c r="AC32" s="50" t="str">
        <f>IF(AND('Mapa final'!$AI$46="Media",'Mapa final'!$AK$46="Mayor"),CONCATENATE("R7C",'Mapa final'!$Y$46),"")</f>
        <v/>
      </c>
      <c r="AD32" s="50" t="str">
        <f>IF(AND('Mapa final'!$AI$47="Media",'Mapa final'!$AK$47="Mayor"),CONCATENATE("R7C",'Mapa final'!$Y$47),"")</f>
        <v/>
      </c>
      <c r="AE32" s="50" t="str">
        <f>IF(AND('Mapa final'!$AI$48="Media",'Mapa final'!$AK$48="Mayor"),CONCATENATE("R7C",'Mapa final'!$Y$48),"")</f>
        <v/>
      </c>
      <c r="AF32" s="50" t="str">
        <f>IF(AND('Mapa final'!$AI$49="Media",'Mapa final'!$AK$49="Mayor"),CONCATENATE("R7C",'Mapa final'!$Y$49),"")</f>
        <v/>
      </c>
      <c r="AG32" s="51" t="str">
        <f>IF(AND('Mapa final'!$AI$50="Media",'Mapa final'!$AK$50="Mayor"),CONCATENATE("R7C",'Mapa final'!$Y$50),"")</f>
        <v/>
      </c>
      <c r="AH32" s="52" t="str">
        <f>IF(AND('Mapa final'!$AI$45="Media",'Mapa final'!$AK$45="Catastrófico"),CONCATENATE("R7C",'Mapa final'!$Y$45),"")</f>
        <v/>
      </c>
      <c r="AI32" s="53" t="str">
        <f>IF(AND('Mapa final'!$AI$46="Media",'Mapa final'!$AK$46="Catastrófico"),CONCATENATE("R7C",'Mapa final'!$Y$46),"")</f>
        <v/>
      </c>
      <c r="AJ32" s="53" t="str">
        <f>IF(AND('Mapa final'!$AI$47="Media",'Mapa final'!$AK$47="Catastrófico"),CONCATENATE("R7C",'Mapa final'!$Y$47),"")</f>
        <v/>
      </c>
      <c r="AK32" s="53" t="str">
        <f>IF(AND('Mapa final'!$AI$48="Media",'Mapa final'!$AK$48="Catastrófico"),CONCATENATE("R7C",'Mapa final'!$Y$48),"")</f>
        <v/>
      </c>
      <c r="AL32" s="53" t="str">
        <f>IF(AND('Mapa final'!$AI$49="Media",'Mapa final'!$AK$49="Catastrófico"),CONCATENATE("R7C",'Mapa final'!$Y$49),"")</f>
        <v/>
      </c>
      <c r="AM32" s="54" t="str">
        <f>IF(AND('Mapa final'!$AI$50="Media",'Mapa final'!$AK$50="Catastrófico"),CONCATENATE("R7C",'Mapa final'!$Y$50),"")</f>
        <v/>
      </c>
      <c r="AN32" s="80"/>
      <c r="AO32" s="471"/>
      <c r="AP32" s="472"/>
      <c r="AQ32" s="472"/>
      <c r="AR32" s="472"/>
      <c r="AS32" s="472"/>
      <c r="AT32" s="473"/>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row>
    <row r="33" spans="1:80" ht="15" customHeight="1" x14ac:dyDescent="0.25">
      <c r="A33" s="80"/>
      <c r="B33" s="390"/>
      <c r="C33" s="390"/>
      <c r="D33" s="391"/>
      <c r="E33" s="431"/>
      <c r="F33" s="432"/>
      <c r="G33" s="432"/>
      <c r="H33" s="432"/>
      <c r="I33" s="433"/>
      <c r="J33" s="64" t="str">
        <f>IF(AND('Mapa final'!$AI$51="Media",'Mapa final'!$AK$51="Leve"),CONCATENATE("R8C",'Mapa final'!$Y$51),"")</f>
        <v/>
      </c>
      <c r="K33" s="65" t="str">
        <f>IF(AND('Mapa final'!$AI$52="Media",'Mapa final'!$AK$52="Leve"),CONCATENATE("R8C",'Mapa final'!$Y$52),"")</f>
        <v/>
      </c>
      <c r="L33" s="65" t="str">
        <f>IF(AND('Mapa final'!$AI$53="Media",'Mapa final'!$AK$53="Leve"),CONCATENATE("R8C",'Mapa final'!$Y$53),"")</f>
        <v/>
      </c>
      <c r="M33" s="65" t="str">
        <f>IF(AND('Mapa final'!$AI$54="Media",'Mapa final'!$AK$54="Leve"),CONCATENATE("R8C",'Mapa final'!$Y$54),"")</f>
        <v/>
      </c>
      <c r="N33" s="65" t="str">
        <f>IF(AND('Mapa final'!$AI$55="Media",'Mapa final'!$AK$55="Leve"),CONCATENATE("R8C",'Mapa final'!$Y$55),"")</f>
        <v/>
      </c>
      <c r="O33" s="66" t="str">
        <f>IF(AND('Mapa final'!$AI$56="Media",'Mapa final'!$AK$56="Leve"),CONCATENATE("R8C",'Mapa final'!$Y$56),"")</f>
        <v/>
      </c>
      <c r="P33" s="64" t="str">
        <f>IF(AND('Mapa final'!$AI$51="Media",'Mapa final'!$AK$51="Menor"),CONCATENATE("R8C",'Mapa final'!$Y$51),"")</f>
        <v/>
      </c>
      <c r="Q33" s="65" t="str">
        <f>IF(AND('Mapa final'!$AI$52="Media",'Mapa final'!$AK$52="Menor"),CONCATENATE("R8C",'Mapa final'!$Y$52),"")</f>
        <v/>
      </c>
      <c r="R33" s="65" t="str">
        <f>IF(AND('Mapa final'!$AI$53="Media",'Mapa final'!$AK$53="Menor"),CONCATENATE("R8C",'Mapa final'!$Y$53),"")</f>
        <v/>
      </c>
      <c r="S33" s="65" t="str">
        <f>IF(AND('Mapa final'!$AI$54="Media",'Mapa final'!$AK$54="Menor"),CONCATENATE("R8C",'Mapa final'!$Y$54),"")</f>
        <v/>
      </c>
      <c r="T33" s="65" t="str">
        <f>IF(AND('Mapa final'!$AI$55="Media",'Mapa final'!$AK$55="Menor"),CONCATENATE("R8C",'Mapa final'!$Y$55),"")</f>
        <v/>
      </c>
      <c r="U33" s="66" t="str">
        <f>IF(AND('Mapa final'!$AI$56="Media",'Mapa final'!$AK$56="Menor"),CONCATENATE("R8C",'Mapa final'!$Y$56),"")</f>
        <v/>
      </c>
      <c r="V33" s="64" t="str">
        <f>IF(AND('Mapa final'!$AI$51="Media",'Mapa final'!$AK$51="Moderado"),CONCATENATE("R8C",'Mapa final'!$Y$51),"")</f>
        <v/>
      </c>
      <c r="W33" s="65" t="str">
        <f>IF(AND('Mapa final'!$AI$52="Media",'Mapa final'!$AK$52="Moderado"),CONCATENATE("R8C",'Mapa final'!$Y$52),"")</f>
        <v/>
      </c>
      <c r="X33" s="65" t="str">
        <f>IF(AND('Mapa final'!$AI$53="Media",'Mapa final'!$AK$53="Moderado"),CONCATENATE("R8C",'Mapa final'!$Y$53),"")</f>
        <v/>
      </c>
      <c r="Y33" s="65" t="str">
        <f>IF(AND('Mapa final'!$AI$54="Media",'Mapa final'!$AK$54="Moderado"),CONCATENATE("R8C",'Mapa final'!$Y$54),"")</f>
        <v/>
      </c>
      <c r="Z33" s="65" t="str">
        <f>IF(AND('Mapa final'!$AI$55="Media",'Mapa final'!$AK$55="Moderado"),CONCATENATE("R8C",'Mapa final'!$Y$55),"")</f>
        <v/>
      </c>
      <c r="AA33" s="66" t="str">
        <f>IF(AND('Mapa final'!$AI$56="Media",'Mapa final'!$AK$56="Moderado"),CONCATENATE("R8C",'Mapa final'!$Y$56),"")</f>
        <v/>
      </c>
      <c r="AB33" s="49" t="str">
        <f>IF(AND('Mapa final'!$AI$51="Media",'Mapa final'!$AK$51="Mayor"),CONCATENATE("R8C",'Mapa final'!$Y$51),"")</f>
        <v/>
      </c>
      <c r="AC33" s="50" t="str">
        <f>IF(AND('Mapa final'!$AI$52="Media",'Mapa final'!$AK$52="Mayor"),CONCATENATE("R8C",'Mapa final'!$Y$52),"")</f>
        <v/>
      </c>
      <c r="AD33" s="50" t="str">
        <f>IF(AND('Mapa final'!$AI$53="Media",'Mapa final'!$AK$53="Mayor"),CONCATENATE("R8C",'Mapa final'!$Y$53),"")</f>
        <v/>
      </c>
      <c r="AE33" s="50" t="str">
        <f>IF(AND('Mapa final'!$AI$54="Media",'Mapa final'!$AK$54="Mayor"),CONCATENATE("R8C",'Mapa final'!$Y$54),"")</f>
        <v/>
      </c>
      <c r="AF33" s="50" t="str">
        <f>IF(AND('Mapa final'!$AI$55="Media",'Mapa final'!$AK$55="Mayor"),CONCATENATE("R8C",'Mapa final'!$Y$55),"")</f>
        <v/>
      </c>
      <c r="AG33" s="51" t="str">
        <f>IF(AND('Mapa final'!$AI$56="Media",'Mapa final'!$AK$56="Mayor"),CONCATENATE("R8C",'Mapa final'!$Y$56),"")</f>
        <v/>
      </c>
      <c r="AH33" s="52" t="str">
        <f>IF(AND('Mapa final'!$AI$51="Media",'Mapa final'!$AK$51="Catastrófico"),CONCATENATE("R8C",'Mapa final'!$Y$51),"")</f>
        <v/>
      </c>
      <c r="AI33" s="53" t="str">
        <f>IF(AND('Mapa final'!$AI$52="Media",'Mapa final'!$AK$52="Catastrófico"),CONCATENATE("R8C",'Mapa final'!$Y$52),"")</f>
        <v/>
      </c>
      <c r="AJ33" s="53" t="str">
        <f>IF(AND('Mapa final'!$AI$53="Media",'Mapa final'!$AK$53="Catastrófico"),CONCATENATE("R8C",'Mapa final'!$Y$53),"")</f>
        <v/>
      </c>
      <c r="AK33" s="53" t="str">
        <f>IF(AND('Mapa final'!$AI$54="Media",'Mapa final'!$AK$54="Catastrófico"),CONCATENATE("R8C",'Mapa final'!$Y$54),"")</f>
        <v/>
      </c>
      <c r="AL33" s="53" t="str">
        <f>IF(AND('Mapa final'!$AI$55="Media",'Mapa final'!$AK$55="Catastrófico"),CONCATENATE("R8C",'Mapa final'!$Y$55),"")</f>
        <v/>
      </c>
      <c r="AM33" s="54" t="str">
        <f>IF(AND('Mapa final'!$AI$56="Media",'Mapa final'!$AK$56="Catastrófico"),CONCATENATE("R8C",'Mapa final'!$Y$56),"")</f>
        <v/>
      </c>
      <c r="AN33" s="80"/>
      <c r="AO33" s="471"/>
      <c r="AP33" s="472"/>
      <c r="AQ33" s="472"/>
      <c r="AR33" s="472"/>
      <c r="AS33" s="472"/>
      <c r="AT33" s="473"/>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row>
    <row r="34" spans="1:80" ht="15" customHeight="1" x14ac:dyDescent="0.25">
      <c r="A34" s="80"/>
      <c r="B34" s="390"/>
      <c r="C34" s="390"/>
      <c r="D34" s="391"/>
      <c r="E34" s="431"/>
      <c r="F34" s="432"/>
      <c r="G34" s="432"/>
      <c r="H34" s="432"/>
      <c r="I34" s="433"/>
      <c r="J34" s="64" t="str">
        <f>IF(AND('Mapa final'!$AI$57="Media",'Mapa final'!$AK$57="Leve"),CONCATENATE("R9C",'Mapa final'!$Y$57),"")</f>
        <v/>
      </c>
      <c r="K34" s="65" t="str">
        <f>IF(AND('Mapa final'!$AI$58="Media",'Mapa final'!$AK$58="Leve"),CONCATENATE("R9C",'Mapa final'!$Y$58),"")</f>
        <v/>
      </c>
      <c r="L34" s="65" t="str">
        <f>IF(AND('Mapa final'!$AI$59="Media",'Mapa final'!$AK$59="Leve"),CONCATENATE("R9C",'Mapa final'!$Y$59),"")</f>
        <v/>
      </c>
      <c r="M34" s="65" t="str">
        <f>IF(AND('Mapa final'!$AI$60="Media",'Mapa final'!$AK$60="Leve"),CONCATENATE("R9C",'Mapa final'!$Y$60),"")</f>
        <v/>
      </c>
      <c r="N34" s="65" t="str">
        <f>IF(AND('Mapa final'!$AI$61="Media",'Mapa final'!$AK$61="Leve"),CONCATENATE("R9C",'Mapa final'!$Y$61),"")</f>
        <v/>
      </c>
      <c r="O34" s="66" t="str">
        <f>IF(AND('Mapa final'!$AI$62="Media",'Mapa final'!$AK$62="Leve"),CONCATENATE("R9C",'Mapa final'!$Y$62),"")</f>
        <v/>
      </c>
      <c r="P34" s="64" t="str">
        <f>IF(AND('Mapa final'!$AI$57="Media",'Mapa final'!$AK$57="Menor"),CONCATENATE("R9C",'Mapa final'!$Y$57),"")</f>
        <v/>
      </c>
      <c r="Q34" s="65" t="str">
        <f>IF(AND('Mapa final'!$AI$58="Media",'Mapa final'!$AK$58="Menor"),CONCATENATE("R9C",'Mapa final'!$Y$58),"")</f>
        <v/>
      </c>
      <c r="R34" s="65" t="str">
        <f>IF(AND('Mapa final'!$AI$59="Media",'Mapa final'!$AK$59="Menor"),CONCATENATE("R9C",'Mapa final'!$Y$59),"")</f>
        <v/>
      </c>
      <c r="S34" s="65" t="str">
        <f>IF(AND('Mapa final'!$AI$60="Media",'Mapa final'!$AK$60="Menor"),CONCATENATE("R9C",'Mapa final'!$Y$60),"")</f>
        <v/>
      </c>
      <c r="T34" s="65" t="str">
        <f>IF(AND('Mapa final'!$AI$61="Media",'Mapa final'!$AK$61="Menor"),CONCATENATE("R9C",'Mapa final'!$Y$61),"")</f>
        <v/>
      </c>
      <c r="U34" s="66" t="str">
        <f>IF(AND('Mapa final'!$AI$62="Media",'Mapa final'!$AK$62="Menor"),CONCATENATE("R9C",'Mapa final'!$Y$62),"")</f>
        <v/>
      </c>
      <c r="V34" s="64" t="str">
        <f>IF(AND('Mapa final'!$AI$57="Media",'Mapa final'!$AK$57="Moderado"),CONCATENATE("R9C",'Mapa final'!$Y$57),"")</f>
        <v/>
      </c>
      <c r="W34" s="65" t="str">
        <f>IF(AND('Mapa final'!$AI$58="Media",'Mapa final'!$AK$58="Moderado"),CONCATENATE("R9C",'Mapa final'!$Y$58),"")</f>
        <v/>
      </c>
      <c r="X34" s="65" t="str">
        <f>IF(AND('Mapa final'!$AI$59="Media",'Mapa final'!$AK$59="Moderado"),CONCATENATE("R9C",'Mapa final'!$Y$59),"")</f>
        <v/>
      </c>
      <c r="Y34" s="65" t="str">
        <f>IF(AND('Mapa final'!$AI$60="Media",'Mapa final'!$AK$60="Moderado"),CONCATENATE("R9C",'Mapa final'!$Y$60),"")</f>
        <v/>
      </c>
      <c r="Z34" s="65" t="str">
        <f>IF(AND('Mapa final'!$AI$61="Media",'Mapa final'!$AK$61="Moderado"),CONCATENATE("R9C",'Mapa final'!$Y$61),"")</f>
        <v/>
      </c>
      <c r="AA34" s="66" t="str">
        <f>IF(AND('Mapa final'!$AI$62="Media",'Mapa final'!$AK$62="Moderado"),CONCATENATE("R9C",'Mapa final'!$Y$62),"")</f>
        <v/>
      </c>
      <c r="AB34" s="49" t="str">
        <f>IF(AND('Mapa final'!$AI$57="Media",'Mapa final'!$AK$57="Mayor"),CONCATENATE("R9C",'Mapa final'!$Y$57),"")</f>
        <v/>
      </c>
      <c r="AC34" s="50" t="str">
        <f>IF(AND('Mapa final'!$AI$58="Media",'Mapa final'!$AK$58="Mayor"),CONCATENATE("R9C",'Mapa final'!$Y$58),"")</f>
        <v/>
      </c>
      <c r="AD34" s="50" t="str">
        <f>IF(AND('Mapa final'!$AI$59="Media",'Mapa final'!$AK$59="Mayor"),CONCATENATE("R9C",'Mapa final'!$Y$59),"")</f>
        <v/>
      </c>
      <c r="AE34" s="50" t="str">
        <f>IF(AND('Mapa final'!$AI$60="Media",'Mapa final'!$AK$60="Mayor"),CONCATENATE("R9C",'Mapa final'!$Y$60),"")</f>
        <v/>
      </c>
      <c r="AF34" s="50" t="str">
        <f>IF(AND('Mapa final'!$AI$61="Media",'Mapa final'!$AK$61="Mayor"),CONCATENATE("R9C",'Mapa final'!$Y$61),"")</f>
        <v/>
      </c>
      <c r="AG34" s="51" t="str">
        <f>IF(AND('Mapa final'!$AI$62="Media",'Mapa final'!$AK$62="Mayor"),CONCATENATE("R9C",'Mapa final'!$Y$62),"")</f>
        <v/>
      </c>
      <c r="AH34" s="52" t="str">
        <f>IF(AND('Mapa final'!$AI$57="Media",'Mapa final'!$AK$57="Catastrófico"),CONCATENATE("R9C",'Mapa final'!$Y$57),"")</f>
        <v/>
      </c>
      <c r="AI34" s="53" t="str">
        <f>IF(AND('Mapa final'!$AI$58="Media",'Mapa final'!$AK$58="Catastrófico"),CONCATENATE("R9C",'Mapa final'!$Y$58),"")</f>
        <v/>
      </c>
      <c r="AJ34" s="53" t="str">
        <f>IF(AND('Mapa final'!$AI$59="Media",'Mapa final'!$AK$59="Catastrófico"),CONCATENATE("R9C",'Mapa final'!$Y$59),"")</f>
        <v/>
      </c>
      <c r="AK34" s="53" t="str">
        <f>IF(AND('Mapa final'!$AI$60="Media",'Mapa final'!$AK$60="Catastrófico"),CONCATENATE("R9C",'Mapa final'!$Y$60),"")</f>
        <v/>
      </c>
      <c r="AL34" s="53" t="str">
        <f>IF(AND('Mapa final'!$AI$61="Media",'Mapa final'!$AK$61="Catastrófico"),CONCATENATE("R9C",'Mapa final'!$Y$61),"")</f>
        <v/>
      </c>
      <c r="AM34" s="54" t="str">
        <f>IF(AND('Mapa final'!$AI$62="Media",'Mapa final'!$AK$62="Catastrófico"),CONCATENATE("R9C",'Mapa final'!$Y$62),"")</f>
        <v/>
      </c>
      <c r="AN34" s="80"/>
      <c r="AO34" s="471"/>
      <c r="AP34" s="472"/>
      <c r="AQ34" s="472"/>
      <c r="AR34" s="472"/>
      <c r="AS34" s="472"/>
      <c r="AT34" s="473"/>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row>
    <row r="35" spans="1:80" ht="15.75" customHeight="1" thickBot="1" x14ac:dyDescent="0.3">
      <c r="A35" s="80"/>
      <c r="B35" s="390"/>
      <c r="C35" s="390"/>
      <c r="D35" s="391"/>
      <c r="E35" s="434"/>
      <c r="F35" s="435"/>
      <c r="G35" s="435"/>
      <c r="H35" s="435"/>
      <c r="I35" s="436"/>
      <c r="J35" s="64" t="str">
        <f>IF(AND('Mapa final'!$AI$63="Media",'Mapa final'!$AK$63="Leve"),CONCATENATE("R10C",'Mapa final'!$Y$63),"")</f>
        <v/>
      </c>
      <c r="K35" s="65" t="str">
        <f>IF(AND('Mapa final'!$AI$64="Media",'Mapa final'!$AK$64="Leve"),CONCATENATE("R10C",'Mapa final'!$Y$64),"")</f>
        <v/>
      </c>
      <c r="L35" s="65" t="str">
        <f>IF(AND('Mapa final'!$AI$65="Media",'Mapa final'!$AK$65="Leve"),CONCATENATE("R10C",'Mapa final'!$Y$65),"")</f>
        <v/>
      </c>
      <c r="M35" s="65" t="str">
        <f>IF(AND('Mapa final'!$AI$66="Media",'Mapa final'!$AK$66="Leve"),CONCATENATE("R10C",'Mapa final'!$Y$66),"")</f>
        <v/>
      </c>
      <c r="N35" s="65" t="str">
        <f>IF(AND('Mapa final'!$AI$67="Media",'Mapa final'!$AK$67="Leve"),CONCATENATE("R10C",'Mapa final'!$Y$67),"")</f>
        <v/>
      </c>
      <c r="O35" s="66" t="str">
        <f>IF(AND('Mapa final'!$AI$68="Media",'Mapa final'!$AK$68="Leve"),CONCATENATE("R10C",'Mapa final'!$Y$68),"")</f>
        <v/>
      </c>
      <c r="P35" s="64" t="str">
        <f>IF(AND('Mapa final'!$AI$63="Media",'Mapa final'!$AK$63="Menor"),CONCATENATE("R10C",'Mapa final'!$Y$63),"")</f>
        <v/>
      </c>
      <c r="Q35" s="65" t="str">
        <f>IF(AND('Mapa final'!$AI$64="Media",'Mapa final'!$AK$64="Menor"),CONCATENATE("R10C",'Mapa final'!$Y$64),"")</f>
        <v/>
      </c>
      <c r="R35" s="65" t="str">
        <f>IF(AND('Mapa final'!$AI$65="Media",'Mapa final'!$AK$65="Menor"),CONCATENATE("R10C",'Mapa final'!$Y$65),"")</f>
        <v/>
      </c>
      <c r="S35" s="65" t="str">
        <f>IF(AND('Mapa final'!$AI$66="Media",'Mapa final'!$AK$66="Menor"),CONCATENATE("R10C",'Mapa final'!$Y$66),"")</f>
        <v/>
      </c>
      <c r="T35" s="65" t="str">
        <f>IF(AND('Mapa final'!$AI$67="Media",'Mapa final'!$AK$67="Menor"),CONCATENATE("R10C",'Mapa final'!$Y$67),"")</f>
        <v/>
      </c>
      <c r="U35" s="66" t="str">
        <f>IF(AND('Mapa final'!$AI$68="Media",'Mapa final'!$AK$68="Menor"),CONCATENATE("R10C",'Mapa final'!$Y$68),"")</f>
        <v/>
      </c>
      <c r="V35" s="64" t="str">
        <f>IF(AND('Mapa final'!$AI$63="Media",'Mapa final'!$AK$63="Moderado"),CONCATENATE("R10C",'Mapa final'!$Y$63),"")</f>
        <v/>
      </c>
      <c r="W35" s="65" t="str">
        <f>IF(AND('Mapa final'!$AI$64="Media",'Mapa final'!$AK$64="Moderado"),CONCATENATE("R10C",'Mapa final'!$Y$64),"")</f>
        <v/>
      </c>
      <c r="X35" s="65" t="str">
        <f>IF(AND('Mapa final'!$AI$65="Media",'Mapa final'!$AK$65="Moderado"),CONCATENATE("R10C",'Mapa final'!$Y$65),"")</f>
        <v/>
      </c>
      <c r="Y35" s="65" t="str">
        <f>IF(AND('Mapa final'!$AI$66="Media",'Mapa final'!$AK$66="Moderado"),CONCATENATE("R10C",'Mapa final'!$Y$66),"")</f>
        <v/>
      </c>
      <c r="Z35" s="65" t="str">
        <f>IF(AND('Mapa final'!$AI$67="Media",'Mapa final'!$AK$67="Moderado"),CONCATENATE("R10C",'Mapa final'!$Y$67),"")</f>
        <v/>
      </c>
      <c r="AA35" s="66" t="str">
        <f>IF(AND('Mapa final'!$AI$68="Media",'Mapa final'!$AK$68="Moderado"),CONCATENATE("R10C",'Mapa final'!$Y$68),"")</f>
        <v/>
      </c>
      <c r="AB35" s="55" t="str">
        <f>IF(AND('Mapa final'!$AI$63="Media",'Mapa final'!$AK$63="Mayor"),CONCATENATE("R10C",'Mapa final'!$Y$63),"")</f>
        <v/>
      </c>
      <c r="AC35" s="56" t="str">
        <f>IF(AND('Mapa final'!$AI$64="Media",'Mapa final'!$AK$64="Mayor"),CONCATENATE("R10C",'Mapa final'!$Y$64),"")</f>
        <v/>
      </c>
      <c r="AD35" s="56" t="str">
        <f>IF(AND('Mapa final'!$AI$65="Media",'Mapa final'!$AK$65="Mayor"),CONCATENATE("R10C",'Mapa final'!$Y$65),"")</f>
        <v/>
      </c>
      <c r="AE35" s="56" t="str">
        <f>IF(AND('Mapa final'!$AI$66="Media",'Mapa final'!$AK$66="Mayor"),CONCATENATE("R10C",'Mapa final'!$Y$66),"")</f>
        <v/>
      </c>
      <c r="AF35" s="56" t="str">
        <f>IF(AND('Mapa final'!$AI$67="Media",'Mapa final'!$AK$67="Mayor"),CONCATENATE("R10C",'Mapa final'!$Y$67),"")</f>
        <v/>
      </c>
      <c r="AG35" s="57" t="str">
        <f>IF(AND('Mapa final'!$AI$68="Media",'Mapa final'!$AK$68="Mayor"),CONCATENATE("R10C",'Mapa final'!$Y$68),"")</f>
        <v/>
      </c>
      <c r="AH35" s="58" t="str">
        <f>IF(AND('Mapa final'!$AI$63="Media",'Mapa final'!$AK$63="Catastrófico"),CONCATENATE("R10C",'Mapa final'!$Y$63),"")</f>
        <v/>
      </c>
      <c r="AI35" s="59" t="str">
        <f>IF(AND('Mapa final'!$AI$64="Media",'Mapa final'!$AK$64="Catastrófico"),CONCATENATE("R10C",'Mapa final'!$Y$64),"")</f>
        <v/>
      </c>
      <c r="AJ35" s="59" t="str">
        <f>IF(AND('Mapa final'!$AI$65="Media",'Mapa final'!$AK$65="Catastrófico"),CONCATENATE("R10C",'Mapa final'!$Y$65),"")</f>
        <v/>
      </c>
      <c r="AK35" s="59" t="str">
        <f>IF(AND('Mapa final'!$AI$66="Media",'Mapa final'!$AK$66="Catastrófico"),CONCATENATE("R10C",'Mapa final'!$Y$66),"")</f>
        <v/>
      </c>
      <c r="AL35" s="59" t="str">
        <f>IF(AND('Mapa final'!$AI$67="Media",'Mapa final'!$AK$67="Catastrófico"),CONCATENATE("R10C",'Mapa final'!$Y$67),"")</f>
        <v/>
      </c>
      <c r="AM35" s="60" t="str">
        <f>IF(AND('Mapa final'!$AI$68="Media",'Mapa final'!$AK$68="Catastrófico"),CONCATENATE("R10C",'Mapa final'!$Y$68),"")</f>
        <v/>
      </c>
      <c r="AN35" s="80"/>
      <c r="AO35" s="474"/>
      <c r="AP35" s="475"/>
      <c r="AQ35" s="475"/>
      <c r="AR35" s="475"/>
      <c r="AS35" s="475"/>
      <c r="AT35" s="476"/>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row>
    <row r="36" spans="1:80" ht="15" customHeight="1" x14ac:dyDescent="0.25">
      <c r="A36" s="80"/>
      <c r="B36" s="390"/>
      <c r="C36" s="390"/>
      <c r="D36" s="391"/>
      <c r="E36" s="428" t="s">
        <v>132</v>
      </c>
      <c r="F36" s="429"/>
      <c r="G36" s="429"/>
      <c r="H36" s="429"/>
      <c r="I36" s="429"/>
      <c r="J36" s="70" t="str">
        <f>IF(AND('Mapa final'!$AI$11="Baja",'Mapa final'!$AK$11="Leve"),CONCATENATE("R1C",'Mapa final'!$Y$11),"")</f>
        <v/>
      </c>
      <c r="K36" s="71" t="str">
        <f>IF(AND('Mapa final'!$AI$12="Baja",'Mapa final'!$AK$12="Leve"),CONCATENATE("R1C",'Mapa final'!$Y$12),"")</f>
        <v/>
      </c>
      <c r="L36" s="71" t="str">
        <f>IF(AND('Mapa final'!$AI$13="Baja",'Mapa final'!$AK$13="Leve"),CONCATENATE("R1C",'Mapa final'!$Y$13),"")</f>
        <v/>
      </c>
      <c r="M36" s="71" t="str">
        <f>IF(AND('Mapa final'!$AI$14="Baja",'Mapa final'!$AK$14="Leve"),CONCATENATE("R1C",'Mapa final'!$Y$14),"")</f>
        <v/>
      </c>
      <c r="N36" s="71" t="e">
        <f>IF(AND('Mapa final'!#REF!="Baja",'Mapa final'!#REF!="Leve"),CONCATENATE("R1C",'Mapa final'!#REF!),"")</f>
        <v>#REF!</v>
      </c>
      <c r="O36" s="72" t="e">
        <f>IF(AND('Mapa final'!#REF!="Baja",'Mapa final'!#REF!="Leve"),CONCATENATE("R1C",'Mapa final'!#REF!),"")</f>
        <v>#REF!</v>
      </c>
      <c r="P36" s="61" t="str">
        <f>IF(AND('Mapa final'!$AI$11="Baja",'Mapa final'!$AK$11="Menor"),CONCATENATE("R1C",'Mapa final'!$Y$11),"")</f>
        <v/>
      </c>
      <c r="Q36" s="62" t="str">
        <f>IF(AND('Mapa final'!$AI$12="Baja",'Mapa final'!$AK$12="Menor"),CONCATENATE("R1C",'Mapa final'!$Y$12),"")</f>
        <v/>
      </c>
      <c r="R36" s="62" t="str">
        <f>IF(AND('Mapa final'!$AI$13="Baja",'Mapa final'!$AK$13="Menor"),CONCATENATE("R1C",'Mapa final'!$Y$13),"")</f>
        <v/>
      </c>
      <c r="S36" s="62" t="str">
        <f>IF(AND('Mapa final'!$AI$14="Baja",'Mapa final'!$AK$14="Menor"),CONCATENATE("R1C",'Mapa final'!$Y$14),"")</f>
        <v/>
      </c>
      <c r="T36" s="62" t="e">
        <f>IF(AND('Mapa final'!#REF!="Baja",'Mapa final'!#REF!="Menor"),CONCATENATE("R1C",'Mapa final'!#REF!),"")</f>
        <v>#REF!</v>
      </c>
      <c r="U36" s="63" t="e">
        <f>IF(AND('Mapa final'!#REF!="Baja",'Mapa final'!#REF!="Menor"),CONCATENATE("R1C",'Mapa final'!#REF!),"")</f>
        <v>#REF!</v>
      </c>
      <c r="V36" s="61" t="str">
        <f>IF(AND('Mapa final'!$AI$11="Baja",'Mapa final'!$AK$11="Moderado"),CONCATENATE("R1C",'Mapa final'!$Y$11),"")</f>
        <v/>
      </c>
      <c r="W36" s="62" t="str">
        <f>IF(AND('Mapa final'!$AI$12="Baja",'Mapa final'!$AK$12="Moderado"),CONCATENATE("R1C",'Mapa final'!$Y$12),"")</f>
        <v/>
      </c>
      <c r="X36" s="62" t="str">
        <f>IF(AND('Mapa final'!$AI$13="Baja",'Mapa final'!$AK$13="Moderado"),CONCATENATE("R1C",'Mapa final'!$Y$13),"")</f>
        <v/>
      </c>
      <c r="Y36" s="62" t="str">
        <f>IF(AND('Mapa final'!$AI$14="Baja",'Mapa final'!$AK$14="Moderado"),CONCATENATE("R1C",'Mapa final'!$Y$14),"")</f>
        <v/>
      </c>
      <c r="Z36" s="62" t="e">
        <f>IF(AND('Mapa final'!#REF!="Baja",'Mapa final'!#REF!="Moderado"),CONCATENATE("R1C",'Mapa final'!#REF!),"")</f>
        <v>#REF!</v>
      </c>
      <c r="AA36" s="63" t="e">
        <f>IF(AND('Mapa final'!#REF!="Baja",'Mapa final'!#REF!="Moderado"),CONCATENATE("R1C",'Mapa final'!#REF!),"")</f>
        <v>#REF!</v>
      </c>
      <c r="AB36" s="43" t="str">
        <f>IF(AND('Mapa final'!$AI$11="Baja",'Mapa final'!$AK$11="Mayor"),CONCATENATE("R1C",'Mapa final'!$Y$11),"")</f>
        <v/>
      </c>
      <c r="AC36" s="44" t="str">
        <f>IF(AND('Mapa final'!$AI$12="Baja",'Mapa final'!$AK$12="Mayor"),CONCATENATE("R1C",'Mapa final'!$Y$12),"")</f>
        <v>R1C2</v>
      </c>
      <c r="AD36" s="44" t="str">
        <f>IF(AND('Mapa final'!$AI$13="Baja",'Mapa final'!$AK$13="Mayor"),CONCATENATE("R1C",'Mapa final'!$Y$13),"")</f>
        <v/>
      </c>
      <c r="AE36" s="44" t="str">
        <f>IF(AND('Mapa final'!$AI$14="Baja",'Mapa final'!$AK$14="Mayor"),CONCATENATE("R1C",'Mapa final'!$Y$14),"")</f>
        <v/>
      </c>
      <c r="AF36" s="44" t="e">
        <f>IF(AND('Mapa final'!#REF!="Baja",'Mapa final'!#REF!="Mayor"),CONCATENATE("R1C",'Mapa final'!#REF!),"")</f>
        <v>#REF!</v>
      </c>
      <c r="AG36" s="45" t="e">
        <f>IF(AND('Mapa final'!#REF!="Baja",'Mapa final'!#REF!="Mayor"),CONCATENATE("R1C",'Mapa final'!#REF!),"")</f>
        <v>#REF!</v>
      </c>
      <c r="AH36" s="46" t="str">
        <f>IF(AND('Mapa final'!$AI$11="Baja",'Mapa final'!$AK$11="Catastrófico"),CONCATENATE("R1C",'Mapa final'!$Y$11),"")</f>
        <v/>
      </c>
      <c r="AI36" s="47" t="str">
        <f>IF(AND('Mapa final'!$AI$12="Baja",'Mapa final'!$AK$12="Catastrófico"),CONCATENATE("R1C",'Mapa final'!$Y$12),"")</f>
        <v/>
      </c>
      <c r="AJ36" s="47" t="str">
        <f>IF(AND('Mapa final'!$AI$13="Baja",'Mapa final'!$AK$13="Catastrófico"),CONCATENATE("R1C",'Mapa final'!$Y$13),"")</f>
        <v/>
      </c>
      <c r="AK36" s="47" t="str">
        <f>IF(AND('Mapa final'!$AI$14="Baja",'Mapa final'!$AK$14="Catastrófico"),CONCATENATE("R1C",'Mapa final'!$Y$14),"")</f>
        <v/>
      </c>
      <c r="AL36" s="47" t="e">
        <f>IF(AND('Mapa final'!#REF!="Baja",'Mapa final'!#REF!="Catastrófico"),CONCATENATE("R1C",'Mapa final'!#REF!),"")</f>
        <v>#REF!</v>
      </c>
      <c r="AM36" s="48" t="e">
        <f>IF(AND('Mapa final'!#REF!="Baja",'Mapa final'!#REF!="Catastrófico"),CONCATENATE("R1C",'Mapa final'!#REF!),"")</f>
        <v>#REF!</v>
      </c>
      <c r="AN36" s="80"/>
      <c r="AO36" s="459" t="s">
        <v>133</v>
      </c>
      <c r="AP36" s="460"/>
      <c r="AQ36" s="460"/>
      <c r="AR36" s="460"/>
      <c r="AS36" s="460"/>
      <c r="AT36" s="461"/>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row>
    <row r="37" spans="1:80" ht="15" customHeight="1" x14ac:dyDescent="0.25">
      <c r="A37" s="80"/>
      <c r="B37" s="390"/>
      <c r="C37" s="390"/>
      <c r="D37" s="391"/>
      <c r="E37" s="447"/>
      <c r="F37" s="432"/>
      <c r="G37" s="432"/>
      <c r="H37" s="432"/>
      <c r="I37" s="432"/>
      <c r="J37" s="73" t="str">
        <f>IF(AND('Mapa final'!$AI$15="Baja",'Mapa final'!$AK$15="Leve"),CONCATENATE("R2C",'Mapa final'!$Y$15),"")</f>
        <v/>
      </c>
      <c r="K37" s="74" t="str">
        <f>IF(AND('Mapa final'!$AI$16="Baja",'Mapa final'!$AK$16="Leve"),CONCATENATE("R2C",'Mapa final'!$Y$16),"")</f>
        <v/>
      </c>
      <c r="L37" s="74" t="str">
        <f>IF(AND('Mapa final'!$AI$17="Baja",'Mapa final'!$AK$17="Leve"),CONCATENATE("R2C",'Mapa final'!$Y$17),"")</f>
        <v/>
      </c>
      <c r="M37" s="74" t="str">
        <f>IF(AND('Mapa final'!$AI$18="Baja",'Mapa final'!$AK$18="Leve"),CONCATENATE("R2C",'Mapa final'!$Y$18),"")</f>
        <v/>
      </c>
      <c r="N37" s="74" t="str">
        <f>IF(AND('Mapa final'!$AI$19="Baja",'Mapa final'!$AK$19="Leve"),CONCATENATE("R2C",'Mapa final'!$Y$19),"")</f>
        <v/>
      </c>
      <c r="O37" s="75" t="str">
        <f>IF(AND('Mapa final'!$AI$20="Baja",'Mapa final'!$AK$20="Leve"),CONCATENATE("R2C",'Mapa final'!$Y$20),"")</f>
        <v/>
      </c>
      <c r="P37" s="64" t="str">
        <f>IF(AND('Mapa final'!$AI$15="Baja",'Mapa final'!$AK$15="Menor"),CONCATENATE("R2C",'Mapa final'!$Y$15),"")</f>
        <v/>
      </c>
      <c r="Q37" s="65" t="str">
        <f>IF(AND('Mapa final'!$AI$16="Baja",'Mapa final'!$AK$16="Menor"),CONCATENATE("R2C",'Mapa final'!$Y$16),"")</f>
        <v/>
      </c>
      <c r="R37" s="65" t="str">
        <f>IF(AND('Mapa final'!$AI$17="Baja",'Mapa final'!$AK$17="Menor"),CONCATENATE("R2C",'Mapa final'!$Y$17),"")</f>
        <v/>
      </c>
      <c r="S37" s="65" t="str">
        <f>IF(AND('Mapa final'!$AI$18="Baja",'Mapa final'!$AK$18="Menor"),CONCATENATE("R2C",'Mapa final'!$Y$18),"")</f>
        <v/>
      </c>
      <c r="T37" s="65" t="str">
        <f>IF(AND('Mapa final'!$AI$19="Baja",'Mapa final'!$AK$19="Menor"),CONCATENATE("R2C",'Mapa final'!$Y$19),"")</f>
        <v/>
      </c>
      <c r="U37" s="66" t="str">
        <f>IF(AND('Mapa final'!$AI$20="Baja",'Mapa final'!$AK$20="Menor"),CONCATENATE("R2C",'Mapa final'!$Y$20),"")</f>
        <v/>
      </c>
      <c r="V37" s="64" t="str">
        <f>IF(AND('Mapa final'!$AI$15="Baja",'Mapa final'!$AK$15="Moderado"),CONCATENATE("R2C",'Mapa final'!$Y$15),"")</f>
        <v/>
      </c>
      <c r="W37" s="65" t="str">
        <f>IF(AND('Mapa final'!$AI$16="Baja",'Mapa final'!$AK$16="Moderado"),CONCATENATE("R2C",'Mapa final'!$Y$16),"")</f>
        <v/>
      </c>
      <c r="X37" s="65" t="str">
        <f>IF(AND('Mapa final'!$AI$17="Baja",'Mapa final'!$AK$17="Moderado"),CONCATENATE("R2C",'Mapa final'!$Y$17),"")</f>
        <v/>
      </c>
      <c r="Y37" s="65" t="str">
        <f>IF(AND('Mapa final'!$AI$18="Baja",'Mapa final'!$AK$18="Moderado"),CONCATENATE("R2C",'Mapa final'!$Y$18),"")</f>
        <v/>
      </c>
      <c r="Z37" s="65" t="str">
        <f>IF(AND('Mapa final'!$AI$19="Baja",'Mapa final'!$AK$19="Moderado"),CONCATENATE("R2C",'Mapa final'!$Y$19),"")</f>
        <v/>
      </c>
      <c r="AA37" s="66" t="str">
        <f>IF(AND('Mapa final'!$AI$20="Baja",'Mapa final'!$AK$20="Moderado"),CONCATENATE("R2C",'Mapa final'!$Y$20),"")</f>
        <v/>
      </c>
      <c r="AB37" s="49" t="str">
        <f>IF(AND('Mapa final'!$AI$15="Baja",'Mapa final'!$AK$15="Mayor"),CONCATENATE("R2C",'Mapa final'!$Y$15),"")</f>
        <v/>
      </c>
      <c r="AC37" s="50" t="str">
        <f>IF(AND('Mapa final'!$AI$16="Baja",'Mapa final'!$AK$16="Mayor"),CONCATENATE("R2C",'Mapa final'!$Y$16),"")</f>
        <v/>
      </c>
      <c r="AD37" s="50" t="str">
        <f>IF(AND('Mapa final'!$AI$17="Baja",'Mapa final'!$AK$17="Mayor"),CONCATENATE("R2C",'Mapa final'!$Y$17),"")</f>
        <v/>
      </c>
      <c r="AE37" s="50" t="str">
        <f>IF(AND('Mapa final'!$AI$18="Baja",'Mapa final'!$AK$18="Mayor"),CONCATENATE("R2C",'Mapa final'!$Y$18),"")</f>
        <v/>
      </c>
      <c r="AF37" s="50" t="str">
        <f>IF(AND('Mapa final'!$AI$19="Baja",'Mapa final'!$AK$19="Mayor"),CONCATENATE("R2C",'Mapa final'!$Y$19),"")</f>
        <v/>
      </c>
      <c r="AG37" s="51" t="str">
        <f>IF(AND('Mapa final'!$AI$20="Baja",'Mapa final'!$AK$20="Mayor"),CONCATENATE("R2C",'Mapa final'!$Y$20),"")</f>
        <v/>
      </c>
      <c r="AH37" s="52" t="str">
        <f>IF(AND('Mapa final'!$AI$15="Baja",'Mapa final'!$AK$15="Catastrófico"),CONCATENATE("R2C",'Mapa final'!$Y$15),"")</f>
        <v/>
      </c>
      <c r="AI37" s="53" t="str">
        <f>IF(AND('Mapa final'!$AI$16="Baja",'Mapa final'!$AK$16="Catastrófico"),CONCATENATE("R2C",'Mapa final'!$Y$16),"")</f>
        <v/>
      </c>
      <c r="AJ37" s="53" t="str">
        <f>IF(AND('Mapa final'!$AI$17="Baja",'Mapa final'!$AK$17="Catastrófico"),CONCATENATE("R2C",'Mapa final'!$Y$17),"")</f>
        <v/>
      </c>
      <c r="AK37" s="53" t="str">
        <f>IF(AND('Mapa final'!$AI$18="Baja",'Mapa final'!$AK$18="Catastrófico"),CONCATENATE("R2C",'Mapa final'!$Y$18),"")</f>
        <v/>
      </c>
      <c r="AL37" s="53" t="str">
        <f>IF(AND('Mapa final'!$AI$19="Baja",'Mapa final'!$AK$19="Catastrófico"),CONCATENATE("R2C",'Mapa final'!$Y$19),"")</f>
        <v/>
      </c>
      <c r="AM37" s="54" t="str">
        <f>IF(AND('Mapa final'!$AI$20="Baja",'Mapa final'!$AK$20="Catastrófico"),CONCATENATE("R2C",'Mapa final'!$Y$20),"")</f>
        <v/>
      </c>
      <c r="AN37" s="80"/>
      <c r="AO37" s="462"/>
      <c r="AP37" s="463"/>
      <c r="AQ37" s="463"/>
      <c r="AR37" s="463"/>
      <c r="AS37" s="463"/>
      <c r="AT37" s="464"/>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row>
    <row r="38" spans="1:80" ht="15" customHeight="1" x14ac:dyDescent="0.25">
      <c r="A38" s="80"/>
      <c r="B38" s="390"/>
      <c r="C38" s="390"/>
      <c r="D38" s="391"/>
      <c r="E38" s="431"/>
      <c r="F38" s="432"/>
      <c r="G38" s="432"/>
      <c r="H38" s="432"/>
      <c r="I38" s="432"/>
      <c r="J38" s="73" t="str">
        <f>IF(AND('Mapa final'!$AI$21="Baja",'Mapa final'!$AK$21="Leve"),CONCATENATE("R3C",'Mapa final'!$Y$21),"")</f>
        <v/>
      </c>
      <c r="K38" s="74" t="str">
        <f>IF(AND('Mapa final'!$AI$22="Baja",'Mapa final'!$AK$22="Leve"),CONCATENATE("R3C",'Mapa final'!$Y$22),"")</f>
        <v/>
      </c>
      <c r="L38" s="74" t="str">
        <f>IF(AND('Mapa final'!$AI$23="Baja",'Mapa final'!$AK$23="Leve"),CONCATENATE("R3C",'Mapa final'!$Y$23),"")</f>
        <v/>
      </c>
      <c r="M38" s="74" t="str">
        <f>IF(AND('Mapa final'!$AI$24="Baja",'Mapa final'!$AK$24="Leve"),CONCATENATE("R3C",'Mapa final'!$Y$24),"")</f>
        <v/>
      </c>
      <c r="N38" s="74" t="str">
        <f>IF(AND('Mapa final'!$AI$25="Baja",'Mapa final'!$AK$25="Leve"),CONCATENATE("R3C",'Mapa final'!$Y$25),"")</f>
        <v/>
      </c>
      <c r="O38" s="75" t="str">
        <f>IF(AND('Mapa final'!$AI$26="Baja",'Mapa final'!$AK$26="Leve"),CONCATENATE("R3C",'Mapa final'!$Y$26),"")</f>
        <v/>
      </c>
      <c r="P38" s="64" t="str">
        <f>IF(AND('Mapa final'!$AI$21="Baja",'Mapa final'!$AK$21="Menor"),CONCATENATE("R3C",'Mapa final'!$Y$21),"")</f>
        <v/>
      </c>
      <c r="Q38" s="65" t="str">
        <f>IF(AND('Mapa final'!$AI$22="Baja",'Mapa final'!$AK$22="Menor"),CONCATENATE("R3C",'Mapa final'!$Y$22),"")</f>
        <v/>
      </c>
      <c r="R38" s="65" t="str">
        <f>IF(AND('Mapa final'!$AI$23="Baja",'Mapa final'!$AK$23="Menor"),CONCATENATE("R3C",'Mapa final'!$Y$23),"")</f>
        <v/>
      </c>
      <c r="S38" s="65" t="str">
        <f>IF(AND('Mapa final'!$AI$24="Baja",'Mapa final'!$AK$24="Menor"),CONCATENATE("R3C",'Mapa final'!$Y$24),"")</f>
        <v/>
      </c>
      <c r="T38" s="65" t="str">
        <f>IF(AND('Mapa final'!$AI$25="Baja",'Mapa final'!$AK$25="Menor"),CONCATENATE("R3C",'Mapa final'!$Y$25),"")</f>
        <v/>
      </c>
      <c r="U38" s="66" t="str">
        <f>IF(AND('Mapa final'!$AI$26="Baja",'Mapa final'!$AK$26="Menor"),CONCATENATE("R3C",'Mapa final'!$Y$26),"")</f>
        <v/>
      </c>
      <c r="V38" s="64" t="str">
        <f>IF(AND('Mapa final'!$AI$21="Baja",'Mapa final'!$AK$21="Moderado"),CONCATENATE("R3C",'Mapa final'!$Y$21),"")</f>
        <v/>
      </c>
      <c r="W38" s="65" t="str">
        <f>IF(AND('Mapa final'!$AI$22="Baja",'Mapa final'!$AK$22="Moderado"),CONCATENATE("R3C",'Mapa final'!$Y$22),"")</f>
        <v/>
      </c>
      <c r="X38" s="65" t="str">
        <f>IF(AND('Mapa final'!$AI$23="Baja",'Mapa final'!$AK$23="Moderado"),CONCATENATE("R3C",'Mapa final'!$Y$23),"")</f>
        <v/>
      </c>
      <c r="Y38" s="65" t="str">
        <f>IF(AND('Mapa final'!$AI$24="Baja",'Mapa final'!$AK$24="Moderado"),CONCATENATE("R3C",'Mapa final'!$Y$24),"")</f>
        <v/>
      </c>
      <c r="Z38" s="65" t="str">
        <f>IF(AND('Mapa final'!$AI$25="Baja",'Mapa final'!$AK$25="Moderado"),CONCATENATE("R3C",'Mapa final'!$Y$25),"")</f>
        <v/>
      </c>
      <c r="AA38" s="66" t="str">
        <f>IF(AND('Mapa final'!$AI$26="Baja",'Mapa final'!$AK$26="Moderado"),CONCATENATE("R3C",'Mapa final'!$Y$26),"")</f>
        <v/>
      </c>
      <c r="AB38" s="49" t="str">
        <f>IF(AND('Mapa final'!$AI$21="Baja",'Mapa final'!$AK$21="Mayor"),CONCATENATE("R3C",'Mapa final'!$Y$21),"")</f>
        <v/>
      </c>
      <c r="AC38" s="50" t="str">
        <f>IF(AND('Mapa final'!$AI$22="Baja",'Mapa final'!$AK$22="Mayor"),CONCATENATE("R3C",'Mapa final'!$Y$22),"")</f>
        <v/>
      </c>
      <c r="AD38" s="50" t="str">
        <f>IF(AND('Mapa final'!$AI$23="Baja",'Mapa final'!$AK$23="Mayor"),CONCATENATE("R3C",'Mapa final'!$Y$23),"")</f>
        <v/>
      </c>
      <c r="AE38" s="50" t="str">
        <f>IF(AND('Mapa final'!$AI$24="Baja",'Mapa final'!$AK$24="Mayor"),CONCATENATE("R3C",'Mapa final'!$Y$24),"")</f>
        <v/>
      </c>
      <c r="AF38" s="50" t="str">
        <f>IF(AND('Mapa final'!$AI$25="Baja",'Mapa final'!$AK$25="Mayor"),CONCATENATE("R3C",'Mapa final'!$Y$25),"")</f>
        <v/>
      </c>
      <c r="AG38" s="51" t="str">
        <f>IF(AND('Mapa final'!$AI$26="Baja",'Mapa final'!$AK$26="Mayor"),CONCATENATE("R3C",'Mapa final'!$Y$26),"")</f>
        <v/>
      </c>
      <c r="AH38" s="52" t="str">
        <f>IF(AND('Mapa final'!$AI$21="Baja",'Mapa final'!$AK$21="Catastrófico"),CONCATENATE("R3C",'Mapa final'!$Y$21),"")</f>
        <v/>
      </c>
      <c r="AI38" s="53" t="str">
        <f>IF(AND('Mapa final'!$AI$22="Baja",'Mapa final'!$AK$22="Catastrófico"),CONCATENATE("R3C",'Mapa final'!$Y$22),"")</f>
        <v/>
      </c>
      <c r="AJ38" s="53" t="str">
        <f>IF(AND('Mapa final'!$AI$23="Baja",'Mapa final'!$AK$23="Catastrófico"),CONCATENATE("R3C",'Mapa final'!$Y$23),"")</f>
        <v/>
      </c>
      <c r="AK38" s="53" t="str">
        <f>IF(AND('Mapa final'!$AI$24="Baja",'Mapa final'!$AK$24="Catastrófico"),CONCATENATE("R3C",'Mapa final'!$Y$24),"")</f>
        <v/>
      </c>
      <c r="AL38" s="53" t="str">
        <f>IF(AND('Mapa final'!$AI$25="Baja",'Mapa final'!$AK$25="Catastrófico"),CONCATENATE("R3C",'Mapa final'!$Y$25),"")</f>
        <v/>
      </c>
      <c r="AM38" s="54" t="str">
        <f>IF(AND('Mapa final'!$AI$26="Baja",'Mapa final'!$AK$26="Catastrófico"),CONCATENATE("R3C",'Mapa final'!$Y$26),"")</f>
        <v/>
      </c>
      <c r="AN38" s="80"/>
      <c r="AO38" s="462"/>
      <c r="AP38" s="463"/>
      <c r="AQ38" s="463"/>
      <c r="AR38" s="463"/>
      <c r="AS38" s="463"/>
      <c r="AT38" s="464"/>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row>
    <row r="39" spans="1:80" ht="15" customHeight="1" x14ac:dyDescent="0.25">
      <c r="A39" s="80"/>
      <c r="B39" s="390"/>
      <c r="C39" s="390"/>
      <c r="D39" s="391"/>
      <c r="E39" s="431"/>
      <c r="F39" s="432"/>
      <c r="G39" s="432"/>
      <c r="H39" s="432"/>
      <c r="I39" s="432"/>
      <c r="J39" s="73" t="str">
        <f>IF(AND('Mapa final'!$AI$27="Baja",'Mapa final'!$AK$27="Leve"),CONCATENATE("R4C",'Mapa final'!$Y$27),"")</f>
        <v/>
      </c>
      <c r="K39" s="74" t="str">
        <f>IF(AND('Mapa final'!$AI$28="Baja",'Mapa final'!$AK$28="Leve"),CONCATENATE("R4C",'Mapa final'!$Y$28),"")</f>
        <v/>
      </c>
      <c r="L39" s="74" t="str">
        <f>IF(AND('Mapa final'!$AI$29="Baja",'Mapa final'!$AK$29="Leve"),CONCATENATE("R4C",'Mapa final'!$Y$29),"")</f>
        <v/>
      </c>
      <c r="M39" s="74" t="str">
        <f>IF(AND('Mapa final'!$AI$30="Baja",'Mapa final'!$AK$30="Leve"),CONCATENATE("R4C",'Mapa final'!$Y$30),"")</f>
        <v/>
      </c>
      <c r="N39" s="74" t="str">
        <f>IF(AND('Mapa final'!$AI$31="Baja",'Mapa final'!$AK$31="Leve"),CONCATENATE("R4C",'Mapa final'!$Y$31),"")</f>
        <v/>
      </c>
      <c r="O39" s="75" t="str">
        <f>IF(AND('Mapa final'!$AI$32="Baja",'Mapa final'!$AK$32="Leve"),CONCATENATE("R4C",'Mapa final'!$Y$32),"")</f>
        <v/>
      </c>
      <c r="P39" s="64" t="str">
        <f>IF(AND('Mapa final'!$AI$27="Baja",'Mapa final'!$AK$27="Menor"),CONCATENATE("R4C",'Mapa final'!$Y$27),"")</f>
        <v/>
      </c>
      <c r="Q39" s="65" t="str">
        <f>IF(AND('Mapa final'!$AI$28="Baja",'Mapa final'!$AK$28="Menor"),CONCATENATE("R4C",'Mapa final'!$Y$28),"")</f>
        <v/>
      </c>
      <c r="R39" s="65" t="str">
        <f>IF(AND('Mapa final'!$AI$29="Baja",'Mapa final'!$AK$29="Menor"),CONCATENATE("R4C",'Mapa final'!$Y$29),"")</f>
        <v/>
      </c>
      <c r="S39" s="65" t="str">
        <f>IF(AND('Mapa final'!$AI$30="Baja",'Mapa final'!$AK$30="Menor"),CONCATENATE("R4C",'Mapa final'!$Y$30),"")</f>
        <v/>
      </c>
      <c r="T39" s="65" t="str">
        <f>IF(AND('Mapa final'!$AI$31="Baja",'Mapa final'!$AK$31="Menor"),CONCATENATE("R4C",'Mapa final'!$Y$31),"")</f>
        <v/>
      </c>
      <c r="U39" s="66" t="str">
        <f>IF(AND('Mapa final'!$AI$32="Baja",'Mapa final'!$AK$32="Menor"),CONCATENATE("R4C",'Mapa final'!$Y$32),"")</f>
        <v/>
      </c>
      <c r="V39" s="64" t="str">
        <f>IF(AND('Mapa final'!$AI$27="Baja",'Mapa final'!$AK$27="Moderado"),CONCATENATE("R4C",'Mapa final'!$Y$27),"")</f>
        <v/>
      </c>
      <c r="W39" s="65" t="str">
        <f>IF(AND('Mapa final'!$AI$28="Baja",'Mapa final'!$AK$28="Moderado"),CONCATENATE("R4C",'Mapa final'!$Y$28),"")</f>
        <v/>
      </c>
      <c r="X39" s="65" t="str">
        <f>IF(AND('Mapa final'!$AI$29="Baja",'Mapa final'!$AK$29="Moderado"),CONCATENATE("R4C",'Mapa final'!$Y$29),"")</f>
        <v/>
      </c>
      <c r="Y39" s="65" t="str">
        <f>IF(AND('Mapa final'!$AI$30="Baja",'Mapa final'!$AK$30="Moderado"),CONCATENATE("R4C",'Mapa final'!$Y$30),"")</f>
        <v/>
      </c>
      <c r="Z39" s="65" t="str">
        <f>IF(AND('Mapa final'!$AI$31="Baja",'Mapa final'!$AK$31="Moderado"),CONCATENATE("R4C",'Mapa final'!$Y$31),"")</f>
        <v/>
      </c>
      <c r="AA39" s="66" t="str">
        <f>IF(AND('Mapa final'!$AI$32="Baja",'Mapa final'!$AK$32="Moderado"),CONCATENATE("R4C",'Mapa final'!$Y$32),"")</f>
        <v/>
      </c>
      <c r="AB39" s="49" t="str">
        <f>IF(AND('Mapa final'!$AI$27="Baja",'Mapa final'!$AK$27="Mayor"),CONCATENATE("R4C",'Mapa final'!$Y$27),"")</f>
        <v/>
      </c>
      <c r="AC39" s="50" t="str">
        <f>IF(AND('Mapa final'!$AI$28="Baja",'Mapa final'!$AK$28="Mayor"),CONCATENATE("R4C",'Mapa final'!$Y$28),"")</f>
        <v/>
      </c>
      <c r="AD39" s="50" t="str">
        <f>IF(AND('Mapa final'!$AI$29="Baja",'Mapa final'!$AK$29="Mayor"),CONCATENATE("R4C",'Mapa final'!$Y$29),"")</f>
        <v/>
      </c>
      <c r="AE39" s="50" t="str">
        <f>IF(AND('Mapa final'!$AI$30="Baja",'Mapa final'!$AK$30="Mayor"),CONCATENATE("R4C",'Mapa final'!$Y$30),"")</f>
        <v/>
      </c>
      <c r="AF39" s="50" t="str">
        <f>IF(AND('Mapa final'!$AI$31="Baja",'Mapa final'!$AK$31="Mayor"),CONCATENATE("R4C",'Mapa final'!$Y$31),"")</f>
        <v/>
      </c>
      <c r="AG39" s="51" t="str">
        <f>IF(AND('Mapa final'!$AI$32="Baja",'Mapa final'!$AK$32="Mayor"),CONCATENATE("R4C",'Mapa final'!$Y$32),"")</f>
        <v/>
      </c>
      <c r="AH39" s="52" t="str">
        <f>IF(AND('Mapa final'!$AI$27="Baja",'Mapa final'!$AK$27="Catastrófico"),CONCATENATE("R4C",'Mapa final'!$Y$27),"")</f>
        <v/>
      </c>
      <c r="AI39" s="53" t="str">
        <f>IF(AND('Mapa final'!$AI$28="Baja",'Mapa final'!$AK$28="Catastrófico"),CONCATENATE("R4C",'Mapa final'!$Y$28),"")</f>
        <v/>
      </c>
      <c r="AJ39" s="53" t="str">
        <f>IF(AND('Mapa final'!$AI$29="Baja",'Mapa final'!$AK$29="Catastrófico"),CONCATENATE("R4C",'Mapa final'!$Y$29),"")</f>
        <v/>
      </c>
      <c r="AK39" s="53" t="str">
        <f>IF(AND('Mapa final'!$AI$30="Baja",'Mapa final'!$AK$30="Catastrófico"),CONCATENATE("R4C",'Mapa final'!$Y$30),"")</f>
        <v/>
      </c>
      <c r="AL39" s="53" t="str">
        <f>IF(AND('Mapa final'!$AI$31="Baja",'Mapa final'!$AK$31="Catastrófico"),CONCATENATE("R4C",'Mapa final'!$Y$31),"")</f>
        <v/>
      </c>
      <c r="AM39" s="54" t="str">
        <f>IF(AND('Mapa final'!$AI$32="Baja",'Mapa final'!$AK$32="Catastrófico"),CONCATENATE("R4C",'Mapa final'!$Y$32),"")</f>
        <v/>
      </c>
      <c r="AN39" s="80"/>
      <c r="AO39" s="462"/>
      <c r="AP39" s="463"/>
      <c r="AQ39" s="463"/>
      <c r="AR39" s="463"/>
      <c r="AS39" s="463"/>
      <c r="AT39" s="464"/>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row>
    <row r="40" spans="1:80" ht="15" customHeight="1" x14ac:dyDescent="0.25">
      <c r="A40" s="80"/>
      <c r="B40" s="390"/>
      <c r="C40" s="390"/>
      <c r="D40" s="391"/>
      <c r="E40" s="431"/>
      <c r="F40" s="432"/>
      <c r="G40" s="432"/>
      <c r="H40" s="432"/>
      <c r="I40" s="432"/>
      <c r="J40" s="73" t="str">
        <f>IF(AND('Mapa final'!$AI$33="Baja",'Mapa final'!$AK$33="Leve"),CONCATENATE("R5C",'Mapa final'!$Y$33),"")</f>
        <v/>
      </c>
      <c r="K40" s="74" t="str">
        <f>IF(AND('Mapa final'!$AI$34="Baja",'Mapa final'!$AK$34="Leve"),CONCATENATE("R5C",'Mapa final'!$Y$34),"")</f>
        <v/>
      </c>
      <c r="L40" s="74" t="str">
        <f>IF(AND('Mapa final'!$AI$35="Baja",'Mapa final'!$AK$35="Leve"),CONCATENATE("R5C",'Mapa final'!$Y$35),"")</f>
        <v/>
      </c>
      <c r="M40" s="74" t="str">
        <f>IF(AND('Mapa final'!$AI$36="Baja",'Mapa final'!$AK$36="Leve"),CONCATENATE("R5C",'Mapa final'!$Y$36),"")</f>
        <v/>
      </c>
      <c r="N40" s="74" t="str">
        <f>IF(AND('Mapa final'!$AI$37="Baja",'Mapa final'!$AK$37="Leve"),CONCATENATE("R5C",'Mapa final'!$Y$37),"")</f>
        <v/>
      </c>
      <c r="O40" s="75" t="str">
        <f>IF(AND('Mapa final'!$AI$38="Baja",'Mapa final'!$AK$38="Leve"),CONCATENATE("R5C",'Mapa final'!$Y$38),"")</f>
        <v/>
      </c>
      <c r="P40" s="64" t="str">
        <f>IF(AND('Mapa final'!$AI$33="Baja",'Mapa final'!$AK$33="Menor"),CONCATENATE("R5C",'Mapa final'!$Y$33),"")</f>
        <v/>
      </c>
      <c r="Q40" s="65" t="str">
        <f>IF(AND('Mapa final'!$AI$34="Baja",'Mapa final'!$AK$34="Menor"),CONCATENATE("R5C",'Mapa final'!$Y$34),"")</f>
        <v/>
      </c>
      <c r="R40" s="65" t="str">
        <f>IF(AND('Mapa final'!$AI$35="Baja",'Mapa final'!$AK$35="Menor"),CONCATENATE("R5C",'Mapa final'!$Y$35),"")</f>
        <v/>
      </c>
      <c r="S40" s="65" t="str">
        <f>IF(AND('Mapa final'!$AI$36="Baja",'Mapa final'!$AK$36="Menor"),CONCATENATE("R5C",'Mapa final'!$Y$36),"")</f>
        <v/>
      </c>
      <c r="T40" s="65" t="str">
        <f>IF(AND('Mapa final'!$AI$37="Baja",'Mapa final'!$AK$37="Menor"),CONCATENATE("R5C",'Mapa final'!$Y$37),"")</f>
        <v/>
      </c>
      <c r="U40" s="66" t="str">
        <f>IF(AND('Mapa final'!$AI$38="Baja",'Mapa final'!$AK$38="Menor"),CONCATENATE("R5C",'Mapa final'!$Y$38),"")</f>
        <v/>
      </c>
      <c r="V40" s="64" t="str">
        <f>IF(AND('Mapa final'!$AI$33="Baja",'Mapa final'!$AK$33="Moderado"),CONCATENATE("R5C",'Mapa final'!$Y$33),"")</f>
        <v/>
      </c>
      <c r="W40" s="65" t="str">
        <f>IF(AND('Mapa final'!$AI$34="Baja",'Mapa final'!$AK$34="Moderado"),CONCATENATE("R5C",'Mapa final'!$Y$34),"")</f>
        <v/>
      </c>
      <c r="X40" s="65" t="str">
        <f>IF(AND('Mapa final'!$AI$35="Baja",'Mapa final'!$AK$35="Moderado"),CONCATENATE("R5C",'Mapa final'!$Y$35),"")</f>
        <v/>
      </c>
      <c r="Y40" s="65" t="str">
        <f>IF(AND('Mapa final'!$AI$36="Baja",'Mapa final'!$AK$36="Moderado"),CONCATENATE("R5C",'Mapa final'!$Y$36),"")</f>
        <v/>
      </c>
      <c r="Z40" s="65" t="str">
        <f>IF(AND('Mapa final'!$AI$37="Baja",'Mapa final'!$AK$37="Moderado"),CONCATENATE("R5C",'Mapa final'!$Y$37),"")</f>
        <v/>
      </c>
      <c r="AA40" s="66" t="str">
        <f>IF(AND('Mapa final'!$AI$38="Baja",'Mapa final'!$AK$38="Moderado"),CONCATENATE("R5C",'Mapa final'!$Y$38),"")</f>
        <v/>
      </c>
      <c r="AB40" s="49" t="str">
        <f>IF(AND('Mapa final'!$AI$33="Baja",'Mapa final'!$AK$33="Mayor"),CONCATENATE("R5C",'Mapa final'!$Y$33),"")</f>
        <v/>
      </c>
      <c r="AC40" s="50" t="str">
        <f>IF(AND('Mapa final'!$AI$34="Baja",'Mapa final'!$AK$34="Mayor"),CONCATENATE("R5C",'Mapa final'!$Y$34),"")</f>
        <v/>
      </c>
      <c r="AD40" s="50" t="str">
        <f>IF(AND('Mapa final'!$AI$35="Baja",'Mapa final'!$AK$35="Mayor"),CONCATENATE("R5C",'Mapa final'!$Y$35),"")</f>
        <v/>
      </c>
      <c r="AE40" s="50" t="str">
        <f>IF(AND('Mapa final'!$AI$36="Baja",'Mapa final'!$AK$36="Mayor"),CONCATENATE("R5C",'Mapa final'!$Y$36),"")</f>
        <v/>
      </c>
      <c r="AF40" s="50" t="str">
        <f>IF(AND('Mapa final'!$AI$37="Baja",'Mapa final'!$AK$37="Mayor"),CONCATENATE("R5C",'Mapa final'!$Y$37),"")</f>
        <v/>
      </c>
      <c r="AG40" s="51" t="str">
        <f>IF(AND('Mapa final'!$AI$38="Baja",'Mapa final'!$AK$38="Mayor"),CONCATENATE("R5C",'Mapa final'!$Y$38),"")</f>
        <v/>
      </c>
      <c r="AH40" s="52" t="str">
        <f>IF(AND('Mapa final'!$AI$33="Baja",'Mapa final'!$AK$33="Catastrófico"),CONCATENATE("R5C",'Mapa final'!$Y$33),"")</f>
        <v/>
      </c>
      <c r="AI40" s="53" t="str">
        <f>IF(AND('Mapa final'!$AI$34="Baja",'Mapa final'!$AK$34="Catastrófico"),CONCATENATE("R5C",'Mapa final'!$Y$34),"")</f>
        <v/>
      </c>
      <c r="AJ40" s="53" t="str">
        <f>IF(AND('Mapa final'!$AI$35="Baja",'Mapa final'!$AK$35="Catastrófico"),CONCATENATE("R5C",'Mapa final'!$Y$35),"")</f>
        <v/>
      </c>
      <c r="AK40" s="53" t="str">
        <f>IF(AND('Mapa final'!$AI$36="Baja",'Mapa final'!$AK$36="Catastrófico"),CONCATENATE("R5C",'Mapa final'!$Y$36),"")</f>
        <v/>
      </c>
      <c r="AL40" s="53" t="str">
        <f>IF(AND('Mapa final'!$AI$37="Baja",'Mapa final'!$AK$37="Catastrófico"),CONCATENATE("R5C",'Mapa final'!$Y$37),"")</f>
        <v/>
      </c>
      <c r="AM40" s="54" t="str">
        <f>IF(AND('Mapa final'!$AI$38="Baja",'Mapa final'!$AK$38="Catastrófico"),CONCATENATE("R5C",'Mapa final'!$Y$38),"")</f>
        <v/>
      </c>
      <c r="AN40" s="80"/>
      <c r="AO40" s="462"/>
      <c r="AP40" s="463"/>
      <c r="AQ40" s="463"/>
      <c r="AR40" s="463"/>
      <c r="AS40" s="463"/>
      <c r="AT40" s="464"/>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row>
    <row r="41" spans="1:80" ht="15" customHeight="1" x14ac:dyDescent="0.25">
      <c r="A41" s="80"/>
      <c r="B41" s="390"/>
      <c r="C41" s="390"/>
      <c r="D41" s="391"/>
      <c r="E41" s="431"/>
      <c r="F41" s="432"/>
      <c r="G41" s="432"/>
      <c r="H41" s="432"/>
      <c r="I41" s="432"/>
      <c r="J41" s="73" t="str">
        <f>IF(AND('Mapa final'!$AI$39="Baja",'Mapa final'!$AK$39="Leve"),CONCATENATE("R6C",'Mapa final'!$Y$39),"")</f>
        <v/>
      </c>
      <c r="K41" s="74" t="str">
        <f>IF(AND('Mapa final'!$AI$40="Baja",'Mapa final'!$AK$40="Leve"),CONCATENATE("R6C",'Mapa final'!$Y$40),"")</f>
        <v/>
      </c>
      <c r="L41" s="74" t="str">
        <f>IF(AND('Mapa final'!$AI$41="Baja",'Mapa final'!$AK$41="Leve"),CONCATENATE("R6C",'Mapa final'!$Y$41),"")</f>
        <v/>
      </c>
      <c r="M41" s="74" t="str">
        <f>IF(AND('Mapa final'!$AI$42="Baja",'Mapa final'!$AK$42="Leve"),CONCATENATE("R6C",'Mapa final'!$Y$42),"")</f>
        <v/>
      </c>
      <c r="N41" s="74" t="str">
        <f>IF(AND('Mapa final'!$AI$43="Baja",'Mapa final'!$AK$43="Leve"),CONCATENATE("R6C",'Mapa final'!$Y$43),"")</f>
        <v/>
      </c>
      <c r="O41" s="75" t="str">
        <f>IF(AND('Mapa final'!$AI$44="Baja",'Mapa final'!$AK$44="Leve"),CONCATENATE("R6C",'Mapa final'!$Y$44),"")</f>
        <v/>
      </c>
      <c r="P41" s="64" t="str">
        <f>IF(AND('Mapa final'!$AI$39="Baja",'Mapa final'!$AK$39="Menor"),CONCATENATE("R6C",'Mapa final'!$Y$39),"")</f>
        <v/>
      </c>
      <c r="Q41" s="65" t="str">
        <f>IF(AND('Mapa final'!$AI$40="Baja",'Mapa final'!$AK$40="Menor"),CONCATENATE("R6C",'Mapa final'!$Y$40),"")</f>
        <v/>
      </c>
      <c r="R41" s="65" t="str">
        <f>IF(AND('Mapa final'!$AI$41="Baja",'Mapa final'!$AK$41="Menor"),CONCATENATE("R6C",'Mapa final'!$Y$41),"")</f>
        <v/>
      </c>
      <c r="S41" s="65" t="str">
        <f>IF(AND('Mapa final'!$AI$42="Baja",'Mapa final'!$AK$42="Menor"),CONCATENATE("R6C",'Mapa final'!$Y$42),"")</f>
        <v/>
      </c>
      <c r="T41" s="65" t="str">
        <f>IF(AND('Mapa final'!$AI$43="Baja",'Mapa final'!$AK$43="Menor"),CONCATENATE("R6C",'Mapa final'!$Y$43),"")</f>
        <v/>
      </c>
      <c r="U41" s="66" t="str">
        <f>IF(AND('Mapa final'!$AI$44="Baja",'Mapa final'!$AK$44="Menor"),CONCATENATE("R6C",'Mapa final'!$Y$44),"")</f>
        <v/>
      </c>
      <c r="V41" s="64" t="str">
        <f>IF(AND('Mapa final'!$AI$39="Baja",'Mapa final'!$AK$39="Moderado"),CONCATENATE("R6C",'Mapa final'!$Y$39),"")</f>
        <v/>
      </c>
      <c r="W41" s="65" t="str">
        <f>IF(AND('Mapa final'!$AI$40="Baja",'Mapa final'!$AK$40="Moderado"),CONCATENATE("R6C",'Mapa final'!$Y$40),"")</f>
        <v/>
      </c>
      <c r="X41" s="65" t="str">
        <f>IF(AND('Mapa final'!$AI$41="Baja",'Mapa final'!$AK$41="Moderado"),CONCATENATE("R6C",'Mapa final'!$Y$41),"")</f>
        <v/>
      </c>
      <c r="Y41" s="65" t="str">
        <f>IF(AND('Mapa final'!$AI$42="Baja",'Mapa final'!$AK$42="Moderado"),CONCATENATE("R6C",'Mapa final'!$Y$42),"")</f>
        <v/>
      </c>
      <c r="Z41" s="65" t="str">
        <f>IF(AND('Mapa final'!$AI$43="Baja",'Mapa final'!$AK$43="Moderado"),CONCATENATE("R6C",'Mapa final'!$Y$43),"")</f>
        <v/>
      </c>
      <c r="AA41" s="66" t="str">
        <f>IF(AND('Mapa final'!$AI$44="Baja",'Mapa final'!$AK$44="Moderado"),CONCATENATE("R6C",'Mapa final'!$Y$44),"")</f>
        <v/>
      </c>
      <c r="AB41" s="49" t="str">
        <f>IF(AND('Mapa final'!$AI$39="Baja",'Mapa final'!$AK$39="Mayor"),CONCATENATE("R6C",'Mapa final'!$Y$39),"")</f>
        <v/>
      </c>
      <c r="AC41" s="50" t="str">
        <f>IF(AND('Mapa final'!$AI$40="Baja",'Mapa final'!$AK$40="Mayor"),CONCATENATE("R6C",'Mapa final'!$Y$40),"")</f>
        <v/>
      </c>
      <c r="AD41" s="50" t="str">
        <f>IF(AND('Mapa final'!$AI$41="Baja",'Mapa final'!$AK$41="Mayor"),CONCATENATE("R6C",'Mapa final'!$Y$41),"")</f>
        <v/>
      </c>
      <c r="AE41" s="50" t="str">
        <f>IF(AND('Mapa final'!$AI$42="Baja",'Mapa final'!$AK$42="Mayor"),CONCATENATE("R6C",'Mapa final'!$Y$42),"")</f>
        <v/>
      </c>
      <c r="AF41" s="50" t="str">
        <f>IF(AND('Mapa final'!$AI$43="Baja",'Mapa final'!$AK$43="Mayor"),CONCATENATE("R6C",'Mapa final'!$Y$43),"")</f>
        <v/>
      </c>
      <c r="AG41" s="51" t="str">
        <f>IF(AND('Mapa final'!$AI$44="Baja",'Mapa final'!$AK$44="Mayor"),CONCATENATE("R6C",'Mapa final'!$Y$44),"")</f>
        <v/>
      </c>
      <c r="AH41" s="52" t="str">
        <f>IF(AND('Mapa final'!$AI$39="Baja",'Mapa final'!$AK$39="Catastrófico"),CONCATENATE("R6C",'Mapa final'!$Y$39),"")</f>
        <v/>
      </c>
      <c r="AI41" s="53" t="str">
        <f>IF(AND('Mapa final'!$AI$40="Baja",'Mapa final'!$AK$40="Catastrófico"),CONCATENATE("R6C",'Mapa final'!$Y$40),"")</f>
        <v/>
      </c>
      <c r="AJ41" s="53" t="str">
        <f>IF(AND('Mapa final'!$AI$41="Baja",'Mapa final'!$AK$41="Catastrófico"),CONCATENATE("R6C",'Mapa final'!$Y$41),"")</f>
        <v/>
      </c>
      <c r="AK41" s="53" t="str">
        <f>IF(AND('Mapa final'!$AI$42="Baja",'Mapa final'!$AK$42="Catastrófico"),CONCATENATE("R6C",'Mapa final'!$Y$42),"")</f>
        <v/>
      </c>
      <c r="AL41" s="53" t="str">
        <f>IF(AND('Mapa final'!$AI$43="Baja",'Mapa final'!$AK$43="Catastrófico"),CONCATENATE("R6C",'Mapa final'!$Y$43),"")</f>
        <v/>
      </c>
      <c r="AM41" s="54" t="str">
        <f>IF(AND('Mapa final'!$AI$44="Baja",'Mapa final'!$AK$44="Catastrófico"),CONCATENATE("R6C",'Mapa final'!$Y$44),"")</f>
        <v/>
      </c>
      <c r="AN41" s="80"/>
      <c r="AO41" s="462"/>
      <c r="AP41" s="463"/>
      <c r="AQ41" s="463"/>
      <c r="AR41" s="463"/>
      <c r="AS41" s="463"/>
      <c r="AT41" s="464"/>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row>
    <row r="42" spans="1:80" ht="15" customHeight="1" x14ac:dyDescent="0.25">
      <c r="A42" s="80"/>
      <c r="B42" s="390"/>
      <c r="C42" s="390"/>
      <c r="D42" s="391"/>
      <c r="E42" s="431"/>
      <c r="F42" s="432"/>
      <c r="G42" s="432"/>
      <c r="H42" s="432"/>
      <c r="I42" s="432"/>
      <c r="J42" s="73" t="str">
        <f>IF(AND('Mapa final'!$AI$45="Baja",'Mapa final'!$AK$45="Leve"),CONCATENATE("R7C",'Mapa final'!$Y$45),"")</f>
        <v/>
      </c>
      <c r="K42" s="74" t="str">
        <f>IF(AND('Mapa final'!$AI$46="Baja",'Mapa final'!$AK$46="Leve"),CONCATENATE("R7C",'Mapa final'!$Y$46),"")</f>
        <v/>
      </c>
      <c r="L42" s="74" t="str">
        <f>IF(AND('Mapa final'!$AI$47="Baja",'Mapa final'!$AK$47="Leve"),CONCATENATE("R7C",'Mapa final'!$Y$47),"")</f>
        <v/>
      </c>
      <c r="M42" s="74" t="str">
        <f>IF(AND('Mapa final'!$AI$48="Baja",'Mapa final'!$AK$48="Leve"),CONCATENATE("R7C",'Mapa final'!$Y$48),"")</f>
        <v/>
      </c>
      <c r="N42" s="74" t="str">
        <f>IF(AND('Mapa final'!$AI$49="Baja",'Mapa final'!$AK$49="Leve"),CONCATENATE("R7C",'Mapa final'!$Y$49),"")</f>
        <v/>
      </c>
      <c r="O42" s="75" t="str">
        <f>IF(AND('Mapa final'!$AI$50="Baja",'Mapa final'!$AK$50="Leve"),CONCATENATE("R7C",'Mapa final'!$Y$50),"")</f>
        <v/>
      </c>
      <c r="P42" s="64" t="str">
        <f>IF(AND('Mapa final'!$AI$45="Baja",'Mapa final'!$AK$45="Menor"),CONCATENATE("R7C",'Mapa final'!$Y$45),"")</f>
        <v/>
      </c>
      <c r="Q42" s="65" t="str">
        <f>IF(AND('Mapa final'!$AI$46="Baja",'Mapa final'!$AK$46="Menor"),CONCATENATE("R7C",'Mapa final'!$Y$46),"")</f>
        <v/>
      </c>
      <c r="R42" s="65" t="str">
        <f>IF(AND('Mapa final'!$AI$47="Baja",'Mapa final'!$AK$47="Menor"),CONCATENATE("R7C",'Mapa final'!$Y$47),"")</f>
        <v/>
      </c>
      <c r="S42" s="65" t="str">
        <f>IF(AND('Mapa final'!$AI$48="Baja",'Mapa final'!$AK$48="Menor"),CONCATENATE("R7C",'Mapa final'!$Y$48),"")</f>
        <v/>
      </c>
      <c r="T42" s="65" t="str">
        <f>IF(AND('Mapa final'!$AI$49="Baja",'Mapa final'!$AK$49="Menor"),CONCATENATE("R7C",'Mapa final'!$Y$49),"")</f>
        <v/>
      </c>
      <c r="U42" s="66" t="str">
        <f>IF(AND('Mapa final'!$AI$50="Baja",'Mapa final'!$AK$50="Menor"),CONCATENATE("R7C",'Mapa final'!$Y$50),"")</f>
        <v/>
      </c>
      <c r="V42" s="64" t="str">
        <f>IF(AND('Mapa final'!$AI$45="Baja",'Mapa final'!$AK$45="Moderado"),CONCATENATE("R7C",'Mapa final'!$Y$45),"")</f>
        <v/>
      </c>
      <c r="W42" s="65" t="str">
        <f>IF(AND('Mapa final'!$AI$46="Baja",'Mapa final'!$AK$46="Moderado"),CONCATENATE("R7C",'Mapa final'!$Y$46),"")</f>
        <v/>
      </c>
      <c r="X42" s="65" t="str">
        <f>IF(AND('Mapa final'!$AI$47="Baja",'Mapa final'!$AK$47="Moderado"),CONCATENATE("R7C",'Mapa final'!$Y$47),"")</f>
        <v/>
      </c>
      <c r="Y42" s="65" t="str">
        <f>IF(AND('Mapa final'!$AI$48="Baja",'Mapa final'!$AK$48="Moderado"),CONCATENATE("R7C",'Mapa final'!$Y$48),"")</f>
        <v/>
      </c>
      <c r="Z42" s="65" t="str">
        <f>IF(AND('Mapa final'!$AI$49="Baja",'Mapa final'!$AK$49="Moderado"),CONCATENATE("R7C",'Mapa final'!$Y$49),"")</f>
        <v/>
      </c>
      <c r="AA42" s="66" t="str">
        <f>IF(AND('Mapa final'!$AI$50="Baja",'Mapa final'!$AK$50="Moderado"),CONCATENATE("R7C",'Mapa final'!$Y$50),"")</f>
        <v/>
      </c>
      <c r="AB42" s="49" t="str">
        <f>IF(AND('Mapa final'!$AI$45="Baja",'Mapa final'!$AK$45="Mayor"),CONCATENATE("R7C",'Mapa final'!$Y$45),"")</f>
        <v/>
      </c>
      <c r="AC42" s="50" t="str">
        <f>IF(AND('Mapa final'!$AI$46="Baja",'Mapa final'!$AK$46="Mayor"),CONCATENATE("R7C",'Mapa final'!$Y$46),"")</f>
        <v/>
      </c>
      <c r="AD42" s="50" t="str">
        <f>IF(AND('Mapa final'!$AI$47="Baja",'Mapa final'!$AK$47="Mayor"),CONCATENATE("R7C",'Mapa final'!$Y$47),"")</f>
        <v/>
      </c>
      <c r="AE42" s="50" t="str">
        <f>IF(AND('Mapa final'!$AI$48="Baja",'Mapa final'!$AK$48="Mayor"),CONCATENATE("R7C",'Mapa final'!$Y$48),"")</f>
        <v/>
      </c>
      <c r="AF42" s="50" t="str">
        <f>IF(AND('Mapa final'!$AI$49="Baja",'Mapa final'!$AK$49="Mayor"),CONCATENATE("R7C",'Mapa final'!$Y$49),"")</f>
        <v/>
      </c>
      <c r="AG42" s="51" t="str">
        <f>IF(AND('Mapa final'!$AI$50="Baja",'Mapa final'!$AK$50="Mayor"),CONCATENATE("R7C",'Mapa final'!$Y$50),"")</f>
        <v/>
      </c>
      <c r="AH42" s="52" t="str">
        <f>IF(AND('Mapa final'!$AI$45="Baja",'Mapa final'!$AK$45="Catastrófico"),CONCATENATE("R7C",'Mapa final'!$Y$45),"")</f>
        <v/>
      </c>
      <c r="AI42" s="53" t="str">
        <f>IF(AND('Mapa final'!$AI$46="Baja",'Mapa final'!$AK$46="Catastrófico"),CONCATENATE("R7C",'Mapa final'!$Y$46),"")</f>
        <v/>
      </c>
      <c r="AJ42" s="53" t="str">
        <f>IF(AND('Mapa final'!$AI$47="Baja",'Mapa final'!$AK$47="Catastrófico"),CONCATENATE("R7C",'Mapa final'!$Y$47),"")</f>
        <v/>
      </c>
      <c r="AK42" s="53" t="str">
        <f>IF(AND('Mapa final'!$AI$48="Baja",'Mapa final'!$AK$48="Catastrófico"),CONCATENATE("R7C",'Mapa final'!$Y$48),"")</f>
        <v/>
      </c>
      <c r="AL42" s="53" t="str">
        <f>IF(AND('Mapa final'!$AI$49="Baja",'Mapa final'!$AK$49="Catastrófico"),CONCATENATE("R7C",'Mapa final'!$Y$49),"")</f>
        <v/>
      </c>
      <c r="AM42" s="54" t="str">
        <f>IF(AND('Mapa final'!$AI$50="Baja",'Mapa final'!$AK$50="Catastrófico"),CONCATENATE("R7C",'Mapa final'!$Y$50),"")</f>
        <v/>
      </c>
      <c r="AN42" s="80"/>
      <c r="AO42" s="462"/>
      <c r="AP42" s="463"/>
      <c r="AQ42" s="463"/>
      <c r="AR42" s="463"/>
      <c r="AS42" s="463"/>
      <c r="AT42" s="464"/>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row>
    <row r="43" spans="1:80" ht="15" customHeight="1" x14ac:dyDescent="0.25">
      <c r="A43" s="80"/>
      <c r="B43" s="390"/>
      <c r="C43" s="390"/>
      <c r="D43" s="391"/>
      <c r="E43" s="431"/>
      <c r="F43" s="432"/>
      <c r="G43" s="432"/>
      <c r="H43" s="432"/>
      <c r="I43" s="432"/>
      <c r="J43" s="73" t="str">
        <f>IF(AND('Mapa final'!$AI$51="Baja",'Mapa final'!$AK$51="Leve"),CONCATENATE("R8C",'Mapa final'!$Y$51),"")</f>
        <v/>
      </c>
      <c r="K43" s="74" t="str">
        <f>IF(AND('Mapa final'!$AI$52="Baja",'Mapa final'!$AK$52="Leve"),CONCATENATE("R8C",'Mapa final'!$Y$52),"")</f>
        <v/>
      </c>
      <c r="L43" s="74" t="str">
        <f>IF(AND('Mapa final'!$AI$53="Baja",'Mapa final'!$AK$53="Leve"),CONCATENATE("R8C",'Mapa final'!$Y$53),"")</f>
        <v/>
      </c>
      <c r="M43" s="74" t="str">
        <f>IF(AND('Mapa final'!$AI$54="Baja",'Mapa final'!$AK$54="Leve"),CONCATENATE("R8C",'Mapa final'!$Y$54),"")</f>
        <v/>
      </c>
      <c r="N43" s="74" t="str">
        <f>IF(AND('Mapa final'!$AI$55="Baja",'Mapa final'!$AK$55="Leve"),CONCATENATE("R8C",'Mapa final'!$Y$55),"")</f>
        <v/>
      </c>
      <c r="O43" s="75" t="str">
        <f>IF(AND('Mapa final'!$AI$56="Baja",'Mapa final'!$AK$56="Leve"),CONCATENATE("R8C",'Mapa final'!$Y$56),"")</f>
        <v/>
      </c>
      <c r="P43" s="64" t="str">
        <f>IF(AND('Mapa final'!$AI$51="Baja",'Mapa final'!$AK$51="Menor"),CONCATENATE("R8C",'Mapa final'!$Y$51),"")</f>
        <v/>
      </c>
      <c r="Q43" s="65" t="str">
        <f>IF(AND('Mapa final'!$AI$52="Baja",'Mapa final'!$AK$52="Menor"),CONCATENATE("R8C",'Mapa final'!$Y$52),"")</f>
        <v/>
      </c>
      <c r="R43" s="65" t="str">
        <f>IF(AND('Mapa final'!$AI$53="Baja",'Mapa final'!$AK$53="Menor"),CONCATENATE("R8C",'Mapa final'!$Y$53),"")</f>
        <v/>
      </c>
      <c r="S43" s="65" t="str">
        <f>IF(AND('Mapa final'!$AI$54="Baja",'Mapa final'!$AK$54="Menor"),CONCATENATE("R8C",'Mapa final'!$Y$54),"")</f>
        <v/>
      </c>
      <c r="T43" s="65" t="str">
        <f>IF(AND('Mapa final'!$AI$55="Baja",'Mapa final'!$AK$55="Menor"),CONCATENATE("R8C",'Mapa final'!$Y$55),"")</f>
        <v/>
      </c>
      <c r="U43" s="66" t="str">
        <f>IF(AND('Mapa final'!$AI$56="Baja",'Mapa final'!$AK$56="Menor"),CONCATENATE("R8C",'Mapa final'!$Y$56),"")</f>
        <v/>
      </c>
      <c r="V43" s="64" t="str">
        <f>IF(AND('Mapa final'!$AI$51="Baja",'Mapa final'!$AK$51="Moderado"),CONCATENATE("R8C",'Mapa final'!$Y$51),"")</f>
        <v/>
      </c>
      <c r="W43" s="65" t="str">
        <f>IF(AND('Mapa final'!$AI$52="Baja",'Mapa final'!$AK$52="Moderado"),CONCATENATE("R8C",'Mapa final'!$Y$52),"")</f>
        <v/>
      </c>
      <c r="X43" s="65" t="str">
        <f>IF(AND('Mapa final'!$AI$53="Baja",'Mapa final'!$AK$53="Moderado"),CONCATENATE("R8C",'Mapa final'!$Y$53),"")</f>
        <v/>
      </c>
      <c r="Y43" s="65" t="str">
        <f>IF(AND('Mapa final'!$AI$54="Baja",'Mapa final'!$AK$54="Moderado"),CONCATENATE("R8C",'Mapa final'!$Y$54),"")</f>
        <v/>
      </c>
      <c r="Z43" s="65" t="str">
        <f>IF(AND('Mapa final'!$AI$55="Baja",'Mapa final'!$AK$55="Moderado"),CONCATENATE("R8C",'Mapa final'!$Y$55),"")</f>
        <v/>
      </c>
      <c r="AA43" s="66" t="str">
        <f>IF(AND('Mapa final'!$AI$56="Baja",'Mapa final'!$AK$56="Moderado"),CONCATENATE("R8C",'Mapa final'!$Y$56),"")</f>
        <v/>
      </c>
      <c r="AB43" s="49" t="str">
        <f>IF(AND('Mapa final'!$AI$51="Baja",'Mapa final'!$AK$51="Mayor"),CONCATENATE("R8C",'Mapa final'!$Y$51),"")</f>
        <v/>
      </c>
      <c r="AC43" s="50" t="str">
        <f>IF(AND('Mapa final'!$AI$52="Baja",'Mapa final'!$AK$52="Mayor"),CONCATENATE("R8C",'Mapa final'!$Y$52),"")</f>
        <v/>
      </c>
      <c r="AD43" s="50" t="str">
        <f>IF(AND('Mapa final'!$AI$53="Baja",'Mapa final'!$AK$53="Mayor"),CONCATENATE("R8C",'Mapa final'!$Y$53),"")</f>
        <v/>
      </c>
      <c r="AE43" s="50" t="str">
        <f>IF(AND('Mapa final'!$AI$54="Baja",'Mapa final'!$AK$54="Mayor"),CONCATENATE("R8C",'Mapa final'!$Y$54),"")</f>
        <v/>
      </c>
      <c r="AF43" s="50" t="str">
        <f>IF(AND('Mapa final'!$AI$55="Baja",'Mapa final'!$AK$55="Mayor"),CONCATENATE("R8C",'Mapa final'!$Y$55),"")</f>
        <v/>
      </c>
      <c r="AG43" s="51" t="str">
        <f>IF(AND('Mapa final'!$AI$56="Baja",'Mapa final'!$AK$56="Mayor"),CONCATENATE("R8C",'Mapa final'!$Y$56),"")</f>
        <v/>
      </c>
      <c r="AH43" s="52" t="str">
        <f>IF(AND('Mapa final'!$AI$51="Baja",'Mapa final'!$AK$51="Catastrófico"),CONCATENATE("R8C",'Mapa final'!$Y$51),"")</f>
        <v/>
      </c>
      <c r="AI43" s="53" t="str">
        <f>IF(AND('Mapa final'!$AI$52="Baja",'Mapa final'!$AK$52="Catastrófico"),CONCATENATE("R8C",'Mapa final'!$Y$52),"")</f>
        <v/>
      </c>
      <c r="AJ43" s="53" t="str">
        <f>IF(AND('Mapa final'!$AI$53="Baja",'Mapa final'!$AK$53="Catastrófico"),CONCATENATE("R8C",'Mapa final'!$Y$53),"")</f>
        <v/>
      </c>
      <c r="AK43" s="53" t="str">
        <f>IF(AND('Mapa final'!$AI$54="Baja",'Mapa final'!$AK$54="Catastrófico"),CONCATENATE("R8C",'Mapa final'!$Y$54),"")</f>
        <v/>
      </c>
      <c r="AL43" s="53" t="str">
        <f>IF(AND('Mapa final'!$AI$55="Baja",'Mapa final'!$AK$55="Catastrófico"),CONCATENATE("R8C",'Mapa final'!$Y$55),"")</f>
        <v/>
      </c>
      <c r="AM43" s="54" t="str">
        <f>IF(AND('Mapa final'!$AI$56="Baja",'Mapa final'!$AK$56="Catastrófico"),CONCATENATE("R8C",'Mapa final'!$Y$56),"")</f>
        <v/>
      </c>
      <c r="AN43" s="80"/>
      <c r="AO43" s="462"/>
      <c r="AP43" s="463"/>
      <c r="AQ43" s="463"/>
      <c r="AR43" s="463"/>
      <c r="AS43" s="463"/>
      <c r="AT43" s="464"/>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row>
    <row r="44" spans="1:80" ht="15" customHeight="1" x14ac:dyDescent="0.25">
      <c r="A44" s="80"/>
      <c r="B44" s="390"/>
      <c r="C44" s="390"/>
      <c r="D44" s="391"/>
      <c r="E44" s="431"/>
      <c r="F44" s="432"/>
      <c r="G44" s="432"/>
      <c r="H44" s="432"/>
      <c r="I44" s="432"/>
      <c r="J44" s="73" t="str">
        <f>IF(AND('Mapa final'!$AI$57="Baja",'Mapa final'!$AK$57="Leve"),CONCATENATE("R9C",'Mapa final'!$Y$57),"")</f>
        <v/>
      </c>
      <c r="K44" s="74" t="str">
        <f>IF(AND('Mapa final'!$AI$58="Baja",'Mapa final'!$AK$58="Leve"),CONCATENATE("R9C",'Mapa final'!$Y$58),"")</f>
        <v/>
      </c>
      <c r="L44" s="74" t="str">
        <f>IF(AND('Mapa final'!$AI$59="Baja",'Mapa final'!$AK$59="Leve"),CONCATENATE("R9C",'Mapa final'!$Y$59),"")</f>
        <v/>
      </c>
      <c r="M44" s="74" t="str">
        <f>IF(AND('Mapa final'!$AI$60="Baja",'Mapa final'!$AK$60="Leve"),CONCATENATE("R9C",'Mapa final'!$Y$60),"")</f>
        <v/>
      </c>
      <c r="N44" s="74" t="str">
        <f>IF(AND('Mapa final'!$AI$61="Baja",'Mapa final'!$AK$61="Leve"),CONCATENATE("R9C",'Mapa final'!$Y$61),"")</f>
        <v/>
      </c>
      <c r="O44" s="75" t="str">
        <f>IF(AND('Mapa final'!$AI$62="Baja",'Mapa final'!$AK$62="Leve"),CONCATENATE("R9C",'Mapa final'!$Y$62),"")</f>
        <v/>
      </c>
      <c r="P44" s="64" t="str">
        <f>IF(AND('Mapa final'!$AI$57="Baja",'Mapa final'!$AK$57="Menor"),CONCATENATE("R9C",'Mapa final'!$Y$57),"")</f>
        <v/>
      </c>
      <c r="Q44" s="65" t="str">
        <f>IF(AND('Mapa final'!$AI$58="Baja",'Mapa final'!$AK$58="Menor"),CONCATENATE("R9C",'Mapa final'!$Y$58),"")</f>
        <v/>
      </c>
      <c r="R44" s="65" t="str">
        <f>IF(AND('Mapa final'!$AI$59="Baja",'Mapa final'!$AK$59="Menor"),CONCATENATE("R9C",'Mapa final'!$Y$59),"")</f>
        <v/>
      </c>
      <c r="S44" s="65" t="str">
        <f>IF(AND('Mapa final'!$AI$60="Baja",'Mapa final'!$AK$60="Menor"),CONCATENATE("R9C",'Mapa final'!$Y$60),"")</f>
        <v/>
      </c>
      <c r="T44" s="65" t="str">
        <f>IF(AND('Mapa final'!$AI$61="Baja",'Mapa final'!$AK$61="Menor"),CONCATENATE("R9C",'Mapa final'!$Y$61),"")</f>
        <v/>
      </c>
      <c r="U44" s="66" t="str">
        <f>IF(AND('Mapa final'!$AI$62="Baja",'Mapa final'!$AK$62="Menor"),CONCATENATE("R9C",'Mapa final'!$Y$62),"")</f>
        <v/>
      </c>
      <c r="V44" s="64" t="str">
        <f>IF(AND('Mapa final'!$AI$57="Baja",'Mapa final'!$AK$57="Moderado"),CONCATENATE("R9C",'Mapa final'!$Y$57),"")</f>
        <v/>
      </c>
      <c r="W44" s="65" t="str">
        <f>IF(AND('Mapa final'!$AI$58="Baja",'Mapa final'!$AK$58="Moderado"),CONCATENATE("R9C",'Mapa final'!$Y$58),"")</f>
        <v/>
      </c>
      <c r="X44" s="65" t="str">
        <f>IF(AND('Mapa final'!$AI$59="Baja",'Mapa final'!$AK$59="Moderado"),CONCATENATE("R9C",'Mapa final'!$Y$59),"")</f>
        <v/>
      </c>
      <c r="Y44" s="65" t="str">
        <f>IF(AND('Mapa final'!$AI$60="Baja",'Mapa final'!$AK$60="Moderado"),CONCATENATE("R9C",'Mapa final'!$Y$60),"")</f>
        <v/>
      </c>
      <c r="Z44" s="65" t="str">
        <f>IF(AND('Mapa final'!$AI$61="Baja",'Mapa final'!$AK$61="Moderado"),CONCATENATE("R9C",'Mapa final'!$Y$61),"")</f>
        <v/>
      </c>
      <c r="AA44" s="66" t="str">
        <f>IF(AND('Mapa final'!$AI$62="Baja",'Mapa final'!$AK$62="Moderado"),CONCATENATE("R9C",'Mapa final'!$Y$62),"")</f>
        <v/>
      </c>
      <c r="AB44" s="49" t="str">
        <f>IF(AND('Mapa final'!$AI$57="Baja",'Mapa final'!$AK$57="Mayor"),CONCATENATE("R9C",'Mapa final'!$Y$57),"")</f>
        <v/>
      </c>
      <c r="AC44" s="50" t="str">
        <f>IF(AND('Mapa final'!$AI$58="Baja",'Mapa final'!$AK$58="Mayor"),CONCATENATE("R9C",'Mapa final'!$Y$58),"")</f>
        <v/>
      </c>
      <c r="AD44" s="50" t="str">
        <f>IF(AND('Mapa final'!$AI$59="Baja",'Mapa final'!$AK$59="Mayor"),CONCATENATE("R9C",'Mapa final'!$Y$59),"")</f>
        <v/>
      </c>
      <c r="AE44" s="50" t="str">
        <f>IF(AND('Mapa final'!$AI$60="Baja",'Mapa final'!$AK$60="Mayor"),CONCATENATE("R9C",'Mapa final'!$Y$60),"")</f>
        <v/>
      </c>
      <c r="AF44" s="50" t="str">
        <f>IF(AND('Mapa final'!$AI$61="Baja",'Mapa final'!$AK$61="Mayor"),CONCATENATE("R9C",'Mapa final'!$Y$61),"")</f>
        <v/>
      </c>
      <c r="AG44" s="51" t="str">
        <f>IF(AND('Mapa final'!$AI$62="Baja",'Mapa final'!$AK$62="Mayor"),CONCATENATE("R9C",'Mapa final'!$Y$62),"")</f>
        <v/>
      </c>
      <c r="AH44" s="52" t="str">
        <f>IF(AND('Mapa final'!$AI$57="Baja",'Mapa final'!$AK$57="Catastrófico"),CONCATENATE("R9C",'Mapa final'!$Y$57),"")</f>
        <v/>
      </c>
      <c r="AI44" s="53" t="str">
        <f>IF(AND('Mapa final'!$AI$58="Baja",'Mapa final'!$AK$58="Catastrófico"),CONCATENATE("R9C",'Mapa final'!$Y$58),"")</f>
        <v/>
      </c>
      <c r="AJ44" s="53" t="str">
        <f>IF(AND('Mapa final'!$AI$59="Baja",'Mapa final'!$AK$59="Catastrófico"),CONCATENATE("R9C",'Mapa final'!$Y$59),"")</f>
        <v/>
      </c>
      <c r="AK44" s="53" t="str">
        <f>IF(AND('Mapa final'!$AI$60="Baja",'Mapa final'!$AK$60="Catastrófico"),CONCATENATE("R9C",'Mapa final'!$Y$60),"")</f>
        <v/>
      </c>
      <c r="AL44" s="53" t="str">
        <f>IF(AND('Mapa final'!$AI$61="Baja",'Mapa final'!$AK$61="Catastrófico"),CONCATENATE("R9C",'Mapa final'!$Y$61),"")</f>
        <v/>
      </c>
      <c r="AM44" s="54" t="str">
        <f>IF(AND('Mapa final'!$AI$62="Baja",'Mapa final'!$AK$62="Catastrófico"),CONCATENATE("R9C",'Mapa final'!$Y$62),"")</f>
        <v/>
      </c>
      <c r="AN44" s="80"/>
      <c r="AO44" s="462"/>
      <c r="AP44" s="463"/>
      <c r="AQ44" s="463"/>
      <c r="AR44" s="463"/>
      <c r="AS44" s="463"/>
      <c r="AT44" s="464"/>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row>
    <row r="45" spans="1:80" ht="15.75" customHeight="1" thickBot="1" x14ac:dyDescent="0.3">
      <c r="A45" s="80"/>
      <c r="B45" s="390"/>
      <c r="C45" s="390"/>
      <c r="D45" s="391"/>
      <c r="E45" s="434"/>
      <c r="F45" s="435"/>
      <c r="G45" s="435"/>
      <c r="H45" s="435"/>
      <c r="I45" s="435"/>
      <c r="J45" s="76" t="str">
        <f>IF(AND('Mapa final'!$AI$63="Baja",'Mapa final'!$AK$63="Leve"),CONCATENATE("R10C",'Mapa final'!$Y$63),"")</f>
        <v/>
      </c>
      <c r="K45" s="77" t="str">
        <f>IF(AND('Mapa final'!$AI$64="Baja",'Mapa final'!$AK$64="Leve"),CONCATENATE("R10C",'Mapa final'!$Y$64),"")</f>
        <v/>
      </c>
      <c r="L45" s="77" t="str">
        <f>IF(AND('Mapa final'!$AI$65="Baja",'Mapa final'!$AK$65="Leve"),CONCATENATE("R10C",'Mapa final'!$Y$65),"")</f>
        <v/>
      </c>
      <c r="M45" s="77" t="str">
        <f>IF(AND('Mapa final'!$AI$66="Baja",'Mapa final'!$AK$66="Leve"),CONCATENATE("R10C",'Mapa final'!$Y$66),"")</f>
        <v/>
      </c>
      <c r="N45" s="77" t="str">
        <f>IF(AND('Mapa final'!$AI$67="Baja",'Mapa final'!$AK$67="Leve"),CONCATENATE("R10C",'Mapa final'!$Y$67),"")</f>
        <v/>
      </c>
      <c r="O45" s="78" t="str">
        <f>IF(AND('Mapa final'!$AI$68="Baja",'Mapa final'!$AK$68="Leve"),CONCATENATE("R10C",'Mapa final'!$Y$68),"")</f>
        <v/>
      </c>
      <c r="P45" s="64" t="str">
        <f>IF(AND('Mapa final'!$AI$63="Baja",'Mapa final'!$AK$63="Menor"),CONCATENATE("R10C",'Mapa final'!$Y$63),"")</f>
        <v/>
      </c>
      <c r="Q45" s="65" t="str">
        <f>IF(AND('Mapa final'!$AI$64="Baja",'Mapa final'!$AK$64="Menor"),CONCATENATE("R10C",'Mapa final'!$Y$64),"")</f>
        <v/>
      </c>
      <c r="R45" s="65" t="str">
        <f>IF(AND('Mapa final'!$AI$65="Baja",'Mapa final'!$AK$65="Menor"),CONCATENATE("R10C",'Mapa final'!$Y$65),"")</f>
        <v/>
      </c>
      <c r="S45" s="65" t="str">
        <f>IF(AND('Mapa final'!$AI$66="Baja",'Mapa final'!$AK$66="Menor"),CONCATENATE("R10C",'Mapa final'!$Y$66),"")</f>
        <v/>
      </c>
      <c r="T45" s="65" t="str">
        <f>IF(AND('Mapa final'!$AI$67="Baja",'Mapa final'!$AK$67="Menor"),CONCATENATE("R10C",'Mapa final'!$Y$67),"")</f>
        <v/>
      </c>
      <c r="U45" s="66" t="str">
        <f>IF(AND('Mapa final'!$AI$68="Baja",'Mapa final'!$AK$68="Menor"),CONCATENATE("R10C",'Mapa final'!$Y$68),"")</f>
        <v/>
      </c>
      <c r="V45" s="67" t="str">
        <f>IF(AND('Mapa final'!$AI$63="Baja",'Mapa final'!$AK$63="Moderado"),CONCATENATE("R10C",'Mapa final'!$Y$63),"")</f>
        <v/>
      </c>
      <c r="W45" s="68" t="str">
        <f>IF(AND('Mapa final'!$AI$64="Baja",'Mapa final'!$AK$64="Moderado"),CONCATENATE("R10C",'Mapa final'!$Y$64),"")</f>
        <v/>
      </c>
      <c r="X45" s="68" t="str">
        <f>IF(AND('Mapa final'!$AI$65="Baja",'Mapa final'!$AK$65="Moderado"),CONCATENATE("R10C",'Mapa final'!$Y$65),"")</f>
        <v/>
      </c>
      <c r="Y45" s="68" t="str">
        <f>IF(AND('Mapa final'!$AI$66="Baja",'Mapa final'!$AK$66="Moderado"),CONCATENATE("R10C",'Mapa final'!$Y$66),"")</f>
        <v/>
      </c>
      <c r="Z45" s="68" t="str">
        <f>IF(AND('Mapa final'!$AI$67="Baja",'Mapa final'!$AK$67="Moderado"),CONCATENATE("R10C",'Mapa final'!$Y$67),"")</f>
        <v/>
      </c>
      <c r="AA45" s="69" t="str">
        <f>IF(AND('Mapa final'!$AI$68="Baja",'Mapa final'!$AK$68="Moderado"),CONCATENATE("R10C",'Mapa final'!$Y$68),"")</f>
        <v/>
      </c>
      <c r="AB45" s="55" t="str">
        <f>IF(AND('Mapa final'!$AI$63="Baja",'Mapa final'!$AK$63="Mayor"),CONCATENATE("R10C",'Mapa final'!$Y$63),"")</f>
        <v/>
      </c>
      <c r="AC45" s="56" t="str">
        <f>IF(AND('Mapa final'!$AI$64="Baja",'Mapa final'!$AK$64="Mayor"),CONCATENATE("R10C",'Mapa final'!$Y$64),"")</f>
        <v/>
      </c>
      <c r="AD45" s="56" t="str">
        <f>IF(AND('Mapa final'!$AI$65="Baja",'Mapa final'!$AK$65="Mayor"),CONCATENATE("R10C",'Mapa final'!$Y$65),"")</f>
        <v/>
      </c>
      <c r="AE45" s="56" t="str">
        <f>IF(AND('Mapa final'!$AI$66="Baja",'Mapa final'!$AK$66="Mayor"),CONCATENATE("R10C",'Mapa final'!$Y$66),"")</f>
        <v/>
      </c>
      <c r="AF45" s="56" t="str">
        <f>IF(AND('Mapa final'!$AI$67="Baja",'Mapa final'!$AK$67="Mayor"),CONCATENATE("R10C",'Mapa final'!$Y$67),"")</f>
        <v/>
      </c>
      <c r="AG45" s="57" t="str">
        <f>IF(AND('Mapa final'!$AI$68="Baja",'Mapa final'!$AK$68="Mayor"),CONCATENATE("R10C",'Mapa final'!$Y$68),"")</f>
        <v/>
      </c>
      <c r="AH45" s="58" t="str">
        <f>IF(AND('Mapa final'!$AI$63="Baja",'Mapa final'!$AK$63="Catastrófico"),CONCATENATE("R10C",'Mapa final'!$Y$63),"")</f>
        <v/>
      </c>
      <c r="AI45" s="59" t="str">
        <f>IF(AND('Mapa final'!$AI$64="Baja",'Mapa final'!$AK$64="Catastrófico"),CONCATENATE("R10C",'Mapa final'!$Y$64),"")</f>
        <v/>
      </c>
      <c r="AJ45" s="59" t="str">
        <f>IF(AND('Mapa final'!$AI$65="Baja",'Mapa final'!$AK$65="Catastrófico"),CONCATENATE("R10C",'Mapa final'!$Y$65),"")</f>
        <v/>
      </c>
      <c r="AK45" s="59" t="str">
        <f>IF(AND('Mapa final'!$AI$66="Baja",'Mapa final'!$AK$66="Catastrófico"),CONCATENATE("R10C",'Mapa final'!$Y$66),"")</f>
        <v/>
      </c>
      <c r="AL45" s="59" t="str">
        <f>IF(AND('Mapa final'!$AI$67="Baja",'Mapa final'!$AK$67="Catastrófico"),CONCATENATE("R10C",'Mapa final'!$Y$67),"")</f>
        <v/>
      </c>
      <c r="AM45" s="60" t="str">
        <f>IF(AND('Mapa final'!$AI$68="Baja",'Mapa final'!$AK$68="Catastrófico"),CONCATENATE("R10C",'Mapa final'!$Y$68),"")</f>
        <v/>
      </c>
      <c r="AN45" s="80"/>
      <c r="AO45" s="465"/>
      <c r="AP45" s="466"/>
      <c r="AQ45" s="466"/>
      <c r="AR45" s="466"/>
      <c r="AS45" s="466"/>
      <c r="AT45" s="467"/>
    </row>
    <row r="46" spans="1:80" ht="46.5" customHeight="1" x14ac:dyDescent="0.35">
      <c r="A46" s="80"/>
      <c r="B46" s="390"/>
      <c r="C46" s="390"/>
      <c r="D46" s="391"/>
      <c r="E46" s="428" t="s">
        <v>134</v>
      </c>
      <c r="F46" s="429"/>
      <c r="G46" s="429"/>
      <c r="H46" s="429"/>
      <c r="I46" s="430"/>
      <c r="J46" s="70" t="str">
        <f>IF(AND('Mapa final'!$AI$11="Muy Baja",'Mapa final'!$AK$11="Leve"),CONCATENATE("R1C",'Mapa final'!$Y$11),"")</f>
        <v/>
      </c>
      <c r="K46" s="71" t="str">
        <f>IF(AND('Mapa final'!$AI$12="Muy Baja",'Mapa final'!$AK$12="Leve"),CONCATENATE("R1C",'Mapa final'!$Y$12),"")</f>
        <v/>
      </c>
      <c r="L46" s="71" t="str">
        <f>IF(AND('Mapa final'!$AI$13="Muy Baja",'Mapa final'!$AK$13="Leve"),CONCATENATE("R1C",'Mapa final'!$Y$13),"")</f>
        <v/>
      </c>
      <c r="M46" s="71" t="str">
        <f>IF(AND('Mapa final'!$AI$14="Muy Baja",'Mapa final'!$AK$14="Leve"),CONCATENATE("R1C",'Mapa final'!$Y$14),"")</f>
        <v/>
      </c>
      <c r="N46" s="71" t="e">
        <f>IF(AND('Mapa final'!#REF!="Muy Baja",'Mapa final'!#REF!="Leve"),CONCATENATE("R1C",'Mapa final'!#REF!),"")</f>
        <v>#REF!</v>
      </c>
      <c r="O46" s="72" t="e">
        <f>IF(AND('Mapa final'!#REF!="Muy Baja",'Mapa final'!#REF!="Leve"),CONCATENATE("R1C",'Mapa final'!#REF!),"")</f>
        <v>#REF!</v>
      </c>
      <c r="P46" s="70" t="str">
        <f>IF(AND('Mapa final'!$AI$11="Muy Baja",'Mapa final'!$AK$11="Menor"),CONCATENATE("R1C",'Mapa final'!$Y$11),"")</f>
        <v/>
      </c>
      <c r="Q46" s="71" t="str">
        <f>IF(AND('Mapa final'!$AI$12="Muy Baja",'Mapa final'!$AK$12="Menor"),CONCATENATE("R1C",'Mapa final'!$Y$12),"")</f>
        <v/>
      </c>
      <c r="R46" s="71" t="str">
        <f>IF(AND('Mapa final'!$AI$13="Muy Baja",'Mapa final'!$AK$13="Menor"),CONCATENATE("R1C",'Mapa final'!$Y$13),"")</f>
        <v/>
      </c>
      <c r="S46" s="71" t="str">
        <f>IF(AND('Mapa final'!$AI$14="Muy Baja",'Mapa final'!$AK$14="Menor"),CONCATENATE("R1C",'Mapa final'!$Y$14),"")</f>
        <v/>
      </c>
      <c r="T46" s="71" t="e">
        <f>IF(AND('Mapa final'!#REF!="Muy Baja",'Mapa final'!#REF!="Menor"),CONCATENATE("R1C",'Mapa final'!#REF!),"")</f>
        <v>#REF!</v>
      </c>
      <c r="U46" s="72" t="e">
        <f>IF(AND('Mapa final'!#REF!="Muy Baja",'Mapa final'!#REF!="Menor"),CONCATENATE("R1C",'Mapa final'!#REF!),"")</f>
        <v>#REF!</v>
      </c>
      <c r="V46" s="61" t="str">
        <f>IF(AND('Mapa final'!$AI$11="Muy Baja",'Mapa final'!$AK$11="Moderado"),CONCATENATE("R1C",'Mapa final'!$Y$11),"")</f>
        <v/>
      </c>
      <c r="W46" s="79" t="str">
        <f>IF(AND('Mapa final'!$AI$12="Muy Baja",'Mapa final'!$AK$12="Moderado"),CONCATENATE("R1C",'Mapa final'!$Y$12),"")</f>
        <v/>
      </c>
      <c r="X46" s="62" t="str">
        <f>IF(AND('Mapa final'!$AI$13="Muy Baja",'Mapa final'!$AK$13="Moderado"),CONCATENATE("R1C",'Mapa final'!$Y$13),"")</f>
        <v/>
      </c>
      <c r="Y46" s="62" t="str">
        <f>IF(AND('Mapa final'!$AI$14="Muy Baja",'Mapa final'!$AK$14="Moderado"),CONCATENATE("R1C",'Mapa final'!$Y$14),"")</f>
        <v/>
      </c>
      <c r="Z46" s="62" t="e">
        <f>IF(AND('Mapa final'!#REF!="Muy Baja",'Mapa final'!#REF!="Moderado"),CONCATENATE("R1C",'Mapa final'!#REF!),"")</f>
        <v>#REF!</v>
      </c>
      <c r="AA46" s="63" t="e">
        <f>IF(AND('Mapa final'!#REF!="Muy Baja",'Mapa final'!#REF!="Moderado"),CONCATENATE("R1C",'Mapa final'!#REF!),"")</f>
        <v>#REF!</v>
      </c>
      <c r="AB46" s="43" t="str">
        <f>IF(AND('Mapa final'!$AI$11="Muy Baja",'Mapa final'!$AK$11="Mayor"),CONCATENATE("R1C",'Mapa final'!$Y$11),"")</f>
        <v/>
      </c>
      <c r="AC46" s="44" t="str">
        <f>IF(AND('Mapa final'!$AI$12="Muy Baja",'Mapa final'!$AK$12="Mayor"),CONCATENATE("R1C",'Mapa final'!$Y$12),"")</f>
        <v/>
      </c>
      <c r="AD46" s="44" t="str">
        <f>IF(AND('Mapa final'!$AI$13="Muy Baja",'Mapa final'!$AK$13="Mayor"),CONCATENATE("R1C",'Mapa final'!$Y$13),"")</f>
        <v/>
      </c>
      <c r="AE46" s="44" t="str">
        <f>IF(AND('Mapa final'!$AI$14="Muy Baja",'Mapa final'!$AK$14="Mayor"),CONCATENATE("R1C",'Mapa final'!$Y$14),"")</f>
        <v/>
      </c>
      <c r="AF46" s="44" t="e">
        <f>IF(AND('Mapa final'!#REF!="Muy Baja",'Mapa final'!#REF!="Mayor"),CONCATENATE("R1C",'Mapa final'!#REF!),"")</f>
        <v>#REF!</v>
      </c>
      <c r="AG46" s="45" t="e">
        <f>IF(AND('Mapa final'!#REF!="Muy Baja",'Mapa final'!#REF!="Mayor"),CONCATENATE("R1C",'Mapa final'!#REF!),"")</f>
        <v>#REF!</v>
      </c>
      <c r="AH46" s="46" t="str">
        <f>IF(AND('Mapa final'!$AI$11="Muy Baja",'Mapa final'!$AK$11="Catastrófico"),CONCATENATE("R1C",'Mapa final'!$Y$11),"")</f>
        <v/>
      </c>
      <c r="AI46" s="47" t="str">
        <f>IF(AND('Mapa final'!$AI$12="Muy Baja",'Mapa final'!$AK$12="Catastrófico"),CONCATENATE("R1C",'Mapa final'!$Y$12),"")</f>
        <v/>
      </c>
      <c r="AJ46" s="47" t="str">
        <f>IF(AND('Mapa final'!$AI$13="Muy Baja",'Mapa final'!$AK$13="Catastrófico"),CONCATENATE("R1C",'Mapa final'!$Y$13),"")</f>
        <v/>
      </c>
      <c r="AK46" s="47" t="str">
        <f>IF(AND('Mapa final'!$AI$14="Muy Baja",'Mapa final'!$AK$14="Catastrófico"),CONCATENATE("R1C",'Mapa final'!$Y$14),"")</f>
        <v/>
      </c>
      <c r="AL46" s="47" t="e">
        <f>IF(AND('Mapa final'!#REF!="Muy Baja",'Mapa final'!#REF!="Catastrófico"),CONCATENATE("R1C",'Mapa final'!#REF!),"")</f>
        <v>#REF!</v>
      </c>
      <c r="AM46" s="48" t="e">
        <f>IF(AND('Mapa final'!#REF!="Muy Baja",'Mapa final'!#REF!="Catastrófico"),CONCATENATE("R1C",'Mapa final'!#REF!),"")</f>
        <v>#REF!</v>
      </c>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ht="46.5" customHeight="1" x14ac:dyDescent="0.25">
      <c r="A47" s="80"/>
      <c r="B47" s="390"/>
      <c r="C47" s="390"/>
      <c r="D47" s="391"/>
      <c r="E47" s="447"/>
      <c r="F47" s="432"/>
      <c r="G47" s="432"/>
      <c r="H47" s="432"/>
      <c r="I47" s="433"/>
      <c r="J47" s="73" t="str">
        <f>IF(AND('Mapa final'!$AI$15="Muy Baja",'Mapa final'!$AK$15="Leve"),CONCATENATE("R2C",'Mapa final'!$Y$15),"")</f>
        <v/>
      </c>
      <c r="K47" s="74" t="str">
        <f>IF(AND('Mapa final'!$AI$16="Muy Baja",'Mapa final'!$AK$16="Leve"),CONCATENATE("R2C",'Mapa final'!$Y$16),"")</f>
        <v/>
      </c>
      <c r="L47" s="74" t="str">
        <f>IF(AND('Mapa final'!$AI$17="Muy Baja",'Mapa final'!$AK$17="Leve"),CONCATENATE("R2C",'Mapa final'!$Y$17),"")</f>
        <v/>
      </c>
      <c r="M47" s="74" t="str">
        <f>IF(AND('Mapa final'!$AI$18="Muy Baja",'Mapa final'!$AK$18="Leve"),CONCATENATE("R2C",'Mapa final'!$Y$18),"")</f>
        <v/>
      </c>
      <c r="N47" s="74" t="str">
        <f>IF(AND('Mapa final'!$AI$19="Muy Baja",'Mapa final'!$AK$19="Leve"),CONCATENATE("R2C",'Mapa final'!$Y$19),"")</f>
        <v/>
      </c>
      <c r="O47" s="75" t="str">
        <f>IF(AND('Mapa final'!$AI$20="Muy Baja",'Mapa final'!$AK$20="Leve"),CONCATENATE("R2C",'Mapa final'!$Y$20),"")</f>
        <v/>
      </c>
      <c r="P47" s="73" t="str">
        <f>IF(AND('Mapa final'!$AI$15="Muy Baja",'Mapa final'!$AK$15="Menor"),CONCATENATE("R2C",'Mapa final'!$Y$15),"")</f>
        <v/>
      </c>
      <c r="Q47" s="74" t="str">
        <f>IF(AND('Mapa final'!$AI$16="Muy Baja",'Mapa final'!$AK$16="Menor"),CONCATENATE("R2C",'Mapa final'!$Y$16),"")</f>
        <v/>
      </c>
      <c r="R47" s="74" t="str">
        <f>IF(AND('Mapa final'!$AI$17="Muy Baja",'Mapa final'!$AK$17="Menor"),CONCATENATE("R2C",'Mapa final'!$Y$17),"")</f>
        <v/>
      </c>
      <c r="S47" s="74" t="str">
        <f>IF(AND('Mapa final'!$AI$18="Muy Baja",'Mapa final'!$AK$18="Menor"),CONCATENATE("R2C",'Mapa final'!$Y$18),"")</f>
        <v/>
      </c>
      <c r="T47" s="74" t="str">
        <f>IF(AND('Mapa final'!$AI$19="Muy Baja",'Mapa final'!$AK$19="Menor"),CONCATENATE("R2C",'Mapa final'!$Y$19),"")</f>
        <v/>
      </c>
      <c r="U47" s="75" t="str">
        <f>IF(AND('Mapa final'!$AI$20="Muy Baja",'Mapa final'!$AK$20="Menor"),CONCATENATE("R2C",'Mapa final'!$Y$20),"")</f>
        <v/>
      </c>
      <c r="V47" s="64" t="str">
        <f>IF(AND('Mapa final'!$AI$15="Muy Baja",'Mapa final'!$AK$15="Moderado"),CONCATENATE("R2C",'Mapa final'!$Y$15),"")</f>
        <v/>
      </c>
      <c r="W47" s="65" t="str">
        <f>IF(AND('Mapa final'!$AI$16="Muy Baja",'Mapa final'!$AK$16="Moderado"),CONCATENATE("R2C",'Mapa final'!$Y$16),"")</f>
        <v/>
      </c>
      <c r="X47" s="65" t="str">
        <f>IF(AND('Mapa final'!$AI$17="Muy Baja",'Mapa final'!$AK$17="Moderado"),CONCATENATE("R2C",'Mapa final'!$Y$17),"")</f>
        <v/>
      </c>
      <c r="Y47" s="65" t="str">
        <f>IF(AND('Mapa final'!$AI$18="Muy Baja",'Mapa final'!$AK$18="Moderado"),CONCATENATE("R2C",'Mapa final'!$Y$18),"")</f>
        <v/>
      </c>
      <c r="Z47" s="65" t="str">
        <f>IF(AND('Mapa final'!$AI$19="Muy Baja",'Mapa final'!$AK$19="Moderado"),CONCATENATE("R2C",'Mapa final'!$Y$19),"")</f>
        <v/>
      </c>
      <c r="AA47" s="66" t="str">
        <f>IF(AND('Mapa final'!$AI$20="Muy Baja",'Mapa final'!$AK$20="Moderado"),CONCATENATE("R2C",'Mapa final'!$Y$20),"")</f>
        <v/>
      </c>
      <c r="AB47" s="49" t="str">
        <f>IF(AND('Mapa final'!$AI$15="Muy Baja",'Mapa final'!$AK$15="Mayor"),CONCATENATE("R2C",'Mapa final'!$Y$15),"")</f>
        <v/>
      </c>
      <c r="AC47" s="50" t="str">
        <f>IF(AND('Mapa final'!$AI$16="Muy Baja",'Mapa final'!$AK$16="Mayor"),CONCATENATE("R2C",'Mapa final'!$Y$16),"")</f>
        <v/>
      </c>
      <c r="AD47" s="50" t="str">
        <f>IF(AND('Mapa final'!$AI$17="Muy Baja",'Mapa final'!$AK$17="Mayor"),CONCATENATE("R2C",'Mapa final'!$Y$17),"")</f>
        <v/>
      </c>
      <c r="AE47" s="50" t="str">
        <f>IF(AND('Mapa final'!$AI$18="Muy Baja",'Mapa final'!$AK$18="Mayor"),CONCATENATE("R2C",'Mapa final'!$Y$18),"")</f>
        <v/>
      </c>
      <c r="AF47" s="50" t="str">
        <f>IF(AND('Mapa final'!$AI$19="Muy Baja",'Mapa final'!$AK$19="Mayor"),CONCATENATE("R2C",'Mapa final'!$Y$19),"")</f>
        <v/>
      </c>
      <c r="AG47" s="51" t="str">
        <f>IF(AND('Mapa final'!$AI$20="Muy Baja",'Mapa final'!$AK$20="Mayor"),CONCATENATE("R2C",'Mapa final'!$Y$20),"")</f>
        <v/>
      </c>
      <c r="AH47" s="52" t="str">
        <f>IF(AND('Mapa final'!$AI$15="Muy Baja",'Mapa final'!$AK$15="Catastrófico"),CONCATENATE("R2C",'Mapa final'!$Y$15),"")</f>
        <v/>
      </c>
      <c r="AI47" s="53" t="str">
        <f>IF(AND('Mapa final'!$AI$16="Muy Baja",'Mapa final'!$AK$16="Catastrófico"),CONCATENATE("R2C",'Mapa final'!$Y$16),"")</f>
        <v/>
      </c>
      <c r="AJ47" s="53" t="str">
        <f>IF(AND('Mapa final'!$AI$17="Muy Baja",'Mapa final'!$AK$17="Catastrófico"),CONCATENATE("R2C",'Mapa final'!$Y$17),"")</f>
        <v/>
      </c>
      <c r="AK47" s="53" t="str">
        <f>IF(AND('Mapa final'!$AI$18="Muy Baja",'Mapa final'!$AK$18="Catastrófico"),CONCATENATE("R2C",'Mapa final'!$Y$18),"")</f>
        <v/>
      </c>
      <c r="AL47" s="53" t="str">
        <f>IF(AND('Mapa final'!$AI$19="Muy Baja",'Mapa final'!$AK$19="Catastrófico"),CONCATENATE("R2C",'Mapa final'!$Y$19),"")</f>
        <v/>
      </c>
      <c r="AM47" s="54" t="str">
        <f>IF(AND('Mapa final'!$AI$20="Muy Baja",'Mapa final'!$AK$20="Catastrófico"),CONCATENATE("R2C",'Mapa final'!$Y$20),"")</f>
        <v/>
      </c>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ht="15" customHeight="1" x14ac:dyDescent="0.25">
      <c r="A48" s="80"/>
      <c r="B48" s="390"/>
      <c r="C48" s="390"/>
      <c r="D48" s="391"/>
      <c r="E48" s="447"/>
      <c r="F48" s="432"/>
      <c r="G48" s="432"/>
      <c r="H48" s="432"/>
      <c r="I48" s="433"/>
      <c r="J48" s="73" t="str">
        <f>IF(AND('Mapa final'!$AI$21="Muy Baja",'Mapa final'!$AK$21="Leve"),CONCATENATE("R3C",'Mapa final'!$Y$21),"")</f>
        <v/>
      </c>
      <c r="K48" s="74" t="str">
        <f>IF(AND('Mapa final'!$AI$22="Muy Baja",'Mapa final'!$AK$22="Leve"),CONCATENATE("R3C",'Mapa final'!$Y$22),"")</f>
        <v/>
      </c>
      <c r="L48" s="74" t="str">
        <f>IF(AND('Mapa final'!$AI$23="Muy Baja",'Mapa final'!$AK$23="Leve"),CONCATENATE("R3C",'Mapa final'!$Y$23),"")</f>
        <v/>
      </c>
      <c r="M48" s="74" t="str">
        <f>IF(AND('Mapa final'!$AI$24="Muy Baja",'Mapa final'!$AK$24="Leve"),CONCATENATE("R3C",'Mapa final'!$Y$24),"")</f>
        <v/>
      </c>
      <c r="N48" s="74" t="str">
        <f>IF(AND('Mapa final'!$AI$25="Muy Baja",'Mapa final'!$AK$25="Leve"),CONCATENATE("R3C",'Mapa final'!$Y$25),"")</f>
        <v/>
      </c>
      <c r="O48" s="75" t="str">
        <f>IF(AND('Mapa final'!$AI$26="Muy Baja",'Mapa final'!$AK$26="Leve"),CONCATENATE("R3C",'Mapa final'!$Y$26),"")</f>
        <v/>
      </c>
      <c r="P48" s="73" t="str">
        <f>IF(AND('Mapa final'!$AI$21="Muy Baja",'Mapa final'!$AK$21="Menor"),CONCATENATE("R3C",'Mapa final'!$Y$21),"")</f>
        <v/>
      </c>
      <c r="Q48" s="74" t="str">
        <f>IF(AND('Mapa final'!$AI$22="Muy Baja",'Mapa final'!$AK$22="Menor"),CONCATENATE("R3C",'Mapa final'!$Y$22),"")</f>
        <v/>
      </c>
      <c r="R48" s="74" t="str">
        <f>IF(AND('Mapa final'!$AI$23="Muy Baja",'Mapa final'!$AK$23="Menor"),CONCATENATE("R3C",'Mapa final'!$Y$23),"")</f>
        <v/>
      </c>
      <c r="S48" s="74" t="str">
        <f>IF(AND('Mapa final'!$AI$24="Muy Baja",'Mapa final'!$AK$24="Menor"),CONCATENATE("R3C",'Mapa final'!$Y$24),"")</f>
        <v/>
      </c>
      <c r="T48" s="74" t="str">
        <f>IF(AND('Mapa final'!$AI$25="Muy Baja",'Mapa final'!$AK$25="Menor"),CONCATENATE("R3C",'Mapa final'!$Y$25),"")</f>
        <v/>
      </c>
      <c r="U48" s="75" t="str">
        <f>IF(AND('Mapa final'!$AI$26="Muy Baja",'Mapa final'!$AK$26="Menor"),CONCATENATE("R3C",'Mapa final'!$Y$26),"")</f>
        <v/>
      </c>
      <c r="V48" s="64" t="str">
        <f>IF(AND('Mapa final'!$AI$21="Muy Baja",'Mapa final'!$AK$21="Moderado"),CONCATENATE("R3C",'Mapa final'!$Y$21),"")</f>
        <v/>
      </c>
      <c r="W48" s="65" t="str">
        <f>IF(AND('Mapa final'!$AI$22="Muy Baja",'Mapa final'!$AK$22="Moderado"),CONCATENATE("R3C",'Mapa final'!$Y$22),"")</f>
        <v/>
      </c>
      <c r="X48" s="65" t="str">
        <f>IF(AND('Mapa final'!$AI$23="Muy Baja",'Mapa final'!$AK$23="Moderado"),CONCATENATE("R3C",'Mapa final'!$Y$23),"")</f>
        <v/>
      </c>
      <c r="Y48" s="65" t="str">
        <f>IF(AND('Mapa final'!$AI$24="Muy Baja",'Mapa final'!$AK$24="Moderado"),CONCATENATE("R3C",'Mapa final'!$Y$24),"")</f>
        <v/>
      </c>
      <c r="Z48" s="65" t="str">
        <f>IF(AND('Mapa final'!$AI$25="Muy Baja",'Mapa final'!$AK$25="Moderado"),CONCATENATE("R3C",'Mapa final'!$Y$25),"")</f>
        <v/>
      </c>
      <c r="AA48" s="66" t="str">
        <f>IF(AND('Mapa final'!$AI$26="Muy Baja",'Mapa final'!$AK$26="Moderado"),CONCATENATE("R3C",'Mapa final'!$Y$26),"")</f>
        <v/>
      </c>
      <c r="AB48" s="49" t="str">
        <f>IF(AND('Mapa final'!$AI$21="Muy Baja",'Mapa final'!$AK$21="Mayor"),CONCATENATE("R3C",'Mapa final'!$Y$21),"")</f>
        <v/>
      </c>
      <c r="AC48" s="50" t="str">
        <f>IF(AND('Mapa final'!$AI$22="Muy Baja",'Mapa final'!$AK$22="Mayor"),CONCATENATE("R3C",'Mapa final'!$Y$22),"")</f>
        <v/>
      </c>
      <c r="AD48" s="50" t="str">
        <f>IF(AND('Mapa final'!$AI$23="Muy Baja",'Mapa final'!$AK$23="Mayor"),CONCATENATE("R3C",'Mapa final'!$Y$23),"")</f>
        <v/>
      </c>
      <c r="AE48" s="50" t="str">
        <f>IF(AND('Mapa final'!$AI$24="Muy Baja",'Mapa final'!$AK$24="Mayor"),CONCATENATE("R3C",'Mapa final'!$Y$24),"")</f>
        <v/>
      </c>
      <c r="AF48" s="50" t="str">
        <f>IF(AND('Mapa final'!$AI$25="Muy Baja",'Mapa final'!$AK$25="Mayor"),CONCATENATE("R3C",'Mapa final'!$Y$25),"")</f>
        <v/>
      </c>
      <c r="AG48" s="51" t="str">
        <f>IF(AND('Mapa final'!$AI$26="Muy Baja",'Mapa final'!$AK$26="Mayor"),CONCATENATE("R3C",'Mapa final'!$Y$26),"")</f>
        <v/>
      </c>
      <c r="AH48" s="52" t="str">
        <f>IF(AND('Mapa final'!$AI$21="Muy Baja",'Mapa final'!$AK$21="Catastrófico"),CONCATENATE("R3C",'Mapa final'!$Y$21),"")</f>
        <v/>
      </c>
      <c r="AI48" s="53" t="str">
        <f>IF(AND('Mapa final'!$AI$22="Muy Baja",'Mapa final'!$AK$22="Catastrófico"),CONCATENATE("R3C",'Mapa final'!$Y$22),"")</f>
        <v/>
      </c>
      <c r="AJ48" s="53" t="str">
        <f>IF(AND('Mapa final'!$AI$23="Muy Baja",'Mapa final'!$AK$23="Catastrófico"),CONCATENATE("R3C",'Mapa final'!$Y$23),"")</f>
        <v/>
      </c>
      <c r="AK48" s="53" t="str">
        <f>IF(AND('Mapa final'!$AI$24="Muy Baja",'Mapa final'!$AK$24="Catastrófico"),CONCATENATE("R3C",'Mapa final'!$Y$24),"")</f>
        <v/>
      </c>
      <c r="AL48" s="53" t="str">
        <f>IF(AND('Mapa final'!$AI$25="Muy Baja",'Mapa final'!$AK$25="Catastrófico"),CONCATENATE("R3C",'Mapa final'!$Y$25),"")</f>
        <v/>
      </c>
      <c r="AM48" s="54" t="str">
        <f>IF(AND('Mapa final'!$AI$26="Muy Baja",'Mapa final'!$AK$26="Catastrófico"),CONCATENATE("R3C",'Mapa final'!$Y$26),"")</f>
        <v/>
      </c>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ht="15" customHeight="1" x14ac:dyDescent="0.25">
      <c r="A49" s="80"/>
      <c r="B49" s="390"/>
      <c r="C49" s="390"/>
      <c r="D49" s="391"/>
      <c r="E49" s="431"/>
      <c r="F49" s="432"/>
      <c r="G49" s="432"/>
      <c r="H49" s="432"/>
      <c r="I49" s="433"/>
      <c r="J49" s="73" t="str">
        <f>IF(AND('Mapa final'!$AI$27="Muy Baja",'Mapa final'!$AK$27="Leve"),CONCATENATE("R4C",'Mapa final'!$Y$27),"")</f>
        <v/>
      </c>
      <c r="K49" s="74" t="str">
        <f>IF(AND('Mapa final'!$AI$28="Muy Baja",'Mapa final'!$AK$28="Leve"),CONCATENATE("R4C",'Mapa final'!$Y$28),"")</f>
        <v/>
      </c>
      <c r="L49" s="74" t="str">
        <f>IF(AND('Mapa final'!$AI$29="Muy Baja",'Mapa final'!$AK$29="Leve"),CONCATENATE("R4C",'Mapa final'!$Y$29),"")</f>
        <v/>
      </c>
      <c r="M49" s="74" t="str">
        <f>IF(AND('Mapa final'!$AI$30="Muy Baja",'Mapa final'!$AK$30="Leve"),CONCATENATE("R4C",'Mapa final'!$Y$30),"")</f>
        <v/>
      </c>
      <c r="N49" s="74" t="str">
        <f>IF(AND('Mapa final'!$AI$31="Muy Baja",'Mapa final'!$AK$31="Leve"),CONCATENATE("R4C",'Mapa final'!$Y$31),"")</f>
        <v/>
      </c>
      <c r="O49" s="75" t="str">
        <f>IF(AND('Mapa final'!$AI$32="Muy Baja",'Mapa final'!$AK$32="Leve"),CONCATENATE("R4C",'Mapa final'!$Y$32),"")</f>
        <v/>
      </c>
      <c r="P49" s="73" t="str">
        <f>IF(AND('Mapa final'!$AI$27="Muy Baja",'Mapa final'!$AK$27="Menor"),CONCATENATE("R4C",'Mapa final'!$Y$27),"")</f>
        <v/>
      </c>
      <c r="Q49" s="74" t="str">
        <f>IF(AND('Mapa final'!$AI$28="Muy Baja",'Mapa final'!$AK$28="Menor"),CONCATENATE("R4C",'Mapa final'!$Y$28),"")</f>
        <v/>
      </c>
      <c r="R49" s="74" t="str">
        <f>IF(AND('Mapa final'!$AI$29="Muy Baja",'Mapa final'!$AK$29="Menor"),CONCATENATE("R4C",'Mapa final'!$Y$29),"")</f>
        <v/>
      </c>
      <c r="S49" s="74" t="str">
        <f>IF(AND('Mapa final'!$AI$30="Muy Baja",'Mapa final'!$AK$30="Menor"),CONCATENATE("R4C",'Mapa final'!$Y$30),"")</f>
        <v/>
      </c>
      <c r="T49" s="74" t="str">
        <f>IF(AND('Mapa final'!$AI$31="Muy Baja",'Mapa final'!$AK$31="Menor"),CONCATENATE("R4C",'Mapa final'!$Y$31),"")</f>
        <v/>
      </c>
      <c r="U49" s="75" t="str">
        <f>IF(AND('Mapa final'!$AI$32="Muy Baja",'Mapa final'!$AK$32="Menor"),CONCATENATE("R4C",'Mapa final'!$Y$32),"")</f>
        <v/>
      </c>
      <c r="V49" s="64" t="str">
        <f>IF(AND('Mapa final'!$AI$27="Muy Baja",'Mapa final'!$AK$27="Moderado"),CONCATENATE("R4C",'Mapa final'!$Y$27),"")</f>
        <v/>
      </c>
      <c r="W49" s="65" t="str">
        <f>IF(AND('Mapa final'!$AI$28="Muy Baja",'Mapa final'!$AK$28="Moderado"),CONCATENATE("R4C",'Mapa final'!$Y$28),"")</f>
        <v/>
      </c>
      <c r="X49" s="65" t="str">
        <f>IF(AND('Mapa final'!$AI$29="Muy Baja",'Mapa final'!$AK$29="Moderado"),CONCATENATE("R4C",'Mapa final'!$Y$29),"")</f>
        <v/>
      </c>
      <c r="Y49" s="65" t="str">
        <f>IF(AND('Mapa final'!$AI$30="Muy Baja",'Mapa final'!$AK$30="Moderado"),CONCATENATE("R4C",'Mapa final'!$Y$30),"")</f>
        <v/>
      </c>
      <c r="Z49" s="65" t="str">
        <f>IF(AND('Mapa final'!$AI$31="Muy Baja",'Mapa final'!$AK$31="Moderado"),CONCATENATE("R4C",'Mapa final'!$Y$31),"")</f>
        <v/>
      </c>
      <c r="AA49" s="66" t="str">
        <f>IF(AND('Mapa final'!$AI$32="Muy Baja",'Mapa final'!$AK$32="Moderado"),CONCATENATE("R4C",'Mapa final'!$Y$32),"")</f>
        <v/>
      </c>
      <c r="AB49" s="49" t="str">
        <f>IF(AND('Mapa final'!$AI$27="Muy Baja",'Mapa final'!$AK$27="Mayor"),CONCATENATE("R4C",'Mapa final'!$Y$27),"")</f>
        <v/>
      </c>
      <c r="AC49" s="50" t="str">
        <f>IF(AND('Mapa final'!$AI$28="Muy Baja",'Mapa final'!$AK$28="Mayor"),CONCATENATE("R4C",'Mapa final'!$Y$28),"")</f>
        <v/>
      </c>
      <c r="AD49" s="50" t="str">
        <f>IF(AND('Mapa final'!$AI$29="Muy Baja",'Mapa final'!$AK$29="Mayor"),CONCATENATE("R4C",'Mapa final'!$Y$29),"")</f>
        <v/>
      </c>
      <c r="AE49" s="50" t="str">
        <f>IF(AND('Mapa final'!$AI$30="Muy Baja",'Mapa final'!$AK$30="Mayor"),CONCATENATE("R4C",'Mapa final'!$Y$30),"")</f>
        <v/>
      </c>
      <c r="AF49" s="50" t="str">
        <f>IF(AND('Mapa final'!$AI$31="Muy Baja",'Mapa final'!$AK$31="Mayor"),CONCATENATE("R4C",'Mapa final'!$Y$31),"")</f>
        <v/>
      </c>
      <c r="AG49" s="51" t="str">
        <f>IF(AND('Mapa final'!$AI$32="Muy Baja",'Mapa final'!$AK$32="Mayor"),CONCATENATE("R4C",'Mapa final'!$Y$32),"")</f>
        <v/>
      </c>
      <c r="AH49" s="52" t="str">
        <f>IF(AND('Mapa final'!$AI$27="Muy Baja",'Mapa final'!$AK$27="Catastrófico"),CONCATENATE("R4C",'Mapa final'!$Y$27),"")</f>
        <v/>
      </c>
      <c r="AI49" s="53" t="str">
        <f>IF(AND('Mapa final'!$AI$28="Muy Baja",'Mapa final'!$AK$28="Catastrófico"),CONCATENATE("R4C",'Mapa final'!$Y$28),"")</f>
        <v/>
      </c>
      <c r="AJ49" s="53" t="str">
        <f>IF(AND('Mapa final'!$AI$29="Muy Baja",'Mapa final'!$AK$29="Catastrófico"),CONCATENATE("R4C",'Mapa final'!$Y$29),"")</f>
        <v/>
      </c>
      <c r="AK49" s="53" t="str">
        <f>IF(AND('Mapa final'!$AI$30="Muy Baja",'Mapa final'!$AK$30="Catastrófico"),CONCATENATE("R4C",'Mapa final'!$Y$30),"")</f>
        <v/>
      </c>
      <c r="AL49" s="53" t="str">
        <f>IF(AND('Mapa final'!$AI$31="Muy Baja",'Mapa final'!$AK$31="Catastrófico"),CONCATENATE("R4C",'Mapa final'!$Y$31),"")</f>
        <v/>
      </c>
      <c r="AM49" s="54" t="str">
        <f>IF(AND('Mapa final'!$AI$32="Muy Baja",'Mapa final'!$AK$32="Catastrófico"),CONCATENATE("R4C",'Mapa final'!$Y$32),"")</f>
        <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ht="15" customHeight="1" x14ac:dyDescent="0.25">
      <c r="A50" s="80"/>
      <c r="B50" s="390"/>
      <c r="C50" s="390"/>
      <c r="D50" s="391"/>
      <c r="E50" s="431"/>
      <c r="F50" s="432"/>
      <c r="G50" s="432"/>
      <c r="H50" s="432"/>
      <c r="I50" s="433"/>
      <c r="J50" s="73" t="str">
        <f>IF(AND('Mapa final'!$AI$33="Muy Baja",'Mapa final'!$AK$33="Leve"),CONCATENATE("R5C",'Mapa final'!$Y$33),"")</f>
        <v/>
      </c>
      <c r="K50" s="74" t="str">
        <f>IF(AND('Mapa final'!$AI$34="Muy Baja",'Mapa final'!$AK$34="Leve"),CONCATENATE("R5C",'Mapa final'!$Y$34),"")</f>
        <v/>
      </c>
      <c r="L50" s="74" t="str">
        <f>IF(AND('Mapa final'!$AI$35="Muy Baja",'Mapa final'!$AK$35="Leve"),CONCATENATE("R5C",'Mapa final'!$Y$35),"")</f>
        <v/>
      </c>
      <c r="M50" s="74" t="str">
        <f>IF(AND('Mapa final'!$AI$36="Muy Baja",'Mapa final'!$AK$36="Leve"),CONCATENATE("R5C",'Mapa final'!$Y$36),"")</f>
        <v/>
      </c>
      <c r="N50" s="74" t="str">
        <f>IF(AND('Mapa final'!$AI$37="Muy Baja",'Mapa final'!$AK$37="Leve"),CONCATENATE("R5C",'Mapa final'!$Y$37),"")</f>
        <v/>
      </c>
      <c r="O50" s="75" t="str">
        <f>IF(AND('Mapa final'!$AI$38="Muy Baja",'Mapa final'!$AK$38="Leve"),CONCATENATE("R5C",'Mapa final'!$Y$38),"")</f>
        <v/>
      </c>
      <c r="P50" s="73" t="str">
        <f>IF(AND('Mapa final'!$AI$33="Muy Baja",'Mapa final'!$AK$33="Menor"),CONCATENATE("R5C",'Mapa final'!$Y$33),"")</f>
        <v/>
      </c>
      <c r="Q50" s="74" t="str">
        <f>IF(AND('Mapa final'!$AI$34="Muy Baja",'Mapa final'!$AK$34="Menor"),CONCATENATE("R5C",'Mapa final'!$Y$34),"")</f>
        <v/>
      </c>
      <c r="R50" s="74" t="str">
        <f>IF(AND('Mapa final'!$AI$35="Muy Baja",'Mapa final'!$AK$35="Menor"),CONCATENATE("R5C",'Mapa final'!$Y$35),"")</f>
        <v/>
      </c>
      <c r="S50" s="74" t="str">
        <f>IF(AND('Mapa final'!$AI$36="Muy Baja",'Mapa final'!$AK$36="Menor"),CONCATENATE("R5C",'Mapa final'!$Y$36),"")</f>
        <v/>
      </c>
      <c r="T50" s="74" t="str">
        <f>IF(AND('Mapa final'!$AI$37="Muy Baja",'Mapa final'!$AK$37="Menor"),CONCATENATE("R5C",'Mapa final'!$Y$37),"")</f>
        <v/>
      </c>
      <c r="U50" s="75" t="str">
        <f>IF(AND('Mapa final'!$AI$38="Muy Baja",'Mapa final'!$AK$38="Menor"),CONCATENATE("R5C",'Mapa final'!$Y$38),"")</f>
        <v/>
      </c>
      <c r="V50" s="64" t="str">
        <f>IF(AND('Mapa final'!$AI$33="Muy Baja",'Mapa final'!$AK$33="Moderado"),CONCATENATE("R5C",'Mapa final'!$Y$33),"")</f>
        <v/>
      </c>
      <c r="W50" s="65" t="str">
        <f>IF(AND('Mapa final'!$AI$34="Muy Baja",'Mapa final'!$AK$34="Moderado"),CONCATENATE("R5C",'Mapa final'!$Y$34),"")</f>
        <v/>
      </c>
      <c r="X50" s="65" t="str">
        <f>IF(AND('Mapa final'!$AI$35="Muy Baja",'Mapa final'!$AK$35="Moderado"),CONCATENATE("R5C",'Mapa final'!$Y$35),"")</f>
        <v/>
      </c>
      <c r="Y50" s="65" t="str">
        <f>IF(AND('Mapa final'!$AI$36="Muy Baja",'Mapa final'!$AK$36="Moderado"),CONCATENATE("R5C",'Mapa final'!$Y$36),"")</f>
        <v/>
      </c>
      <c r="Z50" s="65" t="str">
        <f>IF(AND('Mapa final'!$AI$37="Muy Baja",'Mapa final'!$AK$37="Moderado"),CONCATENATE("R5C",'Mapa final'!$Y$37),"")</f>
        <v/>
      </c>
      <c r="AA50" s="66" t="str">
        <f>IF(AND('Mapa final'!$AI$38="Muy Baja",'Mapa final'!$AK$38="Moderado"),CONCATENATE("R5C",'Mapa final'!$Y$38),"")</f>
        <v/>
      </c>
      <c r="AB50" s="49" t="str">
        <f>IF(AND('Mapa final'!$AI$33="Muy Baja",'Mapa final'!$AK$33="Mayor"),CONCATENATE("R5C",'Mapa final'!$Y$33),"")</f>
        <v/>
      </c>
      <c r="AC50" s="50" t="str">
        <f>IF(AND('Mapa final'!$AI$34="Muy Baja",'Mapa final'!$AK$34="Mayor"),CONCATENATE("R5C",'Mapa final'!$Y$34),"")</f>
        <v/>
      </c>
      <c r="AD50" s="50" t="str">
        <f>IF(AND('Mapa final'!$AI$35="Muy Baja",'Mapa final'!$AK$35="Mayor"),CONCATENATE("R5C",'Mapa final'!$Y$35),"")</f>
        <v/>
      </c>
      <c r="AE50" s="50" t="str">
        <f>IF(AND('Mapa final'!$AI$36="Muy Baja",'Mapa final'!$AK$36="Mayor"),CONCATENATE("R5C",'Mapa final'!$Y$36),"")</f>
        <v/>
      </c>
      <c r="AF50" s="50" t="str">
        <f>IF(AND('Mapa final'!$AI$37="Muy Baja",'Mapa final'!$AK$37="Mayor"),CONCATENATE("R5C",'Mapa final'!$Y$37),"")</f>
        <v/>
      </c>
      <c r="AG50" s="51" t="str">
        <f>IF(AND('Mapa final'!$AI$38="Muy Baja",'Mapa final'!$AK$38="Mayor"),CONCATENATE("R5C",'Mapa final'!$Y$38),"")</f>
        <v/>
      </c>
      <c r="AH50" s="52" t="str">
        <f>IF(AND('Mapa final'!$AI$33="Muy Baja",'Mapa final'!$AK$33="Catastrófico"),CONCATENATE("R5C",'Mapa final'!$Y$33),"")</f>
        <v/>
      </c>
      <c r="AI50" s="53" t="str">
        <f>IF(AND('Mapa final'!$AI$34="Muy Baja",'Mapa final'!$AK$34="Catastrófico"),CONCATENATE("R5C",'Mapa final'!$Y$34),"")</f>
        <v/>
      </c>
      <c r="AJ50" s="53" t="str">
        <f>IF(AND('Mapa final'!$AI$35="Muy Baja",'Mapa final'!$AK$35="Catastrófico"),CONCATENATE("R5C",'Mapa final'!$Y$35),"")</f>
        <v/>
      </c>
      <c r="AK50" s="53" t="str">
        <f>IF(AND('Mapa final'!$AI$36="Muy Baja",'Mapa final'!$AK$36="Catastrófico"),CONCATENATE("R5C",'Mapa final'!$Y$36),"")</f>
        <v/>
      </c>
      <c r="AL50" s="53" t="str">
        <f>IF(AND('Mapa final'!$AI$37="Muy Baja",'Mapa final'!$AK$37="Catastrófico"),CONCATENATE("R5C",'Mapa final'!$Y$37),"")</f>
        <v/>
      </c>
      <c r="AM50" s="54" t="str">
        <f>IF(AND('Mapa final'!$AI$38="Muy Baja",'Mapa final'!$AK$38="Catastrófico"),CONCATENATE("R5C",'Mapa final'!$Y$38),"")</f>
        <v/>
      </c>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 customHeight="1" x14ac:dyDescent="0.25">
      <c r="A51" s="80"/>
      <c r="B51" s="390"/>
      <c r="C51" s="390"/>
      <c r="D51" s="391"/>
      <c r="E51" s="431"/>
      <c r="F51" s="432"/>
      <c r="G51" s="432"/>
      <c r="H51" s="432"/>
      <c r="I51" s="433"/>
      <c r="J51" s="73" t="str">
        <f>IF(AND('Mapa final'!$AI$39="Muy Baja",'Mapa final'!$AK$39="Leve"),CONCATENATE("R6C",'Mapa final'!$Y$39),"")</f>
        <v/>
      </c>
      <c r="K51" s="74" t="str">
        <f>IF(AND('Mapa final'!$AI$40="Muy Baja",'Mapa final'!$AK$40="Leve"),CONCATENATE("R6C",'Mapa final'!$Y$40),"")</f>
        <v/>
      </c>
      <c r="L51" s="74" t="str">
        <f>IF(AND('Mapa final'!$AI$41="Muy Baja",'Mapa final'!$AK$41="Leve"),CONCATENATE("R6C",'Mapa final'!$Y$41),"")</f>
        <v/>
      </c>
      <c r="M51" s="74" t="str">
        <f>IF(AND('Mapa final'!$AI$42="Muy Baja",'Mapa final'!$AK$42="Leve"),CONCATENATE("R6C",'Mapa final'!$Y$42),"")</f>
        <v/>
      </c>
      <c r="N51" s="74" t="str">
        <f>IF(AND('Mapa final'!$AI$43="Muy Baja",'Mapa final'!$AK$43="Leve"),CONCATENATE("R6C",'Mapa final'!$Y$43),"")</f>
        <v/>
      </c>
      <c r="O51" s="75" t="str">
        <f>IF(AND('Mapa final'!$AI$44="Muy Baja",'Mapa final'!$AK$44="Leve"),CONCATENATE("R6C",'Mapa final'!$Y$44),"")</f>
        <v/>
      </c>
      <c r="P51" s="73" t="str">
        <f>IF(AND('Mapa final'!$AI$39="Muy Baja",'Mapa final'!$AK$39="Menor"),CONCATENATE("R6C",'Mapa final'!$Y$39),"")</f>
        <v/>
      </c>
      <c r="Q51" s="74" t="str">
        <f>IF(AND('Mapa final'!$AI$40="Muy Baja",'Mapa final'!$AK$40="Menor"),CONCATENATE("R6C",'Mapa final'!$Y$40),"")</f>
        <v/>
      </c>
      <c r="R51" s="74" t="str">
        <f>IF(AND('Mapa final'!$AI$41="Muy Baja",'Mapa final'!$AK$41="Menor"),CONCATENATE("R6C",'Mapa final'!$Y$41),"")</f>
        <v/>
      </c>
      <c r="S51" s="74" t="str">
        <f>IF(AND('Mapa final'!$AI$42="Muy Baja",'Mapa final'!$AK$42="Menor"),CONCATENATE("R6C",'Mapa final'!$Y$42),"")</f>
        <v/>
      </c>
      <c r="T51" s="74" t="str">
        <f>IF(AND('Mapa final'!$AI$43="Muy Baja",'Mapa final'!$AK$43="Menor"),CONCATENATE("R6C",'Mapa final'!$Y$43),"")</f>
        <v/>
      </c>
      <c r="U51" s="75" t="str">
        <f>IF(AND('Mapa final'!$AI$44="Muy Baja",'Mapa final'!$AK$44="Menor"),CONCATENATE("R6C",'Mapa final'!$Y$44),"")</f>
        <v/>
      </c>
      <c r="V51" s="64" t="str">
        <f>IF(AND('Mapa final'!$AI$39="Muy Baja",'Mapa final'!$AK$39="Moderado"),CONCATENATE("R6C",'Mapa final'!$Y$39),"")</f>
        <v/>
      </c>
      <c r="W51" s="65" t="str">
        <f>IF(AND('Mapa final'!$AI$40="Muy Baja",'Mapa final'!$AK$40="Moderado"),CONCATENATE("R6C",'Mapa final'!$Y$40),"")</f>
        <v/>
      </c>
      <c r="X51" s="65" t="str">
        <f>IF(AND('Mapa final'!$AI$41="Muy Baja",'Mapa final'!$AK$41="Moderado"),CONCATENATE("R6C",'Mapa final'!$Y$41),"")</f>
        <v/>
      </c>
      <c r="Y51" s="65" t="str">
        <f>IF(AND('Mapa final'!$AI$42="Muy Baja",'Mapa final'!$AK$42="Moderado"),CONCATENATE("R6C",'Mapa final'!$Y$42),"")</f>
        <v/>
      </c>
      <c r="Z51" s="65" t="str">
        <f>IF(AND('Mapa final'!$AI$43="Muy Baja",'Mapa final'!$AK$43="Moderado"),CONCATENATE("R6C",'Mapa final'!$Y$43),"")</f>
        <v/>
      </c>
      <c r="AA51" s="66" t="str">
        <f>IF(AND('Mapa final'!$AI$44="Muy Baja",'Mapa final'!$AK$44="Moderado"),CONCATENATE("R6C",'Mapa final'!$Y$44),"")</f>
        <v/>
      </c>
      <c r="AB51" s="49" t="str">
        <f>IF(AND('Mapa final'!$AI$39="Muy Baja",'Mapa final'!$AK$39="Mayor"),CONCATENATE("R6C",'Mapa final'!$Y$39),"")</f>
        <v/>
      </c>
      <c r="AC51" s="50" t="str">
        <f>IF(AND('Mapa final'!$AI$40="Muy Baja",'Mapa final'!$AK$40="Mayor"),CONCATENATE("R6C",'Mapa final'!$Y$40),"")</f>
        <v/>
      </c>
      <c r="AD51" s="50" t="str">
        <f>IF(AND('Mapa final'!$AI$41="Muy Baja",'Mapa final'!$AK$41="Mayor"),CONCATENATE("R6C",'Mapa final'!$Y$41),"")</f>
        <v/>
      </c>
      <c r="AE51" s="50" t="str">
        <f>IF(AND('Mapa final'!$AI$42="Muy Baja",'Mapa final'!$AK$42="Mayor"),CONCATENATE("R6C",'Mapa final'!$Y$42),"")</f>
        <v/>
      </c>
      <c r="AF51" s="50" t="str">
        <f>IF(AND('Mapa final'!$AI$43="Muy Baja",'Mapa final'!$AK$43="Mayor"),CONCATENATE("R6C",'Mapa final'!$Y$43),"")</f>
        <v/>
      </c>
      <c r="AG51" s="51" t="str">
        <f>IF(AND('Mapa final'!$AI$44="Muy Baja",'Mapa final'!$AK$44="Mayor"),CONCATENATE("R6C",'Mapa final'!$Y$44),"")</f>
        <v/>
      </c>
      <c r="AH51" s="52" t="str">
        <f>IF(AND('Mapa final'!$AI$39="Muy Baja",'Mapa final'!$AK$39="Catastrófico"),CONCATENATE("R6C",'Mapa final'!$Y$39),"")</f>
        <v/>
      </c>
      <c r="AI51" s="53" t="str">
        <f>IF(AND('Mapa final'!$AI$40="Muy Baja",'Mapa final'!$AK$40="Catastrófico"),CONCATENATE("R6C",'Mapa final'!$Y$40),"")</f>
        <v/>
      </c>
      <c r="AJ51" s="53" t="str">
        <f>IF(AND('Mapa final'!$AI$41="Muy Baja",'Mapa final'!$AK$41="Catastrófico"),CONCATENATE("R6C",'Mapa final'!$Y$41),"")</f>
        <v/>
      </c>
      <c r="AK51" s="53" t="str">
        <f>IF(AND('Mapa final'!$AI$42="Muy Baja",'Mapa final'!$AK$42="Catastrófico"),CONCATENATE("R6C",'Mapa final'!$Y$42),"")</f>
        <v/>
      </c>
      <c r="AL51" s="53" t="str">
        <f>IF(AND('Mapa final'!$AI$43="Muy Baja",'Mapa final'!$AK$43="Catastrófico"),CONCATENATE("R6C",'Mapa final'!$Y$43),"")</f>
        <v/>
      </c>
      <c r="AM51" s="54" t="str">
        <f>IF(AND('Mapa final'!$AI$44="Muy Baja",'Mapa final'!$AK$44="Catastrófico"),CONCATENATE("R6C",'Mapa final'!$Y$44),"")</f>
        <v/>
      </c>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ht="15" customHeight="1" x14ac:dyDescent="0.25">
      <c r="A52" s="80"/>
      <c r="B52" s="390"/>
      <c r="C52" s="390"/>
      <c r="D52" s="391"/>
      <c r="E52" s="431"/>
      <c r="F52" s="432"/>
      <c r="G52" s="432"/>
      <c r="H52" s="432"/>
      <c r="I52" s="433"/>
      <c r="J52" s="73" t="str">
        <f>IF(AND('Mapa final'!$AI$45="Muy Baja",'Mapa final'!$AK$45="Leve"),CONCATENATE("R7C",'Mapa final'!$Y$45),"")</f>
        <v/>
      </c>
      <c r="K52" s="74" t="str">
        <f>IF(AND('Mapa final'!$AI$46="Muy Baja",'Mapa final'!$AK$46="Leve"),CONCATENATE("R7C",'Mapa final'!$Y$46),"")</f>
        <v/>
      </c>
      <c r="L52" s="74" t="str">
        <f>IF(AND('Mapa final'!$AI$47="Muy Baja",'Mapa final'!$AK$47="Leve"),CONCATENATE("R7C",'Mapa final'!$Y$47),"")</f>
        <v/>
      </c>
      <c r="M52" s="74" t="str">
        <f>IF(AND('Mapa final'!$AI$48="Muy Baja",'Mapa final'!$AK$48="Leve"),CONCATENATE("R7C",'Mapa final'!$Y$48),"")</f>
        <v/>
      </c>
      <c r="N52" s="74" t="str">
        <f>IF(AND('Mapa final'!$AI$49="Muy Baja",'Mapa final'!$AK$49="Leve"),CONCATENATE("R7C",'Mapa final'!$Y$49),"")</f>
        <v/>
      </c>
      <c r="O52" s="75" t="str">
        <f>IF(AND('Mapa final'!$AI$50="Muy Baja",'Mapa final'!$AK$50="Leve"),CONCATENATE("R7C",'Mapa final'!$Y$50),"")</f>
        <v/>
      </c>
      <c r="P52" s="73" t="str">
        <f>IF(AND('Mapa final'!$AI$45="Muy Baja",'Mapa final'!$AK$45="Menor"),CONCATENATE("R7C",'Mapa final'!$Y$45),"")</f>
        <v/>
      </c>
      <c r="Q52" s="74" t="str">
        <f>IF(AND('Mapa final'!$AI$46="Muy Baja",'Mapa final'!$AK$46="Menor"),CONCATENATE("R7C",'Mapa final'!$Y$46),"")</f>
        <v/>
      </c>
      <c r="R52" s="74" t="str">
        <f>IF(AND('Mapa final'!$AI$47="Muy Baja",'Mapa final'!$AK$47="Menor"),CONCATENATE("R7C",'Mapa final'!$Y$47),"")</f>
        <v/>
      </c>
      <c r="S52" s="74" t="str">
        <f>IF(AND('Mapa final'!$AI$48="Muy Baja",'Mapa final'!$AK$48="Menor"),CONCATENATE("R7C",'Mapa final'!$Y$48),"")</f>
        <v/>
      </c>
      <c r="T52" s="74" t="str">
        <f>IF(AND('Mapa final'!$AI$49="Muy Baja",'Mapa final'!$AK$49="Menor"),CONCATENATE("R7C",'Mapa final'!$Y$49),"")</f>
        <v/>
      </c>
      <c r="U52" s="75" t="str">
        <f>IF(AND('Mapa final'!$AI$50="Muy Baja",'Mapa final'!$AK$50="Menor"),CONCATENATE("R7C",'Mapa final'!$Y$50),"")</f>
        <v/>
      </c>
      <c r="V52" s="64" t="str">
        <f>IF(AND('Mapa final'!$AI$45="Muy Baja",'Mapa final'!$AK$45="Moderado"),CONCATENATE("R7C",'Mapa final'!$Y$45),"")</f>
        <v/>
      </c>
      <c r="W52" s="65" t="str">
        <f>IF(AND('Mapa final'!$AI$46="Muy Baja",'Mapa final'!$AK$46="Moderado"),CONCATENATE("R7C",'Mapa final'!$Y$46),"")</f>
        <v/>
      </c>
      <c r="X52" s="65" t="str">
        <f>IF(AND('Mapa final'!$AI$47="Muy Baja",'Mapa final'!$AK$47="Moderado"),CONCATENATE("R7C",'Mapa final'!$Y$47),"")</f>
        <v/>
      </c>
      <c r="Y52" s="65" t="str">
        <f>IF(AND('Mapa final'!$AI$48="Muy Baja",'Mapa final'!$AK$48="Moderado"),CONCATENATE("R7C",'Mapa final'!$Y$48),"")</f>
        <v/>
      </c>
      <c r="Z52" s="65" t="str">
        <f>IF(AND('Mapa final'!$AI$49="Muy Baja",'Mapa final'!$AK$49="Moderado"),CONCATENATE("R7C",'Mapa final'!$Y$49),"")</f>
        <v/>
      </c>
      <c r="AA52" s="66" t="str">
        <f>IF(AND('Mapa final'!$AI$50="Muy Baja",'Mapa final'!$AK$50="Moderado"),CONCATENATE("R7C",'Mapa final'!$Y$50),"")</f>
        <v/>
      </c>
      <c r="AB52" s="49" t="str">
        <f>IF(AND('Mapa final'!$AI$45="Muy Baja",'Mapa final'!$AK$45="Mayor"),CONCATENATE("R7C",'Mapa final'!$Y$45),"")</f>
        <v/>
      </c>
      <c r="AC52" s="50" t="str">
        <f>IF(AND('Mapa final'!$AI$46="Muy Baja",'Mapa final'!$AK$46="Mayor"),CONCATENATE("R7C",'Mapa final'!$Y$46),"")</f>
        <v/>
      </c>
      <c r="AD52" s="50" t="str">
        <f>IF(AND('Mapa final'!$AI$47="Muy Baja",'Mapa final'!$AK$47="Mayor"),CONCATENATE("R7C",'Mapa final'!$Y$47),"")</f>
        <v/>
      </c>
      <c r="AE52" s="50" t="str">
        <f>IF(AND('Mapa final'!$AI$48="Muy Baja",'Mapa final'!$AK$48="Mayor"),CONCATENATE("R7C",'Mapa final'!$Y$48),"")</f>
        <v/>
      </c>
      <c r="AF52" s="50" t="str">
        <f>IF(AND('Mapa final'!$AI$49="Muy Baja",'Mapa final'!$AK$49="Mayor"),CONCATENATE("R7C",'Mapa final'!$Y$49),"")</f>
        <v/>
      </c>
      <c r="AG52" s="51" t="str">
        <f>IF(AND('Mapa final'!$AI$50="Muy Baja",'Mapa final'!$AK$50="Mayor"),CONCATENATE("R7C",'Mapa final'!$Y$50),"")</f>
        <v/>
      </c>
      <c r="AH52" s="52" t="str">
        <f>IF(AND('Mapa final'!$AI$45="Muy Baja",'Mapa final'!$AK$45="Catastrófico"),CONCATENATE("R7C",'Mapa final'!$Y$45),"")</f>
        <v/>
      </c>
      <c r="AI52" s="53" t="str">
        <f>IF(AND('Mapa final'!$AI$46="Muy Baja",'Mapa final'!$AK$46="Catastrófico"),CONCATENATE("R7C",'Mapa final'!$Y$46),"")</f>
        <v/>
      </c>
      <c r="AJ52" s="53" t="str">
        <f>IF(AND('Mapa final'!$AI$47="Muy Baja",'Mapa final'!$AK$47="Catastrófico"),CONCATENATE("R7C",'Mapa final'!$Y$47),"")</f>
        <v/>
      </c>
      <c r="AK52" s="53" t="str">
        <f>IF(AND('Mapa final'!$AI$48="Muy Baja",'Mapa final'!$AK$48="Catastrófico"),CONCATENATE("R7C",'Mapa final'!$Y$48),"")</f>
        <v/>
      </c>
      <c r="AL52" s="53" t="str">
        <f>IF(AND('Mapa final'!$AI$49="Muy Baja",'Mapa final'!$AK$49="Catastrófico"),CONCATENATE("R7C",'Mapa final'!$Y$49),"")</f>
        <v/>
      </c>
      <c r="AM52" s="54" t="str">
        <f>IF(AND('Mapa final'!$AI$50="Muy Baja",'Mapa final'!$AK$50="Catastrófico"),CONCATENATE("R7C",'Mapa final'!$Y$50),"")</f>
        <v/>
      </c>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390"/>
      <c r="C53" s="390"/>
      <c r="D53" s="391"/>
      <c r="E53" s="431"/>
      <c r="F53" s="432"/>
      <c r="G53" s="432"/>
      <c r="H53" s="432"/>
      <c r="I53" s="433"/>
      <c r="J53" s="73" t="str">
        <f>IF(AND('Mapa final'!$AI$51="Muy Baja",'Mapa final'!$AK$51="Leve"),CONCATENATE("R8C",'Mapa final'!$Y$51),"")</f>
        <v/>
      </c>
      <c r="K53" s="74" t="str">
        <f>IF(AND('Mapa final'!$AI$52="Muy Baja",'Mapa final'!$AK$52="Leve"),CONCATENATE("R8C",'Mapa final'!$Y$52),"")</f>
        <v/>
      </c>
      <c r="L53" s="74" t="str">
        <f>IF(AND('Mapa final'!$AI$53="Muy Baja",'Mapa final'!$AK$53="Leve"),CONCATENATE("R8C",'Mapa final'!$Y$53),"")</f>
        <v/>
      </c>
      <c r="M53" s="74" t="str">
        <f>IF(AND('Mapa final'!$AI$54="Muy Baja",'Mapa final'!$AK$54="Leve"),CONCATENATE("R8C",'Mapa final'!$Y$54),"")</f>
        <v/>
      </c>
      <c r="N53" s="74" t="str">
        <f>IF(AND('Mapa final'!$AI$55="Muy Baja",'Mapa final'!$AK$55="Leve"),CONCATENATE("R8C",'Mapa final'!$Y$55),"")</f>
        <v/>
      </c>
      <c r="O53" s="75" t="str">
        <f>IF(AND('Mapa final'!$AI$56="Muy Baja",'Mapa final'!$AK$56="Leve"),CONCATENATE("R8C",'Mapa final'!$Y$56),"")</f>
        <v/>
      </c>
      <c r="P53" s="73" t="str">
        <f>IF(AND('Mapa final'!$AI$51="Muy Baja",'Mapa final'!$AK$51="Menor"),CONCATENATE("R8C",'Mapa final'!$Y$51),"")</f>
        <v/>
      </c>
      <c r="Q53" s="74" t="str">
        <f>IF(AND('Mapa final'!$AI$52="Muy Baja",'Mapa final'!$AK$52="Menor"),CONCATENATE("R8C",'Mapa final'!$Y$52),"")</f>
        <v/>
      </c>
      <c r="R53" s="74" t="str">
        <f>IF(AND('Mapa final'!$AI$53="Muy Baja",'Mapa final'!$AK$53="Menor"),CONCATENATE("R8C",'Mapa final'!$Y$53),"")</f>
        <v/>
      </c>
      <c r="S53" s="74" t="str">
        <f>IF(AND('Mapa final'!$AI$54="Muy Baja",'Mapa final'!$AK$54="Menor"),CONCATENATE("R8C",'Mapa final'!$Y$54),"")</f>
        <v/>
      </c>
      <c r="T53" s="74" t="str">
        <f>IF(AND('Mapa final'!$AI$55="Muy Baja",'Mapa final'!$AK$55="Menor"),CONCATENATE("R8C",'Mapa final'!$Y$55),"")</f>
        <v/>
      </c>
      <c r="U53" s="75" t="str">
        <f>IF(AND('Mapa final'!$AI$56="Muy Baja",'Mapa final'!$AK$56="Menor"),CONCATENATE("R8C",'Mapa final'!$Y$56),"")</f>
        <v/>
      </c>
      <c r="V53" s="64" t="str">
        <f>IF(AND('Mapa final'!$AI$51="Muy Baja",'Mapa final'!$AK$51="Moderado"),CONCATENATE("R8C",'Mapa final'!$Y$51),"")</f>
        <v/>
      </c>
      <c r="W53" s="65" t="str">
        <f>IF(AND('Mapa final'!$AI$52="Muy Baja",'Mapa final'!$AK$52="Moderado"),CONCATENATE("R8C",'Mapa final'!$Y$52),"")</f>
        <v/>
      </c>
      <c r="X53" s="65" t="str">
        <f>IF(AND('Mapa final'!$AI$53="Muy Baja",'Mapa final'!$AK$53="Moderado"),CONCATENATE("R8C",'Mapa final'!$Y$53),"")</f>
        <v/>
      </c>
      <c r="Y53" s="65" t="str">
        <f>IF(AND('Mapa final'!$AI$54="Muy Baja",'Mapa final'!$AK$54="Moderado"),CONCATENATE("R8C",'Mapa final'!$Y$54),"")</f>
        <v/>
      </c>
      <c r="Z53" s="65" t="str">
        <f>IF(AND('Mapa final'!$AI$55="Muy Baja",'Mapa final'!$AK$55="Moderado"),CONCATENATE("R8C",'Mapa final'!$Y$55),"")</f>
        <v/>
      </c>
      <c r="AA53" s="66" t="str">
        <f>IF(AND('Mapa final'!$AI$56="Muy Baja",'Mapa final'!$AK$56="Moderado"),CONCATENATE("R8C",'Mapa final'!$Y$56),"")</f>
        <v/>
      </c>
      <c r="AB53" s="49" t="str">
        <f>IF(AND('Mapa final'!$AI$51="Muy Baja",'Mapa final'!$AK$51="Mayor"),CONCATENATE("R8C",'Mapa final'!$Y$51),"")</f>
        <v/>
      </c>
      <c r="AC53" s="50" t="str">
        <f>IF(AND('Mapa final'!$AI$52="Muy Baja",'Mapa final'!$AK$52="Mayor"),CONCATENATE("R8C",'Mapa final'!$Y$52),"")</f>
        <v/>
      </c>
      <c r="AD53" s="50" t="str">
        <f>IF(AND('Mapa final'!$AI$53="Muy Baja",'Mapa final'!$AK$53="Mayor"),CONCATENATE("R8C",'Mapa final'!$Y$53),"")</f>
        <v/>
      </c>
      <c r="AE53" s="50" t="str">
        <f>IF(AND('Mapa final'!$AI$54="Muy Baja",'Mapa final'!$AK$54="Mayor"),CONCATENATE("R8C",'Mapa final'!$Y$54),"")</f>
        <v/>
      </c>
      <c r="AF53" s="50" t="str">
        <f>IF(AND('Mapa final'!$AI$55="Muy Baja",'Mapa final'!$AK$55="Mayor"),CONCATENATE("R8C",'Mapa final'!$Y$55),"")</f>
        <v/>
      </c>
      <c r="AG53" s="51" t="str">
        <f>IF(AND('Mapa final'!$AI$56="Muy Baja",'Mapa final'!$AK$56="Mayor"),CONCATENATE("R8C",'Mapa final'!$Y$56),"")</f>
        <v/>
      </c>
      <c r="AH53" s="52" t="str">
        <f>IF(AND('Mapa final'!$AI$51="Muy Baja",'Mapa final'!$AK$51="Catastrófico"),CONCATENATE("R8C",'Mapa final'!$Y$51),"")</f>
        <v/>
      </c>
      <c r="AI53" s="53" t="str">
        <f>IF(AND('Mapa final'!$AI$52="Muy Baja",'Mapa final'!$AK$52="Catastrófico"),CONCATENATE("R8C",'Mapa final'!$Y$52),"")</f>
        <v/>
      </c>
      <c r="AJ53" s="53" t="str">
        <f>IF(AND('Mapa final'!$AI$53="Muy Baja",'Mapa final'!$AK$53="Catastrófico"),CONCATENATE("R8C",'Mapa final'!$Y$53),"")</f>
        <v/>
      </c>
      <c r="AK53" s="53" t="str">
        <f>IF(AND('Mapa final'!$AI$54="Muy Baja",'Mapa final'!$AK$54="Catastrófico"),CONCATENATE("R8C",'Mapa final'!$Y$54),"")</f>
        <v/>
      </c>
      <c r="AL53" s="53" t="str">
        <f>IF(AND('Mapa final'!$AI$55="Muy Baja",'Mapa final'!$AK$55="Catastrófico"),CONCATENATE("R8C",'Mapa final'!$Y$55),"")</f>
        <v/>
      </c>
      <c r="AM53" s="54" t="str">
        <f>IF(AND('Mapa final'!$AI$56="Muy Baja",'Mapa final'!$AK$56="Catastrófico"),CONCATENATE("R8C",'Mapa final'!$Y$56),"")</f>
        <v/>
      </c>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390"/>
      <c r="C54" s="390"/>
      <c r="D54" s="391"/>
      <c r="E54" s="431"/>
      <c r="F54" s="432"/>
      <c r="G54" s="432"/>
      <c r="H54" s="432"/>
      <c r="I54" s="433"/>
      <c r="J54" s="73" t="str">
        <f>IF(AND('Mapa final'!$AI$57="Muy Baja",'Mapa final'!$AK$57="Leve"),CONCATENATE("R9C",'Mapa final'!$Y$57),"")</f>
        <v/>
      </c>
      <c r="K54" s="74" t="str">
        <f>IF(AND('Mapa final'!$AI$58="Muy Baja",'Mapa final'!$AK$58="Leve"),CONCATENATE("R9C",'Mapa final'!$Y$58),"")</f>
        <v/>
      </c>
      <c r="L54" s="74" t="str">
        <f>IF(AND('Mapa final'!$AI$59="Muy Baja",'Mapa final'!$AK$59="Leve"),CONCATENATE("R9C",'Mapa final'!$Y$59),"")</f>
        <v/>
      </c>
      <c r="M54" s="74" t="str">
        <f>IF(AND('Mapa final'!$AI$60="Muy Baja",'Mapa final'!$AK$60="Leve"),CONCATENATE("R9C",'Mapa final'!$Y$60),"")</f>
        <v/>
      </c>
      <c r="N54" s="74" t="str">
        <f>IF(AND('Mapa final'!$AI$61="Muy Baja",'Mapa final'!$AK$61="Leve"),CONCATENATE("R9C",'Mapa final'!$Y$61),"")</f>
        <v/>
      </c>
      <c r="O54" s="75" t="str">
        <f>IF(AND('Mapa final'!$AI$62="Muy Baja",'Mapa final'!$AK$62="Leve"),CONCATENATE("R9C",'Mapa final'!$Y$62),"")</f>
        <v/>
      </c>
      <c r="P54" s="73" t="str">
        <f>IF(AND('Mapa final'!$AI$57="Muy Baja",'Mapa final'!$AK$57="Menor"),CONCATENATE("R9C",'Mapa final'!$Y$57),"")</f>
        <v/>
      </c>
      <c r="Q54" s="74" t="str">
        <f>IF(AND('Mapa final'!$AI$58="Muy Baja",'Mapa final'!$AK$58="Menor"),CONCATENATE("R9C",'Mapa final'!$Y$58),"")</f>
        <v/>
      </c>
      <c r="R54" s="74" t="str">
        <f>IF(AND('Mapa final'!$AI$59="Muy Baja",'Mapa final'!$AK$59="Menor"),CONCATENATE("R9C",'Mapa final'!$Y$59),"")</f>
        <v/>
      </c>
      <c r="S54" s="74" t="str">
        <f>IF(AND('Mapa final'!$AI$60="Muy Baja",'Mapa final'!$AK$60="Menor"),CONCATENATE("R9C",'Mapa final'!$Y$60),"")</f>
        <v/>
      </c>
      <c r="T54" s="74" t="str">
        <f>IF(AND('Mapa final'!$AI$61="Muy Baja",'Mapa final'!$AK$61="Menor"),CONCATENATE("R9C",'Mapa final'!$Y$61),"")</f>
        <v/>
      </c>
      <c r="U54" s="75" t="str">
        <f>IF(AND('Mapa final'!$AI$62="Muy Baja",'Mapa final'!$AK$62="Menor"),CONCATENATE("R9C",'Mapa final'!$Y$62),"")</f>
        <v/>
      </c>
      <c r="V54" s="64" t="str">
        <f>IF(AND('Mapa final'!$AI$57="Muy Baja",'Mapa final'!$AK$57="Moderado"),CONCATENATE("R9C",'Mapa final'!$Y$57),"")</f>
        <v/>
      </c>
      <c r="W54" s="65" t="str">
        <f>IF(AND('Mapa final'!$AI$58="Muy Baja",'Mapa final'!$AK$58="Moderado"),CONCATENATE("R9C",'Mapa final'!$Y$58),"")</f>
        <v/>
      </c>
      <c r="X54" s="65" t="str">
        <f>IF(AND('Mapa final'!$AI$59="Muy Baja",'Mapa final'!$AK$59="Moderado"),CONCATENATE("R9C",'Mapa final'!$Y$59),"")</f>
        <v/>
      </c>
      <c r="Y54" s="65" t="str">
        <f>IF(AND('Mapa final'!$AI$60="Muy Baja",'Mapa final'!$AK$60="Moderado"),CONCATENATE("R9C",'Mapa final'!$Y$60),"")</f>
        <v/>
      </c>
      <c r="Z54" s="65" t="str">
        <f>IF(AND('Mapa final'!$AI$61="Muy Baja",'Mapa final'!$AK$61="Moderado"),CONCATENATE("R9C",'Mapa final'!$Y$61),"")</f>
        <v/>
      </c>
      <c r="AA54" s="66" t="str">
        <f>IF(AND('Mapa final'!$AI$62="Muy Baja",'Mapa final'!$AK$62="Moderado"),CONCATENATE("R9C",'Mapa final'!$Y$62),"")</f>
        <v/>
      </c>
      <c r="AB54" s="49" t="str">
        <f>IF(AND('Mapa final'!$AI$57="Muy Baja",'Mapa final'!$AK$57="Mayor"),CONCATENATE("R9C",'Mapa final'!$Y$57),"")</f>
        <v/>
      </c>
      <c r="AC54" s="50" t="str">
        <f>IF(AND('Mapa final'!$AI$58="Muy Baja",'Mapa final'!$AK$58="Mayor"),CONCATENATE("R9C",'Mapa final'!$Y$58),"")</f>
        <v/>
      </c>
      <c r="AD54" s="50" t="str">
        <f>IF(AND('Mapa final'!$AI$59="Muy Baja",'Mapa final'!$AK$59="Mayor"),CONCATENATE("R9C",'Mapa final'!$Y$59),"")</f>
        <v/>
      </c>
      <c r="AE54" s="50" t="str">
        <f>IF(AND('Mapa final'!$AI$60="Muy Baja",'Mapa final'!$AK$60="Mayor"),CONCATENATE("R9C",'Mapa final'!$Y$60),"")</f>
        <v/>
      </c>
      <c r="AF54" s="50" t="str">
        <f>IF(AND('Mapa final'!$AI$61="Muy Baja",'Mapa final'!$AK$61="Mayor"),CONCATENATE("R9C",'Mapa final'!$Y$61),"")</f>
        <v/>
      </c>
      <c r="AG54" s="51" t="str">
        <f>IF(AND('Mapa final'!$AI$62="Muy Baja",'Mapa final'!$AK$62="Mayor"),CONCATENATE("R9C",'Mapa final'!$Y$62),"")</f>
        <v/>
      </c>
      <c r="AH54" s="52" t="str">
        <f>IF(AND('Mapa final'!$AI$57="Muy Baja",'Mapa final'!$AK$57="Catastrófico"),CONCATENATE("R9C",'Mapa final'!$Y$57),"")</f>
        <v/>
      </c>
      <c r="AI54" s="53" t="str">
        <f>IF(AND('Mapa final'!$AI$58="Muy Baja",'Mapa final'!$AK$58="Catastrófico"),CONCATENATE("R9C",'Mapa final'!$Y$58),"")</f>
        <v/>
      </c>
      <c r="AJ54" s="53" t="str">
        <f>IF(AND('Mapa final'!$AI$59="Muy Baja",'Mapa final'!$AK$59="Catastrófico"),CONCATENATE("R9C",'Mapa final'!$Y$59),"")</f>
        <v/>
      </c>
      <c r="AK54" s="53" t="str">
        <f>IF(AND('Mapa final'!$AI$60="Muy Baja",'Mapa final'!$AK$60="Catastrófico"),CONCATENATE("R9C",'Mapa final'!$Y$60),"")</f>
        <v/>
      </c>
      <c r="AL54" s="53" t="str">
        <f>IF(AND('Mapa final'!$AI$61="Muy Baja",'Mapa final'!$AK$61="Catastrófico"),CONCATENATE("R9C",'Mapa final'!$Y$61),"")</f>
        <v/>
      </c>
      <c r="AM54" s="54" t="str">
        <f>IF(AND('Mapa final'!$AI$62="Muy Baja",'Mapa final'!$AK$62="Catastrófico"),CONCATENATE("R9C",'Mapa final'!$Y$62),"")</f>
        <v/>
      </c>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ht="15.75" customHeight="1" thickBot="1" x14ac:dyDescent="0.3">
      <c r="A55" s="80"/>
      <c r="B55" s="390"/>
      <c r="C55" s="390"/>
      <c r="D55" s="391"/>
      <c r="E55" s="434"/>
      <c r="F55" s="435"/>
      <c r="G55" s="435"/>
      <c r="H55" s="435"/>
      <c r="I55" s="436"/>
      <c r="J55" s="76" t="str">
        <f>IF(AND('Mapa final'!$AI$63="Muy Baja",'Mapa final'!$AK$63="Leve"),CONCATENATE("R10C",'Mapa final'!$Y$63),"")</f>
        <v/>
      </c>
      <c r="K55" s="77" t="str">
        <f>IF(AND('Mapa final'!$AI$64="Muy Baja",'Mapa final'!$AK$64="Leve"),CONCATENATE("R10C",'Mapa final'!$Y$64),"")</f>
        <v/>
      </c>
      <c r="L55" s="77" t="str">
        <f>IF(AND('Mapa final'!$AI$65="Muy Baja",'Mapa final'!$AK$65="Leve"),CONCATENATE("R10C",'Mapa final'!$Y$65),"")</f>
        <v/>
      </c>
      <c r="M55" s="77" t="str">
        <f>IF(AND('Mapa final'!$AI$66="Muy Baja",'Mapa final'!$AK$66="Leve"),CONCATENATE("R10C",'Mapa final'!$Y$66),"")</f>
        <v/>
      </c>
      <c r="N55" s="77" t="str">
        <f>IF(AND('Mapa final'!$AI$67="Muy Baja",'Mapa final'!$AK$67="Leve"),CONCATENATE("R10C",'Mapa final'!$Y$67),"")</f>
        <v/>
      </c>
      <c r="O55" s="78" t="str">
        <f>IF(AND('Mapa final'!$AI$68="Muy Baja",'Mapa final'!$AK$68="Leve"),CONCATENATE("R10C",'Mapa final'!$Y$68),"")</f>
        <v/>
      </c>
      <c r="P55" s="76" t="str">
        <f>IF(AND('Mapa final'!$AI$63="Muy Baja",'Mapa final'!$AK$63="Menor"),CONCATENATE("R10C",'Mapa final'!$Y$63),"")</f>
        <v/>
      </c>
      <c r="Q55" s="77" t="str">
        <f>IF(AND('Mapa final'!$AI$64="Muy Baja",'Mapa final'!$AK$64="Menor"),CONCATENATE("R10C",'Mapa final'!$Y$64),"")</f>
        <v/>
      </c>
      <c r="R55" s="77" t="str">
        <f>IF(AND('Mapa final'!$AI$65="Muy Baja",'Mapa final'!$AK$65="Menor"),CONCATENATE("R10C",'Mapa final'!$Y$65),"")</f>
        <v/>
      </c>
      <c r="S55" s="77" t="str">
        <f>IF(AND('Mapa final'!$AI$66="Muy Baja",'Mapa final'!$AK$66="Menor"),CONCATENATE("R10C",'Mapa final'!$Y$66),"")</f>
        <v/>
      </c>
      <c r="T55" s="77" t="str">
        <f>IF(AND('Mapa final'!$AI$67="Muy Baja",'Mapa final'!$AK$67="Menor"),CONCATENATE("R10C",'Mapa final'!$Y$67),"")</f>
        <v/>
      </c>
      <c r="U55" s="78" t="str">
        <f>IF(AND('Mapa final'!$AI$68="Muy Baja",'Mapa final'!$AK$68="Menor"),CONCATENATE("R10C",'Mapa final'!$Y$68),"")</f>
        <v/>
      </c>
      <c r="V55" s="67" t="str">
        <f>IF(AND('Mapa final'!$AI$63="Muy Baja",'Mapa final'!$AK$63="Moderado"),CONCATENATE("R10C",'Mapa final'!$Y$63),"")</f>
        <v/>
      </c>
      <c r="W55" s="68" t="str">
        <f>IF(AND('Mapa final'!$AI$64="Muy Baja",'Mapa final'!$AK$64="Moderado"),CONCATENATE("R10C",'Mapa final'!$Y$64),"")</f>
        <v/>
      </c>
      <c r="X55" s="68" t="str">
        <f>IF(AND('Mapa final'!$AI$65="Muy Baja",'Mapa final'!$AK$65="Moderado"),CONCATENATE("R10C",'Mapa final'!$Y$65),"")</f>
        <v/>
      </c>
      <c r="Y55" s="68" t="str">
        <f>IF(AND('Mapa final'!$AI$66="Muy Baja",'Mapa final'!$AK$66="Moderado"),CONCATENATE("R10C",'Mapa final'!$Y$66),"")</f>
        <v/>
      </c>
      <c r="Z55" s="68" t="str">
        <f>IF(AND('Mapa final'!$AI$67="Muy Baja",'Mapa final'!$AK$67="Moderado"),CONCATENATE("R10C",'Mapa final'!$Y$67),"")</f>
        <v/>
      </c>
      <c r="AA55" s="69" t="str">
        <f>IF(AND('Mapa final'!$AI$68="Muy Baja",'Mapa final'!$AK$68="Moderado"),CONCATENATE("R10C",'Mapa final'!$Y$68),"")</f>
        <v/>
      </c>
      <c r="AB55" s="55" t="str">
        <f>IF(AND('Mapa final'!$AI$63="Muy Baja",'Mapa final'!$AK$63="Mayor"),CONCATENATE("R10C",'Mapa final'!$Y$63),"")</f>
        <v/>
      </c>
      <c r="AC55" s="56" t="str">
        <f>IF(AND('Mapa final'!$AI$64="Muy Baja",'Mapa final'!$AK$64="Mayor"),CONCATENATE("R10C",'Mapa final'!$Y$64),"")</f>
        <v/>
      </c>
      <c r="AD55" s="56" t="str">
        <f>IF(AND('Mapa final'!$AI$65="Muy Baja",'Mapa final'!$AK$65="Mayor"),CONCATENATE("R10C",'Mapa final'!$Y$65),"")</f>
        <v/>
      </c>
      <c r="AE55" s="56" t="str">
        <f>IF(AND('Mapa final'!$AI$66="Muy Baja",'Mapa final'!$AK$66="Mayor"),CONCATENATE("R10C",'Mapa final'!$Y$66),"")</f>
        <v/>
      </c>
      <c r="AF55" s="56" t="str">
        <f>IF(AND('Mapa final'!$AI$67="Muy Baja",'Mapa final'!$AK$67="Mayor"),CONCATENATE("R10C",'Mapa final'!$Y$67),"")</f>
        <v/>
      </c>
      <c r="AG55" s="57" t="str">
        <f>IF(AND('Mapa final'!$AI$68="Muy Baja",'Mapa final'!$AK$68="Mayor"),CONCATENATE("R10C",'Mapa final'!$Y$68),"")</f>
        <v/>
      </c>
      <c r="AH55" s="58" t="str">
        <f>IF(AND('Mapa final'!$AI$63="Muy Baja",'Mapa final'!$AK$63="Catastrófico"),CONCATENATE("R10C",'Mapa final'!$Y$63),"")</f>
        <v/>
      </c>
      <c r="AI55" s="59" t="str">
        <f>IF(AND('Mapa final'!$AI$64="Muy Baja",'Mapa final'!$AK$64="Catastrófico"),CONCATENATE("R10C",'Mapa final'!$Y$64),"")</f>
        <v/>
      </c>
      <c r="AJ55" s="59" t="str">
        <f>IF(AND('Mapa final'!$AI$65="Muy Baja",'Mapa final'!$AK$65="Catastrófico"),CONCATENATE("R10C",'Mapa final'!$Y$65),"")</f>
        <v/>
      </c>
      <c r="AK55" s="59" t="str">
        <f>IF(AND('Mapa final'!$AI$66="Muy Baja",'Mapa final'!$AK$66="Catastrófico"),CONCATENATE("R10C",'Mapa final'!$Y$66),"")</f>
        <v/>
      </c>
      <c r="AL55" s="59" t="str">
        <f>IF(AND('Mapa final'!$AI$67="Muy Baja",'Mapa final'!$AK$67="Catastrófico"),CONCATENATE("R10C",'Mapa final'!$Y$67),"")</f>
        <v/>
      </c>
      <c r="AM55" s="60" t="str">
        <f>IF(AND('Mapa final'!$AI$68="Muy Baja",'Mapa final'!$AK$68="Catastrófico"),CONCATENATE("R10C",'Mapa final'!$Y$68),"")</f>
        <v/>
      </c>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428" t="s">
        <v>135</v>
      </c>
      <c r="K56" s="429"/>
      <c r="L56" s="429"/>
      <c r="M56" s="429"/>
      <c r="N56" s="429"/>
      <c r="O56" s="430"/>
      <c r="P56" s="428" t="s">
        <v>136</v>
      </c>
      <c r="Q56" s="429"/>
      <c r="R56" s="429"/>
      <c r="S56" s="429"/>
      <c r="T56" s="429"/>
      <c r="U56" s="430"/>
      <c r="V56" s="428" t="s">
        <v>137</v>
      </c>
      <c r="W56" s="429"/>
      <c r="X56" s="429"/>
      <c r="Y56" s="429"/>
      <c r="Z56" s="429"/>
      <c r="AA56" s="430"/>
      <c r="AB56" s="428" t="s">
        <v>138</v>
      </c>
      <c r="AC56" s="437"/>
      <c r="AD56" s="429"/>
      <c r="AE56" s="429"/>
      <c r="AF56" s="429"/>
      <c r="AG56" s="430"/>
      <c r="AH56" s="428" t="s">
        <v>139</v>
      </c>
      <c r="AI56" s="429"/>
      <c r="AJ56" s="429"/>
      <c r="AK56" s="429"/>
      <c r="AL56" s="429"/>
      <c r="AM56" s="43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431"/>
      <c r="K57" s="432"/>
      <c r="L57" s="432"/>
      <c r="M57" s="432"/>
      <c r="N57" s="432"/>
      <c r="O57" s="433"/>
      <c r="P57" s="431"/>
      <c r="Q57" s="432"/>
      <c r="R57" s="432"/>
      <c r="S57" s="432"/>
      <c r="T57" s="432"/>
      <c r="U57" s="433"/>
      <c r="V57" s="431"/>
      <c r="W57" s="432"/>
      <c r="X57" s="432"/>
      <c r="Y57" s="432"/>
      <c r="Z57" s="432"/>
      <c r="AA57" s="433"/>
      <c r="AB57" s="431"/>
      <c r="AC57" s="432"/>
      <c r="AD57" s="432"/>
      <c r="AE57" s="432"/>
      <c r="AF57" s="432"/>
      <c r="AG57" s="433"/>
      <c r="AH57" s="431"/>
      <c r="AI57" s="432"/>
      <c r="AJ57" s="432"/>
      <c r="AK57" s="432"/>
      <c r="AL57" s="432"/>
      <c r="AM57" s="433"/>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431"/>
      <c r="K58" s="432"/>
      <c r="L58" s="432"/>
      <c r="M58" s="432"/>
      <c r="N58" s="432"/>
      <c r="O58" s="433"/>
      <c r="P58" s="431"/>
      <c r="Q58" s="432"/>
      <c r="R58" s="432"/>
      <c r="S58" s="432"/>
      <c r="T58" s="432"/>
      <c r="U58" s="433"/>
      <c r="V58" s="431"/>
      <c r="W58" s="432"/>
      <c r="X58" s="432"/>
      <c r="Y58" s="432"/>
      <c r="Z58" s="432"/>
      <c r="AA58" s="433"/>
      <c r="AB58" s="431"/>
      <c r="AC58" s="432"/>
      <c r="AD58" s="432"/>
      <c r="AE58" s="432"/>
      <c r="AF58" s="432"/>
      <c r="AG58" s="433"/>
      <c r="AH58" s="431"/>
      <c r="AI58" s="432"/>
      <c r="AJ58" s="432"/>
      <c r="AK58" s="432"/>
      <c r="AL58" s="432"/>
      <c r="AM58" s="433"/>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431"/>
      <c r="K59" s="432"/>
      <c r="L59" s="432"/>
      <c r="M59" s="432"/>
      <c r="N59" s="432"/>
      <c r="O59" s="433"/>
      <c r="P59" s="431"/>
      <c r="Q59" s="432"/>
      <c r="R59" s="432"/>
      <c r="S59" s="432"/>
      <c r="T59" s="432"/>
      <c r="U59" s="433"/>
      <c r="V59" s="431"/>
      <c r="W59" s="432"/>
      <c r="X59" s="432"/>
      <c r="Y59" s="432"/>
      <c r="Z59" s="432"/>
      <c r="AA59" s="433"/>
      <c r="AB59" s="431"/>
      <c r="AC59" s="432"/>
      <c r="AD59" s="432"/>
      <c r="AE59" s="432"/>
      <c r="AF59" s="432"/>
      <c r="AG59" s="433"/>
      <c r="AH59" s="431"/>
      <c r="AI59" s="432"/>
      <c r="AJ59" s="432"/>
      <c r="AK59" s="432"/>
      <c r="AL59" s="432"/>
      <c r="AM59" s="433"/>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431"/>
      <c r="K60" s="432"/>
      <c r="L60" s="432"/>
      <c r="M60" s="432"/>
      <c r="N60" s="432"/>
      <c r="O60" s="433"/>
      <c r="P60" s="431"/>
      <c r="Q60" s="432"/>
      <c r="R60" s="432"/>
      <c r="S60" s="432"/>
      <c r="T60" s="432"/>
      <c r="U60" s="433"/>
      <c r="V60" s="431"/>
      <c r="W60" s="432"/>
      <c r="X60" s="432"/>
      <c r="Y60" s="432"/>
      <c r="Z60" s="432"/>
      <c r="AA60" s="433"/>
      <c r="AB60" s="431"/>
      <c r="AC60" s="432"/>
      <c r="AD60" s="432"/>
      <c r="AE60" s="432"/>
      <c r="AF60" s="432"/>
      <c r="AG60" s="433"/>
      <c r="AH60" s="431"/>
      <c r="AI60" s="432"/>
      <c r="AJ60" s="432"/>
      <c r="AK60" s="432"/>
      <c r="AL60" s="432"/>
      <c r="AM60" s="433"/>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ht="15.75" thickBot="1" x14ac:dyDescent="0.3">
      <c r="A61" s="80"/>
      <c r="B61" s="80"/>
      <c r="C61" s="80"/>
      <c r="D61" s="80"/>
      <c r="E61" s="80"/>
      <c r="F61" s="80"/>
      <c r="G61" s="80"/>
      <c r="H61" s="80"/>
      <c r="I61" s="80"/>
      <c r="J61" s="434"/>
      <c r="K61" s="435"/>
      <c r="L61" s="435"/>
      <c r="M61" s="435"/>
      <c r="N61" s="435"/>
      <c r="O61" s="436"/>
      <c r="P61" s="434"/>
      <c r="Q61" s="435"/>
      <c r="R61" s="435"/>
      <c r="S61" s="435"/>
      <c r="T61" s="435"/>
      <c r="U61" s="436"/>
      <c r="V61" s="434"/>
      <c r="W61" s="435"/>
      <c r="X61" s="435"/>
      <c r="Y61" s="435"/>
      <c r="Z61" s="435"/>
      <c r="AA61" s="436"/>
      <c r="AB61" s="434"/>
      <c r="AC61" s="435"/>
      <c r="AD61" s="435"/>
      <c r="AE61" s="435"/>
      <c r="AF61" s="435"/>
      <c r="AG61" s="436"/>
      <c r="AH61" s="434"/>
      <c r="AI61" s="435"/>
      <c r="AJ61" s="435"/>
      <c r="AK61" s="435"/>
      <c r="AL61" s="435"/>
      <c r="AM61" s="436"/>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row>
    <row r="63" spans="1:80" ht="15" customHeight="1" x14ac:dyDescent="0.25">
      <c r="A63" s="80"/>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0"/>
      <c r="AV63" s="80"/>
      <c r="AW63" s="80"/>
      <c r="AX63" s="80"/>
      <c r="AY63" s="80"/>
      <c r="AZ63" s="80"/>
      <c r="BA63" s="80"/>
      <c r="BB63" s="80"/>
      <c r="BC63" s="80"/>
      <c r="BD63" s="80"/>
      <c r="BE63" s="80"/>
      <c r="BF63" s="80"/>
      <c r="BG63" s="80"/>
      <c r="BH63" s="80"/>
    </row>
    <row r="64" spans="1:80" ht="15" customHeight="1" x14ac:dyDescent="0.25">
      <c r="A64" s="80"/>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0"/>
      <c r="AV64" s="80"/>
      <c r="AW64" s="80"/>
      <c r="AX64" s="80"/>
      <c r="AY64" s="80"/>
      <c r="AZ64" s="80"/>
      <c r="BA64" s="80"/>
      <c r="BB64" s="80"/>
      <c r="BC64" s="80"/>
      <c r="BD64" s="80"/>
      <c r="BE64" s="80"/>
      <c r="BF64" s="80"/>
      <c r="BG64" s="80"/>
      <c r="BH64" s="80"/>
    </row>
    <row r="65" spans="1:6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row>
    <row r="66" spans="1:6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row>
    <row r="67" spans="1:6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row>
    <row r="68" spans="1:6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row>
    <row r="69" spans="1:6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row>
    <row r="70" spans="1:6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row>
    <row r="71" spans="1:6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row>
    <row r="72" spans="1:6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row>
    <row r="73" spans="1:6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row>
    <row r="74" spans="1:6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row>
    <row r="75" spans="1:6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row>
    <row r="76" spans="1:6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row>
    <row r="77" spans="1:6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row>
    <row r="78" spans="1:6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row>
    <row r="79" spans="1:6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row>
    <row r="80" spans="1:6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row>
    <row r="81" spans="1:60"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row>
    <row r="82" spans="1:60"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row>
    <row r="83" spans="1:60"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row>
    <row r="84" spans="1:60"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row>
    <row r="85" spans="1:60"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row>
    <row r="86" spans="1:60"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row>
    <row r="87" spans="1:60"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row>
    <row r="88" spans="1:60"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row>
    <row r="89" spans="1:60"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row>
    <row r="90" spans="1:60"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row>
    <row r="91" spans="1:60"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row>
    <row r="92" spans="1:60"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row>
    <row r="93" spans="1:60"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row>
    <row r="94" spans="1:60"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row>
    <row r="95" spans="1:60"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row>
    <row r="96" spans="1:60"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row>
    <row r="97" spans="1:60"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row>
    <row r="98" spans="1:60"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row>
    <row r="99" spans="1:60"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row>
    <row r="100" spans="1:60"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row>
    <row r="101" spans="1:60"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row>
    <row r="102" spans="1:60"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row>
    <row r="103" spans="1:60"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row>
    <row r="104" spans="1:60"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row>
    <row r="105" spans="1:60"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row>
    <row r="106" spans="1:60"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row>
    <row r="107" spans="1:60"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row>
    <row r="108" spans="1:60"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row>
    <row r="109" spans="1:60"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row>
    <row r="110" spans="1:60"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row>
    <row r="111" spans="1:60"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row>
    <row r="112" spans="1:60"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row>
    <row r="113" spans="1:60"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row>
    <row r="114" spans="1:60"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row>
    <row r="115" spans="1:60"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row>
    <row r="116" spans="1:60"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row>
    <row r="117" spans="1:60"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row>
    <row r="118" spans="1:60"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row>
    <row r="119" spans="1:60"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row>
    <row r="120" spans="1:60"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row>
    <row r="121" spans="1:60"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row>
    <row r="122" spans="1:60"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row>
    <row r="123" spans="1:60"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row>
    <row r="124" spans="1:60"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row>
    <row r="125" spans="1:60"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row>
    <row r="126" spans="1:60"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row>
    <row r="127" spans="1:60"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row>
    <row r="128" spans="1:60"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row>
    <row r="129" spans="1:60"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row>
    <row r="130" spans="1:60"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row>
    <row r="131" spans="1:60"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row>
    <row r="132" spans="1:60"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row>
    <row r="133" spans="1:60"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row>
    <row r="134" spans="1:60"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row>
    <row r="135" spans="1:60"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row>
    <row r="136" spans="1:60"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row>
    <row r="137" spans="1:60"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row>
    <row r="138" spans="1:60"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row>
    <row r="139" spans="1:60"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row>
    <row r="140" spans="1:60"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row>
    <row r="141" spans="1:60"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row>
    <row r="142" spans="1:60"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row>
    <row r="143" spans="1:60"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row>
    <row r="144" spans="1:60"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row>
    <row r="145" spans="1:60"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row>
    <row r="146" spans="1:60"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row>
    <row r="147" spans="1:60"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row>
    <row r="148" spans="1:60"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row>
    <row r="149" spans="1:60"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row>
    <row r="150" spans="1:60"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row>
    <row r="151" spans="1:60"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row>
    <row r="152" spans="1:60"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row>
    <row r="153" spans="1:60"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row>
    <row r="154" spans="1:60"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row>
    <row r="155" spans="1:60"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row>
    <row r="156" spans="1:60"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row>
    <row r="157" spans="1:60"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row>
    <row r="158" spans="1:60"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row>
    <row r="159" spans="1:60"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row>
    <row r="160" spans="1:60"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row>
    <row r="161" spans="1:60"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row>
    <row r="162" spans="1:60"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row>
    <row r="163" spans="1:60"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row>
    <row r="164" spans="1:60"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row>
    <row r="165" spans="1:60"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row>
    <row r="166" spans="1:60"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row>
    <row r="167" spans="1:60"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row>
    <row r="168" spans="1:60"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row>
    <row r="169" spans="1:60"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row>
    <row r="170" spans="1:60"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row>
    <row r="171" spans="1:60"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row>
    <row r="172" spans="1:60"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row>
    <row r="173" spans="1:60"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row>
    <row r="174" spans="1:60"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row>
    <row r="175" spans="1:60"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row>
    <row r="176" spans="1:60"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row>
    <row r="177" spans="1:60"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row>
    <row r="178" spans="1:60"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row>
    <row r="179" spans="1:60"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row>
    <row r="180" spans="1:60"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row>
    <row r="181" spans="1:60"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row>
    <row r="182" spans="1:60"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row>
    <row r="183" spans="1:60"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row>
    <row r="184" spans="1:60"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row>
    <row r="185" spans="1:60"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row>
    <row r="186" spans="1:60"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row>
    <row r="187" spans="1:60"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row>
    <row r="188" spans="1:60"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row>
    <row r="189" spans="1:60"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row>
    <row r="190" spans="1:60"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row>
    <row r="191" spans="1:60" x14ac:dyDescent="0.25">
      <c r="A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row>
    <row r="192" spans="1:60" x14ac:dyDescent="0.25">
      <c r="A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row>
    <row r="193" spans="1:60" x14ac:dyDescent="0.25">
      <c r="A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row>
    <row r="194" spans="1:60" x14ac:dyDescent="0.25">
      <c r="A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row>
    <row r="195" spans="1:60" x14ac:dyDescent="0.25">
      <c r="A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row>
    <row r="196" spans="1:60" x14ac:dyDescent="0.25">
      <c r="A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row>
    <row r="197" spans="1:60" x14ac:dyDescent="0.25">
      <c r="A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row>
    <row r="198" spans="1:60" x14ac:dyDescent="0.25">
      <c r="A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row>
    <row r="199" spans="1:60" x14ac:dyDescent="0.25">
      <c r="A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row>
    <row r="200" spans="1:60" x14ac:dyDescent="0.25">
      <c r="A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row>
    <row r="201" spans="1:60" x14ac:dyDescent="0.25">
      <c r="A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row>
    <row r="202" spans="1:60" x14ac:dyDescent="0.25">
      <c r="A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row>
    <row r="203" spans="1:60" x14ac:dyDescent="0.25">
      <c r="A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row>
    <row r="204" spans="1:60" x14ac:dyDescent="0.25">
      <c r="A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x14ac:dyDescent="0.25">
      <c r="A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x14ac:dyDescent="0.25">
      <c r="A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x14ac:dyDescent="0.25">
      <c r="A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x14ac:dyDescent="0.25">
      <c r="A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x14ac:dyDescent="0.25">
      <c r="A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x14ac:dyDescent="0.25">
      <c r="A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row>
    <row r="211" spans="1:60" x14ac:dyDescent="0.25">
      <c r="A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row>
    <row r="212" spans="1:60" x14ac:dyDescent="0.25">
      <c r="A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row>
    <row r="213" spans="1:60" x14ac:dyDescent="0.25">
      <c r="A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row>
    <row r="214" spans="1:60" x14ac:dyDescent="0.25">
      <c r="A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row>
    <row r="215" spans="1:60" x14ac:dyDescent="0.25">
      <c r="A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row>
    <row r="216" spans="1:60" x14ac:dyDescent="0.25">
      <c r="A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row>
    <row r="217" spans="1:60" x14ac:dyDescent="0.25">
      <c r="A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row>
    <row r="218" spans="1:60" x14ac:dyDescent="0.25">
      <c r="A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row>
    <row r="219" spans="1:60" x14ac:dyDescent="0.25">
      <c r="A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row>
    <row r="220" spans="1:60" x14ac:dyDescent="0.25">
      <c r="A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row>
    <row r="221" spans="1:60" x14ac:dyDescent="0.25">
      <c r="A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row>
    <row r="222" spans="1:60" x14ac:dyDescent="0.25">
      <c r="A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row>
    <row r="223" spans="1:60" x14ac:dyDescent="0.25">
      <c r="A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row>
    <row r="224" spans="1:60" x14ac:dyDescent="0.25">
      <c r="A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row>
    <row r="225" spans="1:60" x14ac:dyDescent="0.25">
      <c r="A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row>
    <row r="226" spans="1:60" x14ac:dyDescent="0.25">
      <c r="A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row>
    <row r="227" spans="1:60" x14ac:dyDescent="0.25">
      <c r="A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row>
    <row r="228" spans="1:60" x14ac:dyDescent="0.25">
      <c r="A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row>
    <row r="229" spans="1:60" x14ac:dyDescent="0.25">
      <c r="A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row>
    <row r="230" spans="1:60" x14ac:dyDescent="0.25">
      <c r="A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row>
    <row r="231" spans="1:60" x14ac:dyDescent="0.25">
      <c r="A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row>
    <row r="232" spans="1:60" x14ac:dyDescent="0.25">
      <c r="A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row>
    <row r="233" spans="1:60" x14ac:dyDescent="0.25">
      <c r="A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row>
    <row r="234" spans="1:60" x14ac:dyDescent="0.25">
      <c r="A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row>
    <row r="235" spans="1:60" x14ac:dyDescent="0.25">
      <c r="A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row>
    <row r="236" spans="1:60" x14ac:dyDescent="0.25">
      <c r="A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row>
    <row r="237" spans="1:60" x14ac:dyDescent="0.25">
      <c r="A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row>
    <row r="238" spans="1:60" x14ac:dyDescent="0.25">
      <c r="A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row>
    <row r="239" spans="1:60" x14ac:dyDescent="0.25">
      <c r="A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row>
    <row r="240" spans="1:60" x14ac:dyDescent="0.25">
      <c r="A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row>
    <row r="241" spans="1:60" x14ac:dyDescent="0.25">
      <c r="A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row>
    <row r="242" spans="1:60" x14ac:dyDescent="0.25">
      <c r="A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row>
    <row r="243" spans="1:60" x14ac:dyDescent="0.25">
      <c r="A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row>
    <row r="244" spans="1:60" x14ac:dyDescent="0.25">
      <c r="A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row>
    <row r="245" spans="1:60" x14ac:dyDescent="0.25">
      <c r="A245" s="80"/>
    </row>
    <row r="246" spans="1:60" x14ac:dyDescent="0.25">
      <c r="A246" s="80"/>
    </row>
    <row r="247" spans="1:60" x14ac:dyDescent="0.25">
      <c r="A247" s="80"/>
    </row>
    <row r="248" spans="1:60" x14ac:dyDescent="0.25">
      <c r="A248" s="80"/>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D7" sqref="D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80"/>
      <c r="B1" s="477" t="s">
        <v>141</v>
      </c>
      <c r="C1" s="477"/>
      <c r="D1" s="477"/>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7"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7" ht="25.5" x14ac:dyDescent="0.25">
      <c r="A3" s="80"/>
      <c r="B3" s="11"/>
      <c r="C3" s="12" t="s">
        <v>142</v>
      </c>
      <c r="D3" s="12" t="s">
        <v>125</v>
      </c>
      <c r="E3" s="80"/>
      <c r="F3" s="80"/>
      <c r="G3" s="80"/>
      <c r="H3" s="80"/>
      <c r="I3" s="80"/>
      <c r="J3" s="80"/>
      <c r="K3" s="80"/>
      <c r="L3" s="80"/>
      <c r="M3" s="80"/>
      <c r="N3" s="80"/>
      <c r="O3" s="80"/>
      <c r="P3" s="80"/>
      <c r="Q3" s="80"/>
      <c r="R3" s="80"/>
      <c r="S3" s="80"/>
      <c r="T3" s="80"/>
      <c r="U3" s="80"/>
      <c r="V3" s="80"/>
      <c r="W3" s="80"/>
      <c r="X3" s="80"/>
      <c r="Y3" s="80"/>
      <c r="Z3" s="80"/>
      <c r="AA3" s="80"/>
      <c r="AB3" s="80"/>
      <c r="AC3" s="80"/>
      <c r="AD3" s="80"/>
      <c r="AE3" s="80"/>
    </row>
    <row r="4" spans="1:37" ht="51" x14ac:dyDescent="0.25">
      <c r="A4" s="80"/>
      <c r="B4" s="13" t="s">
        <v>143</v>
      </c>
      <c r="C4" s="14" t="s">
        <v>144</v>
      </c>
      <c r="D4" s="15">
        <v>0.2</v>
      </c>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7" ht="51" x14ac:dyDescent="0.25">
      <c r="A5" s="80"/>
      <c r="B5" s="16" t="s">
        <v>145</v>
      </c>
      <c r="C5" s="17" t="s">
        <v>146</v>
      </c>
      <c r="D5" s="18">
        <v>0.4</v>
      </c>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7" ht="51" x14ac:dyDescent="0.25">
      <c r="A6" s="80"/>
      <c r="B6" s="19" t="s">
        <v>147</v>
      </c>
      <c r="C6" s="17" t="s">
        <v>148</v>
      </c>
      <c r="D6" s="18">
        <v>0.6</v>
      </c>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7" ht="76.5" x14ac:dyDescent="0.25">
      <c r="A7" s="80"/>
      <c r="B7" s="20" t="s">
        <v>149</v>
      </c>
      <c r="C7" s="17" t="s">
        <v>150</v>
      </c>
      <c r="D7" s="18">
        <v>0.8</v>
      </c>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7" ht="51" x14ac:dyDescent="0.25">
      <c r="A8" s="80"/>
      <c r="B8" s="21" t="s">
        <v>151</v>
      </c>
      <c r="C8" s="17" t="s">
        <v>152</v>
      </c>
      <c r="D8" s="18">
        <v>1</v>
      </c>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7" x14ac:dyDescent="0.25">
      <c r="A9" s="80"/>
      <c r="B9" s="104"/>
      <c r="C9" s="104"/>
      <c r="D9" s="104"/>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row>
    <row r="10" spans="1:37" ht="16.5" x14ac:dyDescent="0.25">
      <c r="A10" s="80"/>
      <c r="B10" s="105"/>
      <c r="C10" s="104"/>
      <c r="D10" s="104"/>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25">
      <c r="A11" s="80"/>
      <c r="B11" s="104"/>
      <c r="C11" s="104"/>
      <c r="D11" s="104"/>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5">
      <c r="A12" s="80"/>
      <c r="B12" s="104"/>
      <c r="C12" s="104"/>
      <c r="D12" s="104"/>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5">
      <c r="A13" s="80"/>
      <c r="B13" s="104"/>
      <c r="C13" s="104"/>
      <c r="D13" s="104"/>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5">
      <c r="A14" s="80"/>
      <c r="B14" s="104"/>
      <c r="C14" s="104"/>
      <c r="D14" s="104"/>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5">
      <c r="A15" s="80"/>
      <c r="B15" s="104"/>
      <c r="C15" s="104"/>
      <c r="D15" s="104"/>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5">
      <c r="A16" s="80"/>
      <c r="B16" s="104"/>
      <c r="C16" s="104"/>
      <c r="D16" s="104"/>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row>
    <row r="17" spans="1:37" x14ac:dyDescent="0.25">
      <c r="A17" s="80"/>
      <c r="B17" s="104"/>
      <c r="C17" s="104"/>
      <c r="D17" s="104"/>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37" x14ac:dyDescent="0.25">
      <c r="A18" s="80"/>
      <c r="B18" s="104"/>
      <c r="C18" s="104"/>
      <c r="D18" s="104"/>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1:37" x14ac:dyDescent="0.25">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1:37" x14ac:dyDescent="0.25">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row>
    <row r="21" spans="1:37" x14ac:dyDescent="0.2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row>
    <row r="22" spans="1:37" x14ac:dyDescent="0.2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row>
    <row r="23" spans="1:37" x14ac:dyDescent="0.2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row>
    <row r="24" spans="1:37" x14ac:dyDescent="0.25">
      <c r="A24" s="80"/>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row>
    <row r="25" spans="1:37" x14ac:dyDescent="0.2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row>
    <row r="26" spans="1:37" x14ac:dyDescent="0.2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row>
    <row r="27" spans="1:37" x14ac:dyDescent="0.25">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row>
    <row r="28" spans="1:37" x14ac:dyDescent="0.25">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row>
    <row r="29" spans="1:37" x14ac:dyDescent="0.25">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row>
    <row r="30" spans="1:37" x14ac:dyDescent="0.25">
      <c r="A30" s="80"/>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x14ac:dyDescent="0.2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row>
    <row r="32" spans="1:37" x14ac:dyDescent="0.25">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row>
    <row r="33" spans="1:31" x14ac:dyDescent="0.25">
      <c r="A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row>
    <row r="34" spans="1:31" x14ac:dyDescent="0.25">
      <c r="A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row>
    <row r="35" spans="1:31" x14ac:dyDescent="0.25">
      <c r="A35" s="80"/>
    </row>
    <row r="36" spans="1:31" x14ac:dyDescent="0.25">
      <c r="A36" s="80"/>
    </row>
    <row r="37" spans="1:31" x14ac:dyDescent="0.25">
      <c r="A37" s="80"/>
    </row>
    <row r="38" spans="1:31" x14ac:dyDescent="0.25">
      <c r="A38" s="80"/>
    </row>
    <row r="39" spans="1:31" x14ac:dyDescent="0.25">
      <c r="A39" s="80"/>
    </row>
    <row r="40" spans="1:31" x14ac:dyDescent="0.25">
      <c r="A40" s="80"/>
    </row>
    <row r="41" spans="1:31" x14ac:dyDescent="0.25">
      <c r="A41" s="80"/>
    </row>
    <row r="42" spans="1:31" x14ac:dyDescent="0.25">
      <c r="A42" s="80"/>
    </row>
    <row r="43" spans="1:31" x14ac:dyDescent="0.25">
      <c r="A43" s="80"/>
    </row>
    <row r="44" spans="1:31" x14ac:dyDescent="0.25">
      <c r="A44" s="80"/>
    </row>
    <row r="45" spans="1:31" x14ac:dyDescent="0.25">
      <c r="A45" s="80"/>
    </row>
    <row r="46" spans="1:31" x14ac:dyDescent="0.25">
      <c r="A46" s="80"/>
    </row>
    <row r="47" spans="1:31" x14ac:dyDescent="0.25">
      <c r="A47" s="80"/>
    </row>
    <row r="48" spans="1:31" x14ac:dyDescent="0.25">
      <c r="A48" s="80"/>
    </row>
    <row r="49" spans="1:1" x14ac:dyDescent="0.25">
      <c r="A49" s="80"/>
    </row>
    <row r="50" spans="1:1" x14ac:dyDescent="0.25">
      <c r="A50" s="80"/>
    </row>
    <row r="51" spans="1:1" x14ac:dyDescent="0.25">
      <c r="A51" s="80"/>
    </row>
    <row r="52" spans="1:1" x14ac:dyDescent="0.25">
      <c r="A52" s="80"/>
    </row>
    <row r="53" spans="1:1" x14ac:dyDescent="0.25">
      <c r="A53" s="80"/>
    </row>
    <row r="54" spans="1:1" x14ac:dyDescent="0.25">
      <c r="A54" s="80"/>
    </row>
    <row r="55" spans="1:1" x14ac:dyDescent="0.25">
      <c r="A55" s="8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topLeftCell="A2" zoomScale="82" zoomScaleNormal="82" workbookViewId="0">
      <selection activeCell="D7" sqref="D7"/>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80"/>
      <c r="B1" s="478" t="s">
        <v>153</v>
      </c>
      <c r="C1" s="478"/>
      <c r="D1" s="478"/>
      <c r="E1" s="80"/>
      <c r="F1" s="80"/>
      <c r="G1" s="80"/>
      <c r="H1" s="80"/>
      <c r="I1" s="80"/>
      <c r="J1" s="80"/>
      <c r="K1" s="80"/>
      <c r="L1" s="80"/>
      <c r="M1" s="80"/>
      <c r="N1" s="80"/>
      <c r="O1" s="80"/>
      <c r="P1" s="80"/>
      <c r="Q1" s="80"/>
      <c r="R1" s="80"/>
      <c r="S1" s="80"/>
      <c r="T1" s="80"/>
      <c r="U1" s="80"/>
    </row>
    <row r="2" spans="1:21" x14ac:dyDescent="0.25">
      <c r="A2" s="80"/>
      <c r="B2" s="80"/>
      <c r="C2" s="80"/>
      <c r="D2" s="80"/>
      <c r="E2" s="80"/>
      <c r="F2" s="80"/>
      <c r="G2" s="80"/>
      <c r="H2" s="80"/>
      <c r="I2" s="80"/>
      <c r="J2" s="80"/>
      <c r="K2" s="80"/>
      <c r="L2" s="80"/>
      <c r="M2" s="80"/>
      <c r="N2" s="80"/>
      <c r="O2" s="80"/>
      <c r="P2" s="80"/>
      <c r="Q2" s="80"/>
      <c r="R2" s="80"/>
      <c r="S2" s="80"/>
      <c r="T2" s="80"/>
      <c r="U2" s="80"/>
    </row>
    <row r="3" spans="1:21" ht="30" x14ac:dyDescent="0.25">
      <c r="A3" s="80"/>
      <c r="B3" s="101"/>
      <c r="C3" s="33" t="s">
        <v>154</v>
      </c>
      <c r="D3" s="33" t="s">
        <v>155</v>
      </c>
      <c r="E3" s="80"/>
      <c r="F3" s="80"/>
      <c r="G3" s="80"/>
      <c r="H3" s="80"/>
      <c r="I3" s="80"/>
      <c r="J3" s="80"/>
      <c r="K3" s="80"/>
      <c r="L3" s="80"/>
      <c r="M3" s="80"/>
      <c r="N3" s="80"/>
      <c r="O3" s="80"/>
      <c r="P3" s="80"/>
      <c r="Q3" s="80"/>
      <c r="R3" s="80"/>
      <c r="S3" s="80"/>
      <c r="T3" s="80"/>
      <c r="U3" s="80"/>
    </row>
    <row r="4" spans="1:21" ht="33.75" x14ac:dyDescent="0.25">
      <c r="A4" s="100" t="s">
        <v>156</v>
      </c>
      <c r="B4" s="36" t="s">
        <v>157</v>
      </c>
      <c r="C4" s="41" t="s">
        <v>158</v>
      </c>
      <c r="D4" s="34" t="s">
        <v>159</v>
      </c>
      <c r="E4" s="80"/>
      <c r="F4" s="80"/>
      <c r="G4" s="80"/>
      <c r="H4" s="80"/>
      <c r="I4" s="80"/>
      <c r="J4" s="80"/>
      <c r="K4" s="80"/>
      <c r="L4" s="80"/>
      <c r="M4" s="80"/>
      <c r="N4" s="80"/>
      <c r="O4" s="80"/>
      <c r="P4" s="80"/>
      <c r="Q4" s="80"/>
      <c r="R4" s="80"/>
      <c r="S4" s="80"/>
      <c r="T4" s="80"/>
      <c r="U4" s="80"/>
    </row>
    <row r="5" spans="1:21" ht="67.5" x14ac:dyDescent="0.25">
      <c r="A5" s="100" t="s">
        <v>160</v>
      </c>
      <c r="B5" s="37" t="s">
        <v>161</v>
      </c>
      <c r="C5" s="42" t="s">
        <v>162</v>
      </c>
      <c r="D5" s="35" t="s">
        <v>163</v>
      </c>
      <c r="E5" s="80"/>
      <c r="F5" s="80"/>
      <c r="G5" s="80"/>
      <c r="H5" s="80"/>
      <c r="I5" s="80"/>
      <c r="J5" s="80"/>
      <c r="K5" s="80"/>
      <c r="L5" s="80"/>
      <c r="M5" s="80"/>
      <c r="N5" s="80"/>
      <c r="O5" s="80"/>
      <c r="P5" s="80"/>
      <c r="Q5" s="80"/>
      <c r="R5" s="80"/>
      <c r="S5" s="80"/>
      <c r="T5" s="80"/>
      <c r="U5" s="80"/>
    </row>
    <row r="6" spans="1:21" ht="67.5" x14ac:dyDescent="0.25">
      <c r="A6" s="100" t="s">
        <v>131</v>
      </c>
      <c r="B6" s="38" t="s">
        <v>164</v>
      </c>
      <c r="C6" s="42" t="s">
        <v>165</v>
      </c>
      <c r="D6" s="35" t="s">
        <v>166</v>
      </c>
      <c r="E6" s="80"/>
      <c r="F6" s="80"/>
      <c r="G6" s="80"/>
      <c r="H6" s="80"/>
      <c r="I6" s="80"/>
      <c r="J6" s="80"/>
      <c r="K6" s="80"/>
      <c r="L6" s="80"/>
      <c r="M6" s="80"/>
      <c r="N6" s="80"/>
      <c r="O6" s="80"/>
      <c r="P6" s="80"/>
      <c r="Q6" s="80"/>
      <c r="R6" s="80"/>
      <c r="S6" s="80"/>
      <c r="T6" s="80"/>
      <c r="U6" s="80"/>
    </row>
    <row r="7" spans="1:21" ht="101.25" x14ac:dyDescent="0.25">
      <c r="A7" s="100" t="s">
        <v>167</v>
      </c>
      <c r="B7" s="39" t="s">
        <v>168</v>
      </c>
      <c r="C7" s="42" t="s">
        <v>169</v>
      </c>
      <c r="D7" s="35" t="s">
        <v>170</v>
      </c>
      <c r="E7" s="80"/>
      <c r="F7" s="80"/>
      <c r="G7" s="80"/>
      <c r="H7" s="80"/>
      <c r="I7" s="80"/>
      <c r="J7" s="80"/>
      <c r="K7" s="80"/>
      <c r="L7" s="80"/>
      <c r="M7" s="80"/>
      <c r="N7" s="80"/>
      <c r="O7" s="80"/>
      <c r="P7" s="80"/>
      <c r="Q7" s="80"/>
      <c r="R7" s="80"/>
      <c r="S7" s="80"/>
      <c r="T7" s="80"/>
      <c r="U7" s="80"/>
    </row>
    <row r="8" spans="1:21" ht="67.5" x14ac:dyDescent="0.25">
      <c r="A8" s="100" t="s">
        <v>171</v>
      </c>
      <c r="B8" s="40" t="s">
        <v>172</v>
      </c>
      <c r="C8" s="42" t="s">
        <v>173</v>
      </c>
      <c r="D8" s="35" t="s">
        <v>174</v>
      </c>
      <c r="E8" s="80"/>
      <c r="F8" s="80"/>
      <c r="G8" s="80"/>
      <c r="H8" s="80"/>
      <c r="I8" s="80"/>
      <c r="J8" s="80"/>
      <c r="K8" s="80"/>
      <c r="L8" s="80"/>
      <c r="M8" s="80"/>
      <c r="N8" s="80"/>
      <c r="O8" s="80"/>
      <c r="P8" s="80"/>
      <c r="Q8" s="80"/>
      <c r="R8" s="80"/>
      <c r="S8" s="80"/>
      <c r="T8" s="80"/>
      <c r="U8" s="80"/>
    </row>
    <row r="9" spans="1:21" ht="20.25" x14ac:dyDescent="0.25">
      <c r="A9" s="100"/>
      <c r="B9" s="100"/>
      <c r="C9" s="102"/>
      <c r="D9" s="102"/>
      <c r="E9" s="80"/>
      <c r="F9" s="80"/>
      <c r="G9" s="80"/>
      <c r="H9" s="80"/>
      <c r="I9" s="80"/>
      <c r="J9" s="80"/>
      <c r="K9" s="80"/>
      <c r="L9" s="80"/>
      <c r="M9" s="80"/>
      <c r="N9" s="80"/>
      <c r="O9" s="80"/>
      <c r="P9" s="80"/>
      <c r="Q9" s="80"/>
      <c r="R9" s="80"/>
      <c r="S9" s="80"/>
      <c r="T9" s="80"/>
      <c r="U9" s="80"/>
    </row>
    <row r="10" spans="1:21" ht="16.5" x14ac:dyDescent="0.25">
      <c r="A10" s="100"/>
      <c r="B10" s="103"/>
      <c r="C10" s="103"/>
      <c r="D10" s="103"/>
      <c r="E10" s="80"/>
      <c r="F10" s="80"/>
      <c r="G10" s="80"/>
      <c r="H10" s="80"/>
      <c r="I10" s="80"/>
      <c r="J10" s="80"/>
      <c r="K10" s="80"/>
      <c r="L10" s="80"/>
      <c r="M10" s="80"/>
      <c r="N10" s="80"/>
      <c r="O10" s="80"/>
      <c r="P10" s="80"/>
      <c r="Q10" s="80"/>
      <c r="R10" s="80"/>
      <c r="S10" s="80"/>
      <c r="T10" s="80"/>
      <c r="U10" s="80"/>
    </row>
    <row r="11" spans="1:21" x14ac:dyDescent="0.25">
      <c r="A11" s="100"/>
      <c r="B11" s="100" t="s">
        <v>175</v>
      </c>
      <c r="C11" s="100" t="s">
        <v>176</v>
      </c>
      <c r="D11" s="100" t="s">
        <v>177</v>
      </c>
      <c r="E11" s="80"/>
      <c r="F11" s="80"/>
      <c r="G11" s="80"/>
      <c r="H11" s="80"/>
      <c r="I11" s="80"/>
      <c r="J11" s="80"/>
      <c r="K11" s="80"/>
      <c r="L11" s="80"/>
      <c r="M11" s="80"/>
      <c r="N11" s="80"/>
      <c r="O11" s="80"/>
      <c r="P11" s="80"/>
      <c r="Q11" s="80"/>
      <c r="R11" s="80"/>
      <c r="S11" s="80"/>
      <c r="T11" s="80"/>
      <c r="U11" s="80"/>
    </row>
    <row r="12" spans="1:21" x14ac:dyDescent="0.25">
      <c r="A12" s="100"/>
      <c r="B12" s="100" t="s">
        <v>178</v>
      </c>
      <c r="C12" s="100" t="s">
        <v>179</v>
      </c>
      <c r="D12" s="100" t="s">
        <v>180</v>
      </c>
      <c r="E12" s="80"/>
      <c r="F12" s="80"/>
      <c r="G12" s="80"/>
      <c r="H12" s="80"/>
      <c r="I12" s="80"/>
      <c r="J12" s="80"/>
      <c r="K12" s="80"/>
      <c r="L12" s="80"/>
      <c r="M12" s="80"/>
      <c r="N12" s="80"/>
      <c r="O12" s="80"/>
      <c r="P12" s="80"/>
      <c r="Q12" s="80"/>
      <c r="R12" s="80"/>
      <c r="S12" s="80"/>
      <c r="T12" s="80"/>
      <c r="U12" s="80"/>
    </row>
    <row r="13" spans="1:21" x14ac:dyDescent="0.25">
      <c r="A13" s="100"/>
      <c r="B13" s="100"/>
      <c r="C13" s="100" t="s">
        <v>181</v>
      </c>
      <c r="D13" s="100" t="s">
        <v>182</v>
      </c>
      <c r="E13" s="80"/>
      <c r="F13" s="80"/>
      <c r="G13" s="80"/>
      <c r="H13" s="80"/>
      <c r="I13" s="80"/>
      <c r="J13" s="80"/>
      <c r="K13" s="80"/>
      <c r="L13" s="80"/>
      <c r="M13" s="80"/>
      <c r="N13" s="80"/>
      <c r="O13" s="80"/>
      <c r="P13" s="80"/>
      <c r="Q13" s="80"/>
      <c r="R13" s="80"/>
      <c r="S13" s="80"/>
      <c r="T13" s="80"/>
      <c r="U13" s="80"/>
    </row>
    <row r="14" spans="1:21" x14ac:dyDescent="0.25">
      <c r="A14" s="100"/>
      <c r="B14" s="100"/>
      <c r="C14" s="100" t="s">
        <v>183</v>
      </c>
      <c r="D14" s="100" t="s">
        <v>103</v>
      </c>
      <c r="E14" s="80"/>
      <c r="F14" s="80"/>
      <c r="G14" s="80"/>
      <c r="H14" s="80"/>
      <c r="I14" s="80"/>
      <c r="J14" s="80"/>
      <c r="K14" s="80"/>
      <c r="L14" s="80"/>
      <c r="M14" s="80"/>
      <c r="N14" s="80"/>
      <c r="O14" s="80"/>
      <c r="P14" s="80"/>
      <c r="Q14" s="80"/>
      <c r="R14" s="80"/>
      <c r="S14" s="80"/>
      <c r="T14" s="80"/>
      <c r="U14" s="80"/>
    </row>
    <row r="15" spans="1:21" x14ac:dyDescent="0.25">
      <c r="A15" s="100"/>
      <c r="B15" s="100"/>
      <c r="C15" s="100" t="s">
        <v>184</v>
      </c>
      <c r="D15" s="100" t="s">
        <v>185</v>
      </c>
      <c r="E15" s="80"/>
      <c r="F15" s="80"/>
      <c r="G15" s="80"/>
      <c r="H15" s="80"/>
      <c r="I15" s="80"/>
      <c r="J15" s="80"/>
      <c r="K15" s="80"/>
      <c r="L15" s="80"/>
      <c r="M15" s="80"/>
      <c r="N15" s="80"/>
      <c r="O15" s="80"/>
      <c r="P15" s="80"/>
      <c r="Q15" s="80"/>
      <c r="R15" s="80"/>
      <c r="S15" s="80"/>
      <c r="T15" s="80"/>
      <c r="U15" s="80"/>
    </row>
    <row r="16" spans="1:21" x14ac:dyDescent="0.25">
      <c r="A16" s="100"/>
      <c r="B16" s="100"/>
      <c r="C16" s="100"/>
      <c r="D16" s="100"/>
      <c r="E16" s="80"/>
      <c r="F16" s="80"/>
      <c r="G16" s="80"/>
      <c r="H16" s="80"/>
      <c r="I16" s="80"/>
      <c r="J16" s="80"/>
      <c r="K16" s="80"/>
      <c r="L16" s="80"/>
      <c r="M16" s="80"/>
      <c r="N16" s="80"/>
      <c r="O16" s="80"/>
    </row>
    <row r="17" spans="1:15" x14ac:dyDescent="0.25">
      <c r="A17" s="100"/>
      <c r="B17" s="100"/>
      <c r="C17" s="100"/>
      <c r="D17" s="100"/>
      <c r="E17" s="80"/>
      <c r="F17" s="80"/>
      <c r="G17" s="80"/>
      <c r="H17" s="80"/>
      <c r="I17" s="80"/>
      <c r="J17" s="80"/>
      <c r="K17" s="80"/>
      <c r="L17" s="80"/>
      <c r="M17" s="80"/>
      <c r="N17" s="80"/>
      <c r="O17" s="80"/>
    </row>
    <row r="18" spans="1:15" x14ac:dyDescent="0.25">
      <c r="A18" s="100"/>
      <c r="B18" s="104"/>
      <c r="C18" s="104"/>
      <c r="D18" s="104"/>
      <c r="E18" s="80"/>
      <c r="F18" s="80"/>
      <c r="G18" s="80"/>
      <c r="H18" s="80"/>
      <c r="I18" s="80"/>
      <c r="J18" s="80"/>
      <c r="K18" s="80"/>
      <c r="L18" s="80"/>
      <c r="M18" s="80"/>
      <c r="N18" s="80"/>
      <c r="O18" s="80"/>
    </row>
    <row r="19" spans="1:15" x14ac:dyDescent="0.25">
      <c r="A19" s="100"/>
      <c r="B19" s="104"/>
      <c r="C19" s="104"/>
      <c r="D19" s="104"/>
      <c r="E19" s="80"/>
      <c r="F19" s="80"/>
      <c r="G19" s="80"/>
      <c r="H19" s="80"/>
      <c r="I19" s="80"/>
      <c r="J19" s="80"/>
      <c r="K19" s="80"/>
      <c r="L19" s="80"/>
      <c r="M19" s="80"/>
      <c r="N19" s="80"/>
      <c r="O19" s="80"/>
    </row>
    <row r="20" spans="1:15" x14ac:dyDescent="0.25">
      <c r="A20" s="100"/>
      <c r="B20" s="104"/>
      <c r="C20" s="104"/>
      <c r="D20" s="104"/>
      <c r="E20" s="80"/>
      <c r="F20" s="80"/>
      <c r="G20" s="80"/>
      <c r="H20" s="80"/>
      <c r="I20" s="80"/>
      <c r="J20" s="80"/>
      <c r="K20" s="80"/>
      <c r="L20" s="80"/>
      <c r="M20" s="80"/>
      <c r="N20" s="80"/>
      <c r="O20" s="80"/>
    </row>
    <row r="21" spans="1:15" x14ac:dyDescent="0.25">
      <c r="A21" s="100"/>
      <c r="B21" s="104"/>
      <c r="C21" s="104"/>
      <c r="D21" s="104"/>
      <c r="E21" s="80"/>
      <c r="F21" s="80"/>
      <c r="G21" s="80"/>
      <c r="H21" s="80"/>
      <c r="I21" s="80"/>
      <c r="J21" s="80"/>
      <c r="K21" s="80"/>
      <c r="L21" s="80"/>
      <c r="M21" s="80"/>
      <c r="N21" s="80"/>
      <c r="O21" s="80"/>
    </row>
    <row r="22" spans="1:15" ht="20.25" x14ac:dyDescent="0.25">
      <c r="A22" s="100"/>
      <c r="B22" s="100"/>
      <c r="C22" s="102"/>
      <c r="D22" s="102"/>
      <c r="E22" s="80"/>
      <c r="F22" s="80"/>
      <c r="G22" s="80"/>
      <c r="H22" s="80"/>
      <c r="I22" s="80"/>
      <c r="J22" s="80"/>
      <c r="K22" s="80"/>
      <c r="L22" s="80"/>
      <c r="M22" s="80"/>
      <c r="N22" s="80"/>
      <c r="O22" s="80"/>
    </row>
    <row r="23" spans="1:15" ht="20.25" x14ac:dyDescent="0.25">
      <c r="A23" s="100"/>
      <c r="B23" s="100"/>
      <c r="C23" s="102"/>
      <c r="D23" s="102"/>
      <c r="E23" s="80"/>
      <c r="F23" s="80"/>
      <c r="G23" s="80"/>
      <c r="H23" s="80"/>
      <c r="I23" s="80"/>
      <c r="J23" s="80"/>
      <c r="K23" s="80"/>
      <c r="L23" s="80"/>
      <c r="M23" s="80"/>
      <c r="N23" s="80"/>
      <c r="O23" s="80"/>
    </row>
    <row r="24" spans="1:15" ht="20.25" x14ac:dyDescent="0.25">
      <c r="A24" s="100"/>
      <c r="B24" s="100"/>
      <c r="C24" s="102"/>
      <c r="D24" s="102"/>
      <c r="E24" s="80"/>
      <c r="F24" s="80"/>
      <c r="G24" s="80"/>
      <c r="H24" s="80"/>
      <c r="I24" s="80"/>
      <c r="J24" s="80"/>
      <c r="K24" s="80"/>
      <c r="L24" s="80"/>
      <c r="M24" s="80"/>
      <c r="N24" s="80"/>
      <c r="O24" s="80"/>
    </row>
    <row r="25" spans="1:15" ht="20.25" x14ac:dyDescent="0.25">
      <c r="A25" s="100"/>
      <c r="B25" s="100"/>
      <c r="C25" s="102"/>
      <c r="D25" s="102"/>
      <c r="E25" s="80"/>
      <c r="F25" s="80"/>
      <c r="G25" s="80"/>
      <c r="H25" s="80"/>
      <c r="I25" s="80"/>
      <c r="J25" s="80"/>
      <c r="K25" s="80"/>
      <c r="L25" s="80"/>
      <c r="M25" s="80"/>
      <c r="N25" s="80"/>
      <c r="O25" s="80"/>
    </row>
    <row r="26" spans="1:15" ht="20.25" x14ac:dyDescent="0.25">
      <c r="A26" s="100"/>
      <c r="B26" s="100"/>
      <c r="C26" s="102"/>
      <c r="D26" s="102"/>
      <c r="E26" s="80"/>
      <c r="F26" s="80"/>
      <c r="G26" s="80"/>
      <c r="H26" s="80"/>
      <c r="I26" s="80"/>
      <c r="J26" s="80"/>
      <c r="K26" s="80"/>
      <c r="L26" s="80"/>
      <c r="M26" s="80"/>
      <c r="N26" s="80"/>
      <c r="O26" s="80"/>
    </row>
    <row r="27" spans="1:15" ht="20.25" x14ac:dyDescent="0.25">
      <c r="A27" s="100"/>
      <c r="B27" s="100"/>
      <c r="C27" s="102"/>
      <c r="D27" s="102"/>
      <c r="E27" s="80"/>
      <c r="F27" s="80"/>
      <c r="G27" s="80"/>
      <c r="H27" s="80"/>
      <c r="I27" s="80"/>
      <c r="J27" s="80"/>
      <c r="K27" s="80"/>
      <c r="L27" s="80"/>
      <c r="M27" s="80"/>
      <c r="N27" s="80"/>
      <c r="O27" s="80"/>
    </row>
    <row r="28" spans="1:15" ht="20.25" x14ac:dyDescent="0.25">
      <c r="A28" s="100"/>
      <c r="B28" s="100"/>
      <c r="C28" s="102"/>
      <c r="D28" s="102"/>
      <c r="E28" s="80"/>
      <c r="F28" s="80"/>
      <c r="G28" s="80"/>
      <c r="H28" s="80"/>
      <c r="I28" s="80"/>
      <c r="J28" s="80"/>
      <c r="K28" s="80"/>
      <c r="L28" s="80"/>
      <c r="M28" s="80"/>
      <c r="N28" s="80"/>
      <c r="O28" s="80"/>
    </row>
    <row r="29" spans="1:15" ht="20.25" x14ac:dyDescent="0.25">
      <c r="A29" s="100"/>
      <c r="B29" s="100"/>
      <c r="C29" s="102"/>
      <c r="D29" s="102"/>
      <c r="E29" s="80"/>
      <c r="F29" s="80"/>
      <c r="G29" s="80"/>
      <c r="H29" s="80"/>
      <c r="I29" s="80"/>
      <c r="J29" s="80"/>
      <c r="K29" s="80"/>
      <c r="L29" s="80"/>
      <c r="M29" s="80"/>
      <c r="N29" s="80"/>
      <c r="O29" s="80"/>
    </row>
    <row r="30" spans="1:15" ht="20.25" x14ac:dyDescent="0.25">
      <c r="A30" s="100"/>
      <c r="B30" s="100"/>
      <c r="C30" s="102"/>
      <c r="D30" s="102"/>
      <c r="E30" s="80"/>
      <c r="F30" s="80"/>
      <c r="G30" s="80"/>
      <c r="H30" s="80"/>
      <c r="I30" s="80"/>
      <c r="J30" s="80"/>
      <c r="K30" s="80"/>
      <c r="L30" s="80"/>
      <c r="M30" s="80"/>
      <c r="N30" s="80"/>
      <c r="O30" s="80"/>
    </row>
    <row r="31" spans="1:15" ht="20.25" x14ac:dyDescent="0.25">
      <c r="A31" s="100"/>
      <c r="B31" s="100"/>
      <c r="C31" s="102"/>
      <c r="D31" s="102"/>
      <c r="E31" s="80"/>
      <c r="F31" s="80"/>
      <c r="G31" s="80"/>
      <c r="H31" s="80"/>
      <c r="I31" s="80"/>
      <c r="J31" s="80"/>
      <c r="K31" s="80"/>
      <c r="L31" s="80"/>
      <c r="M31" s="80"/>
      <c r="N31" s="80"/>
      <c r="O31" s="80"/>
    </row>
    <row r="32" spans="1:15" ht="20.25" x14ac:dyDescent="0.25">
      <c r="A32" s="100"/>
      <c r="B32" s="100"/>
      <c r="C32" s="102"/>
      <c r="D32" s="102"/>
      <c r="E32" s="80"/>
      <c r="F32" s="80"/>
      <c r="G32" s="80"/>
      <c r="H32" s="80"/>
      <c r="I32" s="80"/>
      <c r="J32" s="80"/>
      <c r="K32" s="80"/>
      <c r="L32" s="80"/>
      <c r="M32" s="80"/>
      <c r="N32" s="80"/>
      <c r="O32" s="80"/>
    </row>
    <row r="33" spans="1:15" ht="20.25" x14ac:dyDescent="0.25">
      <c r="A33" s="100"/>
      <c r="B33" s="100"/>
      <c r="C33" s="102"/>
      <c r="D33" s="102"/>
      <c r="E33" s="80"/>
      <c r="F33" s="80"/>
      <c r="G33" s="80"/>
      <c r="H33" s="80"/>
      <c r="I33" s="80"/>
      <c r="J33" s="80"/>
      <c r="K33" s="80"/>
      <c r="L33" s="80"/>
      <c r="M33" s="80"/>
      <c r="N33" s="80"/>
      <c r="O33" s="80"/>
    </row>
    <row r="34" spans="1:15" ht="20.25" x14ac:dyDescent="0.25">
      <c r="A34" s="100"/>
      <c r="B34" s="100"/>
      <c r="C34" s="102"/>
      <c r="D34" s="102"/>
      <c r="E34" s="80"/>
      <c r="F34" s="80"/>
      <c r="G34" s="80"/>
      <c r="H34" s="80"/>
      <c r="I34" s="80"/>
      <c r="J34" s="80"/>
      <c r="K34" s="80"/>
      <c r="L34" s="80"/>
      <c r="M34" s="80"/>
      <c r="N34" s="80"/>
      <c r="O34" s="80"/>
    </row>
    <row r="35" spans="1:15" ht="20.25" x14ac:dyDescent="0.25">
      <c r="A35" s="100"/>
      <c r="B35" s="100"/>
      <c r="C35" s="102"/>
      <c r="D35" s="102"/>
      <c r="E35" s="80"/>
      <c r="F35" s="80"/>
      <c r="G35" s="80"/>
      <c r="H35" s="80"/>
      <c r="I35" s="80"/>
      <c r="J35" s="80"/>
      <c r="K35" s="80"/>
      <c r="L35" s="80"/>
      <c r="M35" s="80"/>
      <c r="N35" s="80"/>
      <c r="O35" s="80"/>
    </row>
    <row r="36" spans="1:15" ht="20.25" x14ac:dyDescent="0.25">
      <c r="A36" s="100"/>
      <c r="B36" s="100"/>
      <c r="C36" s="102"/>
      <c r="D36" s="102"/>
      <c r="E36" s="80"/>
      <c r="F36" s="80"/>
      <c r="G36" s="80"/>
      <c r="H36" s="80"/>
      <c r="I36" s="80"/>
      <c r="J36" s="80"/>
      <c r="K36" s="80"/>
      <c r="L36" s="80"/>
      <c r="M36" s="80"/>
      <c r="N36" s="80"/>
      <c r="O36" s="80"/>
    </row>
    <row r="37" spans="1:15" ht="20.25" x14ac:dyDescent="0.25">
      <c r="A37" s="100"/>
      <c r="B37" s="100"/>
      <c r="C37" s="102"/>
      <c r="D37" s="102"/>
      <c r="E37" s="80"/>
      <c r="F37" s="80"/>
      <c r="G37" s="80"/>
      <c r="H37" s="80"/>
      <c r="I37" s="80"/>
      <c r="J37" s="80"/>
      <c r="K37" s="80"/>
      <c r="L37" s="80"/>
      <c r="M37" s="80"/>
      <c r="N37" s="80"/>
      <c r="O37" s="80"/>
    </row>
    <row r="38" spans="1:15" ht="20.25" x14ac:dyDescent="0.25">
      <c r="A38" s="100"/>
      <c r="B38" s="100"/>
      <c r="C38" s="102"/>
      <c r="D38" s="102"/>
      <c r="E38" s="80"/>
      <c r="F38" s="80"/>
      <c r="G38" s="80"/>
      <c r="H38" s="80"/>
      <c r="I38" s="80"/>
      <c r="J38" s="80"/>
      <c r="K38" s="80"/>
      <c r="L38" s="80"/>
      <c r="M38" s="80"/>
      <c r="N38" s="80"/>
      <c r="O38" s="80"/>
    </row>
    <row r="39" spans="1:15" ht="20.25" x14ac:dyDescent="0.25">
      <c r="A39" s="100"/>
      <c r="B39" s="100"/>
      <c r="C39" s="102"/>
      <c r="D39" s="102"/>
      <c r="E39" s="80"/>
      <c r="F39" s="80"/>
      <c r="G39" s="80"/>
      <c r="H39" s="80"/>
      <c r="I39" s="80"/>
      <c r="J39" s="80"/>
      <c r="K39" s="80"/>
      <c r="L39" s="80"/>
      <c r="M39" s="80"/>
      <c r="N39" s="80"/>
      <c r="O39" s="80"/>
    </row>
    <row r="40" spans="1:15" ht="20.25" x14ac:dyDescent="0.25">
      <c r="A40" s="100"/>
      <c r="B40" s="100"/>
      <c r="C40" s="102"/>
      <c r="D40" s="102"/>
      <c r="E40" s="80"/>
      <c r="F40" s="80"/>
      <c r="G40" s="80"/>
      <c r="H40" s="80"/>
      <c r="I40" s="80"/>
      <c r="J40" s="80"/>
      <c r="K40" s="80"/>
      <c r="L40" s="80"/>
      <c r="M40" s="80"/>
      <c r="N40" s="80"/>
      <c r="O40" s="80"/>
    </row>
    <row r="41" spans="1:15" ht="20.25" x14ac:dyDescent="0.25">
      <c r="A41" s="100"/>
      <c r="B41" s="100"/>
      <c r="C41" s="102"/>
      <c r="D41" s="102"/>
      <c r="E41" s="80"/>
      <c r="F41" s="80"/>
      <c r="G41" s="80"/>
      <c r="H41" s="80"/>
      <c r="I41" s="80"/>
      <c r="J41" s="80"/>
      <c r="K41" s="80"/>
      <c r="L41" s="80"/>
      <c r="M41" s="80"/>
      <c r="N41" s="80"/>
      <c r="O41" s="80"/>
    </row>
    <row r="42" spans="1:15" ht="20.25" x14ac:dyDescent="0.25">
      <c r="A42" s="100"/>
      <c r="B42" s="100"/>
      <c r="C42" s="102"/>
      <c r="D42" s="102"/>
      <c r="E42" s="80"/>
      <c r="F42" s="80"/>
      <c r="G42" s="80"/>
      <c r="H42" s="80"/>
      <c r="I42" s="80"/>
      <c r="J42" s="80"/>
      <c r="K42" s="80"/>
      <c r="L42" s="80"/>
      <c r="M42" s="80"/>
      <c r="N42" s="80"/>
      <c r="O42" s="80"/>
    </row>
    <row r="43" spans="1:15" ht="20.25" x14ac:dyDescent="0.25">
      <c r="A43" s="100"/>
      <c r="B43" s="100"/>
      <c r="C43" s="102"/>
      <c r="D43" s="102"/>
      <c r="E43" s="80"/>
      <c r="F43" s="80"/>
      <c r="G43" s="80"/>
      <c r="H43" s="80"/>
      <c r="I43" s="80"/>
      <c r="J43" s="80"/>
      <c r="K43" s="80"/>
      <c r="L43" s="80"/>
      <c r="M43" s="80"/>
      <c r="N43" s="80"/>
      <c r="O43" s="80"/>
    </row>
    <row r="44" spans="1:15" ht="20.25" x14ac:dyDescent="0.25">
      <c r="A44" s="100"/>
      <c r="B44" s="100"/>
      <c r="C44" s="102"/>
      <c r="D44" s="102"/>
      <c r="E44" s="80"/>
      <c r="F44" s="80"/>
      <c r="G44" s="80"/>
      <c r="H44" s="80"/>
      <c r="I44" s="80"/>
      <c r="J44" s="80"/>
      <c r="K44" s="80"/>
      <c r="L44" s="80"/>
      <c r="M44" s="80"/>
      <c r="N44" s="80"/>
      <c r="O44" s="80"/>
    </row>
    <row r="45" spans="1:15" ht="20.25" x14ac:dyDescent="0.25">
      <c r="A45" s="100"/>
      <c r="B45" s="100"/>
      <c r="C45" s="102"/>
      <c r="D45" s="102"/>
      <c r="E45" s="80"/>
      <c r="F45" s="80"/>
      <c r="G45" s="80"/>
      <c r="H45" s="80"/>
      <c r="I45" s="80"/>
      <c r="J45" s="80"/>
      <c r="K45" s="80"/>
      <c r="L45" s="80"/>
      <c r="M45" s="80"/>
      <c r="N45" s="80"/>
      <c r="O45" s="80"/>
    </row>
    <row r="46" spans="1:15" ht="20.25" x14ac:dyDescent="0.25">
      <c r="A46" s="100"/>
      <c r="B46" s="100"/>
      <c r="C46" s="102"/>
      <c r="D46" s="102"/>
      <c r="E46" s="80"/>
      <c r="F46" s="80"/>
      <c r="G46" s="80"/>
      <c r="H46" s="80"/>
      <c r="I46" s="80"/>
      <c r="J46" s="80"/>
      <c r="K46" s="80"/>
      <c r="L46" s="80"/>
      <c r="M46" s="80"/>
      <c r="N46" s="80"/>
      <c r="O46" s="80"/>
    </row>
    <row r="47" spans="1:15" ht="20.25" x14ac:dyDescent="0.25">
      <c r="A47" s="100"/>
      <c r="B47" s="100"/>
      <c r="C47" s="102"/>
      <c r="D47" s="102"/>
      <c r="E47" s="80"/>
      <c r="F47" s="80"/>
      <c r="G47" s="80"/>
      <c r="H47" s="80"/>
      <c r="I47" s="80"/>
      <c r="J47" s="80"/>
      <c r="K47" s="80"/>
      <c r="L47" s="80"/>
      <c r="M47" s="80"/>
      <c r="N47" s="80"/>
      <c r="O47" s="80"/>
    </row>
    <row r="48" spans="1:15" ht="20.25" x14ac:dyDescent="0.25">
      <c r="A48" s="100"/>
      <c r="B48" s="100"/>
      <c r="C48" s="102"/>
      <c r="D48" s="102"/>
      <c r="E48" s="80"/>
      <c r="F48" s="80"/>
      <c r="G48" s="80"/>
      <c r="H48" s="80"/>
      <c r="I48" s="80"/>
      <c r="J48" s="80"/>
      <c r="K48" s="80"/>
      <c r="L48" s="80"/>
      <c r="M48" s="80"/>
      <c r="N48" s="80"/>
      <c r="O48" s="80"/>
    </row>
    <row r="49" spans="1:15" ht="20.25" x14ac:dyDescent="0.25">
      <c r="A49" s="100"/>
      <c r="B49" s="100"/>
      <c r="C49" s="102"/>
      <c r="D49" s="102"/>
      <c r="E49" s="80"/>
      <c r="F49" s="80"/>
      <c r="G49" s="80"/>
      <c r="H49" s="80"/>
      <c r="I49" s="80"/>
      <c r="J49" s="80"/>
      <c r="K49" s="80"/>
      <c r="L49" s="80"/>
      <c r="M49" s="80"/>
      <c r="N49" s="80"/>
      <c r="O49" s="80"/>
    </row>
    <row r="50" spans="1:15" ht="20.25" x14ac:dyDescent="0.25">
      <c r="A50" s="100"/>
      <c r="B50" s="100"/>
      <c r="C50" s="102"/>
      <c r="D50" s="102"/>
      <c r="E50" s="80"/>
      <c r="F50" s="80"/>
      <c r="G50" s="80"/>
      <c r="H50" s="80"/>
      <c r="I50" s="80"/>
      <c r="J50" s="80"/>
      <c r="K50" s="80"/>
      <c r="L50" s="80"/>
      <c r="M50" s="80"/>
      <c r="N50" s="80"/>
      <c r="O50" s="80"/>
    </row>
    <row r="51" spans="1:15" ht="20.25" x14ac:dyDescent="0.25">
      <c r="A51" s="100"/>
      <c r="B51" s="100"/>
      <c r="C51" s="102"/>
      <c r="D51" s="102"/>
      <c r="E51" s="80"/>
      <c r="F51" s="80"/>
      <c r="G51" s="80"/>
      <c r="H51" s="80"/>
      <c r="I51" s="80"/>
      <c r="J51" s="80"/>
      <c r="K51" s="80"/>
      <c r="L51" s="80"/>
      <c r="M51" s="80"/>
      <c r="N51" s="80"/>
      <c r="O51" s="80"/>
    </row>
    <row r="52" spans="1:15" ht="20.25" x14ac:dyDescent="0.25">
      <c r="A52" s="100"/>
      <c r="B52" s="23"/>
      <c r="C52" s="31"/>
      <c r="D52" s="31"/>
    </row>
    <row r="53" spans="1:15" ht="20.25" x14ac:dyDescent="0.25">
      <c r="A53" s="100"/>
      <c r="B53" s="23"/>
      <c r="C53" s="31"/>
      <c r="D53" s="31"/>
    </row>
    <row r="54" spans="1:15" ht="20.25" x14ac:dyDescent="0.25">
      <c r="A54" s="100"/>
      <c r="B54" s="23"/>
      <c r="C54" s="31"/>
      <c r="D54" s="31"/>
    </row>
    <row r="55" spans="1:15" ht="20.25" x14ac:dyDescent="0.25">
      <c r="A55" s="100"/>
      <c r="B55" s="23"/>
      <c r="C55" s="31"/>
      <c r="D55" s="31"/>
    </row>
    <row r="56" spans="1:15" ht="20.25" x14ac:dyDescent="0.25">
      <c r="A56" s="100"/>
      <c r="B56" s="23"/>
      <c r="C56" s="31"/>
      <c r="D56" s="31"/>
    </row>
    <row r="57" spans="1:15" ht="20.25" x14ac:dyDescent="0.25">
      <c r="A57" s="100"/>
      <c r="B57" s="23"/>
      <c r="C57" s="31"/>
      <c r="D57" s="31"/>
    </row>
    <row r="58" spans="1:15" ht="20.25" x14ac:dyDescent="0.25">
      <c r="A58" s="100"/>
      <c r="B58" s="23"/>
      <c r="C58" s="31"/>
      <c r="D58" s="31"/>
    </row>
    <row r="59" spans="1:15" ht="20.25" x14ac:dyDescent="0.25">
      <c r="A59" s="100"/>
      <c r="B59" s="23"/>
      <c r="C59" s="31"/>
      <c r="D59" s="31"/>
    </row>
    <row r="60" spans="1:15" ht="20.25" x14ac:dyDescent="0.25">
      <c r="A60" s="100"/>
      <c r="B60" s="23"/>
      <c r="C60" s="31"/>
      <c r="D60" s="31"/>
    </row>
    <row r="61" spans="1:15" ht="20.25" x14ac:dyDescent="0.25">
      <c r="A61" s="100"/>
      <c r="B61" s="23"/>
      <c r="C61" s="31"/>
      <c r="D61" s="31"/>
    </row>
    <row r="62" spans="1:15" ht="20.25" x14ac:dyDescent="0.25">
      <c r="A62" s="100"/>
      <c r="B62" s="23"/>
      <c r="C62" s="31"/>
      <c r="D62" s="31"/>
    </row>
    <row r="63" spans="1:15" ht="20.25" x14ac:dyDescent="0.25">
      <c r="A63" s="100"/>
      <c r="B63" s="23"/>
      <c r="C63" s="31"/>
      <c r="D63" s="31"/>
    </row>
    <row r="64" spans="1:15" ht="20.25" x14ac:dyDescent="0.25">
      <c r="A64" s="100"/>
      <c r="B64" s="23"/>
      <c r="C64" s="31"/>
      <c r="D64" s="31"/>
    </row>
    <row r="65" spans="1:4" ht="20.25" x14ac:dyDescent="0.25">
      <c r="A65" s="100"/>
      <c r="B65" s="23"/>
      <c r="C65" s="31"/>
      <c r="D65" s="31"/>
    </row>
    <row r="66" spans="1:4" ht="20.25" x14ac:dyDescent="0.25">
      <c r="A66" s="100"/>
      <c r="B66" s="23"/>
      <c r="C66" s="31"/>
      <c r="D66" s="31"/>
    </row>
    <row r="67" spans="1:4" ht="20.25" x14ac:dyDescent="0.25">
      <c r="A67" s="100"/>
      <c r="B67" s="23"/>
      <c r="C67" s="31"/>
      <c r="D67" s="31"/>
    </row>
    <row r="68" spans="1:4" ht="20.25" x14ac:dyDescent="0.25">
      <c r="A68" s="100"/>
      <c r="B68" s="23"/>
      <c r="C68" s="31"/>
      <c r="D68" s="31"/>
    </row>
    <row r="69" spans="1:4" ht="20.25" x14ac:dyDescent="0.25">
      <c r="A69" s="100"/>
      <c r="B69" s="23"/>
      <c r="C69" s="31"/>
      <c r="D69" s="31"/>
    </row>
    <row r="70" spans="1:4" ht="20.25" x14ac:dyDescent="0.25">
      <c r="A70" s="100"/>
      <c r="B70" s="23"/>
      <c r="C70" s="31"/>
      <c r="D70" s="31"/>
    </row>
    <row r="71" spans="1:4" ht="20.25" x14ac:dyDescent="0.25">
      <c r="A71" s="100"/>
      <c r="B71" s="23"/>
      <c r="C71" s="31"/>
      <c r="D71" s="31"/>
    </row>
    <row r="72" spans="1:4" ht="20.25" x14ac:dyDescent="0.25">
      <c r="A72" s="100"/>
      <c r="B72" s="23"/>
      <c r="C72" s="31"/>
      <c r="D72" s="31"/>
    </row>
    <row r="73" spans="1:4" ht="20.25" x14ac:dyDescent="0.25">
      <c r="A73" s="100"/>
      <c r="B73" s="23"/>
      <c r="C73" s="31"/>
      <c r="D73" s="31"/>
    </row>
    <row r="74" spans="1:4" ht="20.25" x14ac:dyDescent="0.25">
      <c r="A74" s="100"/>
      <c r="B74" s="23"/>
      <c r="C74" s="31"/>
      <c r="D74" s="31"/>
    </row>
    <row r="75" spans="1:4" ht="20.25" x14ac:dyDescent="0.25">
      <c r="A75" s="100"/>
      <c r="B75" s="23"/>
      <c r="C75" s="31"/>
      <c r="D75" s="31"/>
    </row>
    <row r="76" spans="1:4" ht="20.25" x14ac:dyDescent="0.25">
      <c r="A76" s="100"/>
      <c r="B76" s="23"/>
      <c r="C76" s="31"/>
      <c r="D76" s="31"/>
    </row>
    <row r="77" spans="1:4" ht="20.25" x14ac:dyDescent="0.25">
      <c r="A77" s="100"/>
      <c r="B77" s="23"/>
      <c r="C77" s="31"/>
      <c r="D77" s="31"/>
    </row>
    <row r="78" spans="1:4" ht="20.25" x14ac:dyDescent="0.25">
      <c r="A78" s="100"/>
      <c r="B78" s="23"/>
      <c r="C78" s="31"/>
      <c r="D78" s="31"/>
    </row>
    <row r="79" spans="1:4" ht="20.25" x14ac:dyDescent="0.25">
      <c r="A79" s="100"/>
      <c r="B79" s="23"/>
      <c r="C79" s="31"/>
      <c r="D79" s="31"/>
    </row>
    <row r="80" spans="1:4" ht="20.25" x14ac:dyDescent="0.25">
      <c r="A80" s="100"/>
      <c r="B80" s="23"/>
      <c r="C80" s="31"/>
      <c r="D80" s="31"/>
    </row>
    <row r="81" spans="1:4" ht="20.25" x14ac:dyDescent="0.25">
      <c r="A81" s="100"/>
      <c r="B81" s="23"/>
      <c r="C81" s="31"/>
      <c r="D81" s="31"/>
    </row>
    <row r="82" spans="1:4" ht="20.25" x14ac:dyDescent="0.25">
      <c r="A82" s="100"/>
      <c r="B82" s="23"/>
      <c r="C82" s="31"/>
      <c r="D82" s="31"/>
    </row>
    <row r="83" spans="1:4" ht="20.25" x14ac:dyDescent="0.25">
      <c r="A83" s="100"/>
      <c r="B83" s="23"/>
      <c r="C83" s="31"/>
      <c r="D83" s="31"/>
    </row>
    <row r="84" spans="1:4" ht="20.25" x14ac:dyDescent="0.25">
      <c r="A84" s="100"/>
      <c r="B84" s="23"/>
      <c r="C84" s="31"/>
      <c r="D84" s="31"/>
    </row>
    <row r="85" spans="1:4" ht="20.25" x14ac:dyDescent="0.25">
      <c r="A85" s="100"/>
      <c r="B85" s="23"/>
      <c r="C85" s="31"/>
      <c r="D85" s="31"/>
    </row>
    <row r="86" spans="1:4" ht="20.25" x14ac:dyDescent="0.25">
      <c r="A86" s="100"/>
      <c r="B86" s="23"/>
      <c r="C86" s="31"/>
      <c r="D86" s="31"/>
    </row>
    <row r="87" spans="1:4" ht="20.25" x14ac:dyDescent="0.25">
      <c r="A87" s="100"/>
      <c r="B87" s="23"/>
      <c r="C87" s="31"/>
      <c r="D87" s="31"/>
    </row>
    <row r="88" spans="1:4" ht="20.25" x14ac:dyDescent="0.25">
      <c r="A88" s="100"/>
      <c r="B88" s="23"/>
      <c r="C88" s="31"/>
      <c r="D88" s="31"/>
    </row>
    <row r="89" spans="1:4" ht="20.25" x14ac:dyDescent="0.25">
      <c r="A89" s="100"/>
      <c r="B89" s="23"/>
      <c r="C89" s="31"/>
      <c r="D89" s="31"/>
    </row>
    <row r="90" spans="1:4" ht="20.25" x14ac:dyDescent="0.25">
      <c r="A90" s="100"/>
      <c r="B90" s="23"/>
      <c r="C90" s="31"/>
      <c r="D90" s="31"/>
    </row>
    <row r="91" spans="1:4" ht="20.25" x14ac:dyDescent="0.25">
      <c r="A91" s="100"/>
      <c r="B91" s="23"/>
      <c r="C91" s="31"/>
      <c r="D91" s="31"/>
    </row>
    <row r="92" spans="1:4" ht="20.25" x14ac:dyDescent="0.25">
      <c r="A92" s="100"/>
      <c r="B92" s="23"/>
      <c r="C92" s="31"/>
      <c r="D92" s="31"/>
    </row>
    <row r="93" spans="1:4" ht="20.25" x14ac:dyDescent="0.25">
      <c r="A93" s="100"/>
      <c r="B93" s="23"/>
      <c r="C93" s="31"/>
      <c r="D93" s="31"/>
    </row>
    <row r="94" spans="1:4" ht="20.25" x14ac:dyDescent="0.25">
      <c r="A94" s="100"/>
      <c r="B94" s="23"/>
      <c r="C94" s="31"/>
      <c r="D94" s="31"/>
    </row>
    <row r="95" spans="1:4" ht="20.25" x14ac:dyDescent="0.25">
      <c r="A95" s="100"/>
      <c r="B95" s="23"/>
      <c r="C95" s="31"/>
      <c r="D95" s="31"/>
    </row>
    <row r="96" spans="1:4" ht="20.25" x14ac:dyDescent="0.25">
      <c r="A96" s="100"/>
      <c r="B96" s="23"/>
      <c r="C96" s="31"/>
      <c r="D96" s="31"/>
    </row>
    <row r="97" spans="1:4" ht="20.25" x14ac:dyDescent="0.25">
      <c r="A97" s="100"/>
      <c r="B97" s="23"/>
      <c r="C97" s="31"/>
      <c r="D97" s="31"/>
    </row>
    <row r="98" spans="1:4" ht="20.25" x14ac:dyDescent="0.25">
      <c r="A98" s="100"/>
      <c r="B98" s="23"/>
      <c r="C98" s="31"/>
      <c r="D98" s="31"/>
    </row>
    <row r="99" spans="1:4" ht="20.25" x14ac:dyDescent="0.25">
      <c r="A99" s="100"/>
      <c r="B99" s="23"/>
      <c r="C99" s="31"/>
      <c r="D99" s="31"/>
    </row>
    <row r="100" spans="1:4" ht="20.25" x14ac:dyDescent="0.25">
      <c r="A100" s="100"/>
      <c r="B100" s="23"/>
      <c r="C100" s="31"/>
      <c r="D100" s="31"/>
    </row>
    <row r="101" spans="1:4" ht="20.25" x14ac:dyDescent="0.25">
      <c r="A101" s="100"/>
      <c r="B101" s="23"/>
      <c r="C101" s="31"/>
      <c r="D101" s="31"/>
    </row>
    <row r="102" spans="1:4" ht="20.25" x14ac:dyDescent="0.25">
      <c r="A102" s="100"/>
      <c r="B102" s="23"/>
      <c r="C102" s="31"/>
      <c r="D102" s="31"/>
    </row>
    <row r="103" spans="1:4" ht="20.25" x14ac:dyDescent="0.25">
      <c r="A103" s="100"/>
      <c r="B103" s="23"/>
      <c r="C103" s="31"/>
      <c r="D103" s="31"/>
    </row>
    <row r="104" spans="1:4" ht="20.25" x14ac:dyDescent="0.25">
      <c r="A104" s="100"/>
      <c r="B104" s="23"/>
      <c r="C104" s="31"/>
      <c r="D104" s="31"/>
    </row>
    <row r="105" spans="1:4" ht="20.25" x14ac:dyDescent="0.25">
      <c r="A105" s="100"/>
      <c r="B105" s="23"/>
      <c r="C105" s="31"/>
      <c r="D105" s="31"/>
    </row>
    <row r="106" spans="1:4" ht="20.25" x14ac:dyDescent="0.25">
      <c r="A106" s="100"/>
      <c r="B106" s="23"/>
      <c r="C106" s="31"/>
      <c r="D106" s="31"/>
    </row>
    <row r="107" spans="1:4" ht="20.25" x14ac:dyDescent="0.25">
      <c r="A107" s="100"/>
      <c r="B107" s="23"/>
      <c r="C107" s="31"/>
      <c r="D107" s="31"/>
    </row>
    <row r="108" spans="1:4" ht="20.25" x14ac:dyDescent="0.25">
      <c r="A108" s="100"/>
      <c r="B108" s="23"/>
      <c r="C108" s="31"/>
      <c r="D108" s="31"/>
    </row>
    <row r="109" spans="1:4" ht="20.25" x14ac:dyDescent="0.25">
      <c r="A109" s="100"/>
      <c r="B109" s="23"/>
      <c r="C109" s="31"/>
      <c r="D109" s="31"/>
    </row>
    <row r="110" spans="1:4" ht="20.25" x14ac:dyDescent="0.25">
      <c r="A110" s="100"/>
      <c r="B110" s="23"/>
      <c r="C110" s="31"/>
      <c r="D110" s="31"/>
    </row>
    <row r="111" spans="1:4" ht="20.25" x14ac:dyDescent="0.25">
      <c r="A111" s="100"/>
      <c r="B111" s="23"/>
      <c r="C111" s="31"/>
      <c r="D111" s="31"/>
    </row>
    <row r="112" spans="1:4" ht="20.25" x14ac:dyDescent="0.25">
      <c r="A112" s="100"/>
      <c r="B112" s="23"/>
      <c r="C112" s="31"/>
      <c r="D112" s="31"/>
    </row>
    <row r="113" spans="1:4" ht="20.25" x14ac:dyDescent="0.25">
      <c r="A113" s="100"/>
      <c r="B113" s="23"/>
      <c r="C113" s="31"/>
      <c r="D113" s="31"/>
    </row>
    <row r="114" spans="1:4" ht="20.25" x14ac:dyDescent="0.25">
      <c r="A114" s="100"/>
      <c r="B114" s="23"/>
      <c r="C114" s="31"/>
      <c r="D114" s="31"/>
    </row>
    <row r="115" spans="1:4" ht="20.25" x14ac:dyDescent="0.25">
      <c r="A115" s="100"/>
      <c r="B115" s="23"/>
      <c r="C115" s="31"/>
      <c r="D115" s="31"/>
    </row>
    <row r="116" spans="1:4" ht="20.25" x14ac:dyDescent="0.25">
      <c r="A116" s="100"/>
      <c r="B116" s="23"/>
      <c r="C116" s="31"/>
      <c r="D116" s="31"/>
    </row>
    <row r="117" spans="1:4" ht="20.25" x14ac:dyDescent="0.25">
      <c r="A117" s="100"/>
      <c r="B117" s="23"/>
      <c r="C117" s="31"/>
      <c r="D117" s="31"/>
    </row>
    <row r="118" spans="1:4" ht="20.25" x14ac:dyDescent="0.25">
      <c r="A118" s="100"/>
      <c r="B118" s="23"/>
      <c r="C118" s="31"/>
      <c r="D118" s="31"/>
    </row>
    <row r="119" spans="1:4" ht="20.25" x14ac:dyDescent="0.25">
      <c r="A119" s="100"/>
      <c r="B119" s="23"/>
      <c r="C119" s="31"/>
      <c r="D119" s="31"/>
    </row>
    <row r="120" spans="1:4" ht="20.25" x14ac:dyDescent="0.25">
      <c r="A120" s="100"/>
      <c r="B120" s="23"/>
      <c r="C120" s="31"/>
      <c r="D120" s="31"/>
    </row>
    <row r="121" spans="1:4" ht="20.25" x14ac:dyDescent="0.25">
      <c r="A121" s="100"/>
      <c r="B121" s="23"/>
      <c r="C121" s="31"/>
      <c r="D121" s="31"/>
    </row>
    <row r="122" spans="1:4" ht="20.25" x14ac:dyDescent="0.25">
      <c r="A122" s="100"/>
      <c r="B122" s="23"/>
      <c r="C122" s="31"/>
      <c r="D122" s="31"/>
    </row>
    <row r="123" spans="1:4" ht="20.25" x14ac:dyDescent="0.25">
      <c r="A123" s="100"/>
      <c r="B123" s="23"/>
      <c r="C123" s="31"/>
      <c r="D123" s="31"/>
    </row>
    <row r="124" spans="1:4" ht="20.25" x14ac:dyDescent="0.25">
      <c r="A124" s="100"/>
      <c r="B124" s="23"/>
      <c r="C124" s="31"/>
      <c r="D124" s="31"/>
    </row>
    <row r="125" spans="1:4" ht="20.25" x14ac:dyDescent="0.25">
      <c r="A125" s="100"/>
      <c r="B125" s="23"/>
      <c r="C125" s="31"/>
      <c r="D125" s="31"/>
    </row>
    <row r="126" spans="1:4" ht="20.25" x14ac:dyDescent="0.25">
      <c r="A126" s="100"/>
      <c r="B126" s="23"/>
      <c r="C126" s="31"/>
      <c r="D126" s="31"/>
    </row>
    <row r="127" spans="1:4" ht="20.25" x14ac:dyDescent="0.25">
      <c r="A127" s="100"/>
      <c r="B127" s="23"/>
      <c r="C127" s="31"/>
      <c r="D127" s="31"/>
    </row>
    <row r="128" spans="1:4" ht="20.25" x14ac:dyDescent="0.25">
      <c r="A128" s="100"/>
      <c r="B128" s="23"/>
      <c r="C128" s="31"/>
      <c r="D128" s="31"/>
    </row>
    <row r="129" spans="1:4" ht="20.25" x14ac:dyDescent="0.25">
      <c r="A129" s="100"/>
      <c r="B129" s="23"/>
      <c r="C129" s="31"/>
      <c r="D129" s="31"/>
    </row>
    <row r="130" spans="1:4" ht="20.25" x14ac:dyDescent="0.25">
      <c r="A130" s="100"/>
      <c r="B130" s="23"/>
      <c r="C130" s="31"/>
      <c r="D130" s="31"/>
    </row>
    <row r="131" spans="1:4" ht="20.25" x14ac:dyDescent="0.25">
      <c r="A131" s="100"/>
      <c r="B131" s="23"/>
      <c r="C131" s="31"/>
      <c r="D131" s="31"/>
    </row>
    <row r="132" spans="1:4" ht="20.25" x14ac:dyDescent="0.25">
      <c r="A132" s="100"/>
      <c r="B132" s="23"/>
      <c r="C132" s="31"/>
      <c r="D132" s="31"/>
    </row>
    <row r="133" spans="1:4" ht="20.25" x14ac:dyDescent="0.25">
      <c r="A133" s="100"/>
      <c r="B133" s="23"/>
      <c r="C133" s="31"/>
      <c r="D133" s="31"/>
    </row>
    <row r="134" spans="1:4" ht="20.25" x14ac:dyDescent="0.25">
      <c r="A134" s="100"/>
      <c r="B134" s="23"/>
      <c r="C134" s="31"/>
      <c r="D134" s="31"/>
    </row>
    <row r="135" spans="1:4" ht="20.25" x14ac:dyDescent="0.25">
      <c r="A135" s="100"/>
      <c r="B135" s="23"/>
      <c r="C135" s="31"/>
      <c r="D135" s="31"/>
    </row>
    <row r="136" spans="1:4" ht="20.25" x14ac:dyDescent="0.25">
      <c r="A136" s="100"/>
      <c r="B136" s="23"/>
      <c r="C136" s="31"/>
      <c r="D136" s="31"/>
    </row>
    <row r="137" spans="1:4" ht="20.25" x14ac:dyDescent="0.25">
      <c r="A137" s="100"/>
      <c r="B137" s="23"/>
      <c r="C137" s="31"/>
      <c r="D137" s="31"/>
    </row>
    <row r="138" spans="1:4" ht="20.25" x14ac:dyDescent="0.25">
      <c r="A138" s="100"/>
      <c r="B138" s="23"/>
      <c r="C138" s="31"/>
      <c r="D138" s="31"/>
    </row>
    <row r="139" spans="1:4" ht="20.25" x14ac:dyDescent="0.25">
      <c r="A139" s="100"/>
      <c r="B139" s="23"/>
      <c r="C139" s="31"/>
      <c r="D139" s="31"/>
    </row>
    <row r="140" spans="1:4" ht="20.25" x14ac:dyDescent="0.25">
      <c r="A140" s="100"/>
      <c r="B140" s="23"/>
      <c r="C140" s="31"/>
      <c r="D140" s="31"/>
    </row>
    <row r="141" spans="1:4" ht="20.25" x14ac:dyDescent="0.25">
      <c r="A141" s="100"/>
      <c r="B141" s="23"/>
      <c r="C141" s="31"/>
      <c r="D141" s="31"/>
    </row>
    <row r="142" spans="1:4" ht="20.25" x14ac:dyDescent="0.25">
      <c r="A142" s="100"/>
      <c r="B142" s="23"/>
      <c r="C142" s="31"/>
      <c r="D142" s="31"/>
    </row>
    <row r="143" spans="1:4" ht="20.25" x14ac:dyDescent="0.25">
      <c r="A143" s="100"/>
      <c r="B143" s="23"/>
      <c r="C143" s="31"/>
      <c r="D143" s="31"/>
    </row>
    <row r="144" spans="1:4" ht="20.25" x14ac:dyDescent="0.25">
      <c r="A144" s="100"/>
      <c r="B144" s="23"/>
      <c r="C144" s="31"/>
      <c r="D144" s="31"/>
    </row>
    <row r="145" spans="1:4" ht="20.25" x14ac:dyDescent="0.25">
      <c r="A145" s="100"/>
      <c r="B145" s="23"/>
      <c r="C145" s="31"/>
      <c r="D145" s="31"/>
    </row>
    <row r="146" spans="1:4" ht="20.25" x14ac:dyDescent="0.25">
      <c r="A146" s="100"/>
      <c r="B146" s="23"/>
      <c r="C146" s="31"/>
      <c r="D146" s="31"/>
    </row>
    <row r="147" spans="1:4" ht="20.25" x14ac:dyDescent="0.25">
      <c r="A147" s="100"/>
      <c r="B147" s="23"/>
      <c r="C147" s="31"/>
      <c r="D147" s="31"/>
    </row>
    <row r="148" spans="1:4" ht="20.25" x14ac:dyDescent="0.25">
      <c r="A148" s="100"/>
      <c r="B148" s="23"/>
      <c r="C148" s="31"/>
      <c r="D148" s="31"/>
    </row>
    <row r="149" spans="1:4" ht="20.25" x14ac:dyDescent="0.25">
      <c r="A149" s="100"/>
      <c r="B149" s="23"/>
      <c r="C149" s="31"/>
      <c r="D149" s="31"/>
    </row>
    <row r="150" spans="1:4" ht="20.25" x14ac:dyDescent="0.25">
      <c r="A150" s="100"/>
      <c r="B150" s="23"/>
      <c r="C150" s="31"/>
      <c r="D150" s="31"/>
    </row>
    <row r="151" spans="1:4" ht="20.25" x14ac:dyDescent="0.25">
      <c r="A151" s="100"/>
      <c r="B151" s="23"/>
      <c r="C151" s="31"/>
      <c r="D151" s="31"/>
    </row>
    <row r="152" spans="1:4" ht="20.25" x14ac:dyDescent="0.25">
      <c r="A152" s="100"/>
      <c r="B152" s="23"/>
      <c r="C152" s="31"/>
      <c r="D152" s="31"/>
    </row>
    <row r="153" spans="1:4" ht="20.25" x14ac:dyDescent="0.25">
      <c r="A153" s="100"/>
      <c r="B153" s="23"/>
      <c r="C153" s="31"/>
      <c r="D153" s="31"/>
    </row>
    <row r="154" spans="1:4" ht="20.25" x14ac:dyDescent="0.25">
      <c r="A154" s="100"/>
      <c r="B154" s="23"/>
      <c r="C154" s="31"/>
      <c r="D154" s="31"/>
    </row>
    <row r="155" spans="1:4" ht="20.25" x14ac:dyDescent="0.25">
      <c r="A155" s="100"/>
      <c r="B155" s="23"/>
      <c r="C155" s="31"/>
      <c r="D155" s="31"/>
    </row>
    <row r="156" spans="1:4" ht="20.25" x14ac:dyDescent="0.25">
      <c r="A156" s="100"/>
      <c r="B156" s="23"/>
      <c r="C156" s="31"/>
      <c r="D156" s="31"/>
    </row>
    <row r="157" spans="1:4" ht="20.25" x14ac:dyDescent="0.25">
      <c r="A157" s="100"/>
      <c r="B157" s="23"/>
      <c r="C157" s="31"/>
      <c r="D157" s="31"/>
    </row>
    <row r="158" spans="1:4" ht="20.25" x14ac:dyDescent="0.25">
      <c r="A158" s="100"/>
      <c r="B158" s="23"/>
      <c r="C158" s="31"/>
      <c r="D158" s="31"/>
    </row>
    <row r="159" spans="1:4" ht="20.25" x14ac:dyDescent="0.25">
      <c r="A159" s="100"/>
      <c r="B159" s="23"/>
      <c r="C159" s="31"/>
      <c r="D159" s="31"/>
    </row>
    <row r="160" spans="1:4" ht="20.25" x14ac:dyDescent="0.25">
      <c r="A160" s="100"/>
      <c r="B160" s="23"/>
      <c r="C160" s="31"/>
      <c r="D160" s="31"/>
    </row>
    <row r="161" spans="1:4" ht="20.25" x14ac:dyDescent="0.25">
      <c r="A161" s="100"/>
      <c r="B161" s="23"/>
      <c r="C161" s="31"/>
      <c r="D161" s="31"/>
    </row>
    <row r="162" spans="1:4" ht="20.25" x14ac:dyDescent="0.25">
      <c r="A162" s="100"/>
      <c r="B162" s="23"/>
      <c r="C162" s="31"/>
      <c r="D162" s="31"/>
    </row>
    <row r="163" spans="1:4" ht="20.25" x14ac:dyDescent="0.25">
      <c r="A163" s="100"/>
      <c r="B163" s="23"/>
      <c r="C163" s="31"/>
      <c r="D163" s="31"/>
    </row>
    <row r="164" spans="1:4" ht="20.25" x14ac:dyDescent="0.25">
      <c r="A164" s="100"/>
      <c r="B164" s="23"/>
      <c r="C164" s="31"/>
      <c r="D164" s="31"/>
    </row>
    <row r="165" spans="1:4" ht="20.25" x14ac:dyDescent="0.25">
      <c r="A165" s="100"/>
      <c r="B165" s="23"/>
      <c r="C165" s="31"/>
      <c r="D165" s="31"/>
    </row>
    <row r="166" spans="1:4" ht="20.25" x14ac:dyDescent="0.25">
      <c r="A166" s="100"/>
      <c r="B166" s="23"/>
      <c r="C166" s="31"/>
      <c r="D166" s="31"/>
    </row>
    <row r="167" spans="1:4" ht="20.25" x14ac:dyDescent="0.25">
      <c r="A167" s="100"/>
      <c r="B167" s="23"/>
      <c r="C167" s="31"/>
      <c r="D167" s="31"/>
    </row>
    <row r="168" spans="1:4" ht="20.25" x14ac:dyDescent="0.25">
      <c r="A168" s="100"/>
      <c r="B168" s="23"/>
      <c r="C168" s="31"/>
      <c r="D168" s="31"/>
    </row>
    <row r="169" spans="1:4" ht="20.25" x14ac:dyDescent="0.25">
      <c r="A169" s="100"/>
      <c r="B169" s="23"/>
      <c r="C169" s="31"/>
      <c r="D169" s="31"/>
    </row>
    <row r="170" spans="1:4" ht="20.25" x14ac:dyDescent="0.25">
      <c r="A170" s="100"/>
      <c r="B170" s="23"/>
      <c r="C170" s="31"/>
      <c r="D170" s="31"/>
    </row>
    <row r="171" spans="1:4" ht="20.25" x14ac:dyDescent="0.25">
      <c r="A171" s="100"/>
      <c r="B171" s="23"/>
      <c r="C171" s="31"/>
      <c r="D171" s="31"/>
    </row>
    <row r="172" spans="1:4" ht="20.25" x14ac:dyDescent="0.25">
      <c r="A172" s="100"/>
      <c r="B172" s="23"/>
      <c r="C172" s="31"/>
      <c r="D172" s="31"/>
    </row>
    <row r="173" spans="1:4" ht="20.25" x14ac:dyDescent="0.25">
      <c r="A173" s="100"/>
      <c r="B173" s="23"/>
      <c r="C173" s="31"/>
      <c r="D173" s="31"/>
    </row>
    <row r="174" spans="1:4" ht="20.25" x14ac:dyDescent="0.25">
      <c r="A174" s="100"/>
      <c r="B174" s="23"/>
      <c r="C174" s="31"/>
      <c r="D174" s="31"/>
    </row>
    <row r="175" spans="1:4" ht="20.25" x14ac:dyDescent="0.25">
      <c r="A175" s="100"/>
      <c r="B175" s="23"/>
      <c r="C175" s="31"/>
      <c r="D175" s="31"/>
    </row>
    <row r="176" spans="1:4" ht="20.25" x14ac:dyDescent="0.25">
      <c r="A176" s="100"/>
      <c r="B176" s="23"/>
      <c r="C176" s="31"/>
      <c r="D176" s="31"/>
    </row>
    <row r="177" spans="1:4" ht="20.25" x14ac:dyDescent="0.25">
      <c r="A177" s="100"/>
      <c r="B177" s="23"/>
      <c r="C177" s="31"/>
      <c r="D177" s="31"/>
    </row>
    <row r="178" spans="1:4" ht="20.25" x14ac:dyDescent="0.25">
      <c r="A178" s="100"/>
      <c r="B178" s="23"/>
      <c r="C178" s="31"/>
      <c r="D178" s="31"/>
    </row>
    <row r="179" spans="1:4" ht="20.25" x14ac:dyDescent="0.25">
      <c r="A179" s="100"/>
      <c r="B179" s="23"/>
      <c r="C179" s="31"/>
      <c r="D179" s="31"/>
    </row>
    <row r="180" spans="1:4" ht="20.25" x14ac:dyDescent="0.25">
      <c r="A180" s="100"/>
      <c r="B180" s="23"/>
      <c r="C180" s="31"/>
      <c r="D180" s="31"/>
    </row>
    <row r="181" spans="1:4" ht="20.25" x14ac:dyDescent="0.25">
      <c r="A181" s="100"/>
      <c r="B181" s="23"/>
      <c r="C181" s="31"/>
      <c r="D181" s="31"/>
    </row>
    <row r="182" spans="1:4" ht="20.25" x14ac:dyDescent="0.25">
      <c r="A182" s="100"/>
      <c r="B182" s="23"/>
      <c r="C182" s="31"/>
      <c r="D182" s="31"/>
    </row>
    <row r="183" spans="1:4" ht="20.25" x14ac:dyDescent="0.25">
      <c r="A183" s="100"/>
      <c r="B183" s="23"/>
      <c r="C183" s="31"/>
      <c r="D183" s="31"/>
    </row>
    <row r="184" spans="1:4" ht="20.25" x14ac:dyDescent="0.25">
      <c r="A184" s="100"/>
      <c r="B184" s="23"/>
      <c r="C184" s="31"/>
      <c r="D184" s="31"/>
    </row>
    <row r="185" spans="1:4" ht="20.25" x14ac:dyDescent="0.25">
      <c r="A185" s="100"/>
      <c r="B185" s="23"/>
      <c r="C185" s="31"/>
      <c r="D185" s="31"/>
    </row>
    <row r="186" spans="1:4" ht="20.25" x14ac:dyDescent="0.25">
      <c r="A186" s="100"/>
      <c r="B186" s="23"/>
      <c r="C186" s="31"/>
      <c r="D186" s="31"/>
    </row>
    <row r="187" spans="1:4" ht="20.25" x14ac:dyDescent="0.25">
      <c r="A187" s="100"/>
      <c r="B187" s="23"/>
      <c r="C187" s="31"/>
      <c r="D187" s="31"/>
    </row>
    <row r="188" spans="1:4" ht="20.25" x14ac:dyDescent="0.25">
      <c r="A188" s="100"/>
      <c r="B188" s="23"/>
      <c r="C188" s="31"/>
      <c r="D188" s="31"/>
    </row>
    <row r="189" spans="1:4" ht="20.25" x14ac:dyDescent="0.25">
      <c r="A189" s="100"/>
      <c r="B189" s="23"/>
      <c r="C189" s="31"/>
      <c r="D189" s="31"/>
    </row>
    <row r="190" spans="1:4" ht="20.25" x14ac:dyDescent="0.25">
      <c r="A190" s="100"/>
      <c r="B190" s="23"/>
      <c r="C190" s="31"/>
      <c r="D190" s="31"/>
    </row>
    <row r="191" spans="1:4" ht="20.25" x14ac:dyDescent="0.25">
      <c r="A191" s="100"/>
      <c r="B191" s="23"/>
      <c r="C191" s="31"/>
      <c r="D191" s="31"/>
    </row>
    <row r="192" spans="1:4" ht="20.25" x14ac:dyDescent="0.25">
      <c r="A192" s="100"/>
      <c r="B192" s="23"/>
      <c r="C192" s="31"/>
      <c r="D192" s="31"/>
    </row>
    <row r="193" spans="1:4" ht="20.25" x14ac:dyDescent="0.25">
      <c r="A193" s="100"/>
      <c r="B193" s="23"/>
      <c r="C193" s="31"/>
      <c r="D193" s="31"/>
    </row>
    <row r="194" spans="1:4" ht="20.25" x14ac:dyDescent="0.25">
      <c r="A194" s="100"/>
      <c r="B194" s="23"/>
      <c r="C194" s="31"/>
      <c r="D194" s="31"/>
    </row>
    <row r="195" spans="1:4" ht="20.25" x14ac:dyDescent="0.25">
      <c r="A195" s="100"/>
      <c r="B195" s="23"/>
      <c r="C195" s="31"/>
      <c r="D195" s="31"/>
    </row>
    <row r="196" spans="1:4" ht="20.25" x14ac:dyDescent="0.25">
      <c r="A196" s="100"/>
      <c r="B196" s="23"/>
      <c r="C196" s="31"/>
      <c r="D196" s="31"/>
    </row>
    <row r="197" spans="1:4" ht="20.25" x14ac:dyDescent="0.25">
      <c r="A197" s="100"/>
      <c r="B197" s="23"/>
      <c r="C197" s="31"/>
      <c r="D197" s="31"/>
    </row>
    <row r="198" spans="1:4" ht="20.25" x14ac:dyDescent="0.25">
      <c r="A198" s="100"/>
      <c r="B198" s="23"/>
      <c r="C198" s="31"/>
      <c r="D198" s="31"/>
    </row>
    <row r="199" spans="1:4" ht="20.25" x14ac:dyDescent="0.25">
      <c r="A199" s="100"/>
      <c r="B199" s="23"/>
      <c r="C199" s="31"/>
      <c r="D199" s="31"/>
    </row>
    <row r="200" spans="1:4" ht="20.25" x14ac:dyDescent="0.25">
      <c r="A200" s="100"/>
      <c r="B200" s="23"/>
      <c r="C200" s="31"/>
      <c r="D200" s="31"/>
    </row>
    <row r="201" spans="1:4" ht="20.25" x14ac:dyDescent="0.25">
      <c r="A201" s="100"/>
      <c r="B201" s="23"/>
      <c r="C201" s="31"/>
      <c r="D201" s="31"/>
    </row>
    <row r="202" spans="1:4" ht="20.25" x14ac:dyDescent="0.25">
      <c r="A202" s="100"/>
      <c r="B202" s="23"/>
      <c r="C202" s="31"/>
      <c r="D202" s="31"/>
    </row>
    <row r="203" spans="1:4" ht="20.25" x14ac:dyDescent="0.25">
      <c r="A203" s="100"/>
      <c r="B203" s="23"/>
      <c r="C203" s="31"/>
      <c r="D203" s="31"/>
    </row>
    <row r="204" spans="1:4" ht="20.25" x14ac:dyDescent="0.25">
      <c r="A204" s="100"/>
      <c r="B204" s="23"/>
      <c r="C204" s="31"/>
      <c r="D204" s="31"/>
    </row>
    <row r="205" spans="1:4" ht="20.25" x14ac:dyDescent="0.25">
      <c r="A205" s="100"/>
      <c r="B205" s="23"/>
      <c r="C205" s="31"/>
      <c r="D205" s="31"/>
    </row>
    <row r="206" spans="1:4" ht="20.25" x14ac:dyDescent="0.25">
      <c r="A206" s="100"/>
      <c r="B206" s="23"/>
      <c r="C206" s="31"/>
      <c r="D206" s="31"/>
    </row>
    <row r="207" spans="1:4" ht="20.25" x14ac:dyDescent="0.25">
      <c r="A207" s="100"/>
      <c r="B207" s="23"/>
      <c r="C207" s="31"/>
      <c r="D207" s="31"/>
    </row>
    <row r="208" spans="1:4" x14ac:dyDescent="0.25">
      <c r="A208" s="80"/>
      <c r="B208" s="23"/>
      <c r="C208" s="23"/>
      <c r="D208" s="23"/>
    </row>
    <row r="209" spans="1:8" ht="20.25" x14ac:dyDescent="0.25">
      <c r="A209" s="80"/>
      <c r="B209" s="27" t="s">
        <v>186</v>
      </c>
      <c r="C209" s="27" t="s">
        <v>187</v>
      </c>
      <c r="D209" s="30" t="s">
        <v>186</v>
      </c>
      <c r="E209" s="30" t="s">
        <v>187</v>
      </c>
    </row>
    <row r="210" spans="1:8" ht="21" x14ac:dyDescent="0.35">
      <c r="A210" s="80"/>
      <c r="B210" s="28" t="s">
        <v>188</v>
      </c>
      <c r="C210" s="28" t="s">
        <v>189</v>
      </c>
      <c r="D210" t="s">
        <v>188</v>
      </c>
      <c r="F210" t="str">
        <f>IF(NOT(ISBLANK(D210)),D210,IF(NOT(ISBLANK(E210)),"     "&amp;E210,FALSE))</f>
        <v>Afectación Económica o presupuestal</v>
      </c>
      <c r="G210" t="s">
        <v>188</v>
      </c>
      <c r="H210" t="str">
        <f>IF(NOT(ISERROR(MATCH(G210,_xlfn.ANCHORARRAY(B221),0))),F223&amp;"Por favor no seleccionar los criterios de impacto",G210)</f>
        <v>❌Por favor no seleccionar los criterios de impacto</v>
      </c>
    </row>
    <row r="211" spans="1:8" ht="21" x14ac:dyDescent="0.35">
      <c r="A211" s="80"/>
      <c r="B211" s="28" t="s">
        <v>188</v>
      </c>
      <c r="C211" s="28" t="s">
        <v>162</v>
      </c>
      <c r="E211" t="s">
        <v>189</v>
      </c>
      <c r="F211" t="str">
        <f t="shared" ref="F211:F221" si="0">IF(NOT(ISBLANK(D211)),D211,IF(NOT(ISBLANK(E211)),"     "&amp;E211,FALSE))</f>
        <v xml:space="preserve">     Afectación menor a 10 SMLMV .</v>
      </c>
    </row>
    <row r="212" spans="1:8" ht="21" x14ac:dyDescent="0.35">
      <c r="A212" s="80"/>
      <c r="B212" s="28" t="s">
        <v>188</v>
      </c>
      <c r="C212" s="28" t="s">
        <v>165</v>
      </c>
      <c r="E212" t="s">
        <v>162</v>
      </c>
      <c r="F212" t="str">
        <f t="shared" si="0"/>
        <v xml:space="preserve">     Entre 10 y 50 SMLMV </v>
      </c>
    </row>
    <row r="213" spans="1:8" ht="21" x14ac:dyDescent="0.35">
      <c r="A213" s="80"/>
      <c r="B213" s="28" t="s">
        <v>188</v>
      </c>
      <c r="C213" s="28" t="s">
        <v>169</v>
      </c>
      <c r="E213" t="s">
        <v>165</v>
      </c>
      <c r="F213" t="str">
        <f t="shared" si="0"/>
        <v xml:space="preserve">     Entre 50 y 100 SMLMV </v>
      </c>
    </row>
    <row r="214" spans="1:8" ht="21" x14ac:dyDescent="0.35">
      <c r="A214" s="80"/>
      <c r="B214" s="28" t="s">
        <v>188</v>
      </c>
      <c r="C214" s="28" t="s">
        <v>173</v>
      </c>
      <c r="E214" t="s">
        <v>169</v>
      </c>
      <c r="F214" t="str">
        <f t="shared" si="0"/>
        <v xml:space="preserve">     Entre 100 y 500 SMLMV </v>
      </c>
    </row>
    <row r="215" spans="1:8" ht="21" x14ac:dyDescent="0.35">
      <c r="A215" s="80"/>
      <c r="B215" s="28" t="s">
        <v>155</v>
      </c>
      <c r="C215" s="28" t="s">
        <v>159</v>
      </c>
      <c r="E215" t="s">
        <v>173</v>
      </c>
      <c r="F215" t="str">
        <f t="shared" si="0"/>
        <v xml:space="preserve">     Mayor a 500 SMLMV </v>
      </c>
    </row>
    <row r="216" spans="1:8" ht="21" x14ac:dyDescent="0.35">
      <c r="A216" s="80"/>
      <c r="B216" s="28" t="s">
        <v>155</v>
      </c>
      <c r="C216" s="28" t="s">
        <v>163</v>
      </c>
      <c r="D216" t="s">
        <v>155</v>
      </c>
      <c r="F216" t="str">
        <f t="shared" si="0"/>
        <v>Pérdida Reputacional</v>
      </c>
    </row>
    <row r="217" spans="1:8" ht="21" x14ac:dyDescent="0.35">
      <c r="A217" s="80"/>
      <c r="B217" s="28" t="s">
        <v>155</v>
      </c>
      <c r="C217" s="28" t="s">
        <v>166</v>
      </c>
      <c r="E217" t="s">
        <v>159</v>
      </c>
      <c r="F217" t="str">
        <f t="shared" si="0"/>
        <v xml:space="preserve">     El riesgo afecta la imagen de alguna área de la organización</v>
      </c>
    </row>
    <row r="218" spans="1:8" ht="21" x14ac:dyDescent="0.35">
      <c r="A218" s="80"/>
      <c r="B218" s="28" t="s">
        <v>155</v>
      </c>
      <c r="C218" s="28" t="s">
        <v>170</v>
      </c>
      <c r="E218" t="s">
        <v>163</v>
      </c>
      <c r="F218" t="str">
        <f t="shared" si="0"/>
        <v xml:space="preserve">     El riesgo afecta la imagen de la entidad internamente, de conocimiento general, nivel interno, de junta dircetiva y accionistas y/o de provedores</v>
      </c>
    </row>
    <row r="219" spans="1:8" ht="21" x14ac:dyDescent="0.35">
      <c r="A219" s="80"/>
      <c r="B219" s="28" t="s">
        <v>155</v>
      </c>
      <c r="C219" s="28" t="s">
        <v>174</v>
      </c>
      <c r="E219" t="s">
        <v>166</v>
      </c>
      <c r="F219" t="str">
        <f t="shared" si="0"/>
        <v xml:space="preserve">     El riesgo afecta la imagen de la entidad con algunos usuarios de relevancia frente al logro de los objetivos</v>
      </c>
    </row>
    <row r="220" spans="1:8" x14ac:dyDescent="0.25">
      <c r="A220" s="80"/>
      <c r="B220" s="29"/>
      <c r="C220" s="29"/>
      <c r="E220" t="s">
        <v>170</v>
      </c>
      <c r="F220" t="str">
        <f t="shared" si="0"/>
        <v xml:space="preserve">     El riesgo afecta la imagen de de la entidad con efecto publicitario sostenido a nivel de sector administrativo, nivel departamental o municipal</v>
      </c>
    </row>
    <row r="221" spans="1:8" x14ac:dyDescent="0.25">
      <c r="A221" s="80"/>
      <c r="B221" s="29" t="str" cm="1">
        <f t="array" ref="B221:B223">_xlfn.UNIQUE(Tabla1[[#All],[Criterios]])</f>
        <v>Criterios</v>
      </c>
      <c r="C221" s="29"/>
      <c r="E221" t="s">
        <v>174</v>
      </c>
      <c r="F221" t="str">
        <f t="shared" si="0"/>
        <v xml:space="preserve">     El riesgo afecta la imagen de la entidad a nivel nacional, con efecto publicitarios sostenible a nivel país</v>
      </c>
    </row>
    <row r="222" spans="1:8" x14ac:dyDescent="0.25">
      <c r="A222" s="80"/>
      <c r="B222" s="29" t="str">
        <v>Afectación Económica o presupuestal</v>
      </c>
      <c r="C222" s="29"/>
    </row>
    <row r="223" spans="1:8" x14ac:dyDescent="0.25">
      <c r="B223" s="29" t="str">
        <v>Pérdida Reputacional</v>
      </c>
      <c r="C223" s="29"/>
      <c r="F223" s="32" t="s">
        <v>190</v>
      </c>
    </row>
    <row r="224" spans="1:8" x14ac:dyDescent="0.25">
      <c r="B224" s="22"/>
      <c r="C224" s="22"/>
      <c r="F224" s="32" t="s">
        <v>191</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heetViews>
  <sheetFormatPr baseColWidth="10" defaultColWidth="14.28515625" defaultRowHeight="12.75" x14ac:dyDescent="0.2"/>
  <cols>
    <col min="1" max="2" width="14.28515625" style="85"/>
    <col min="3" max="3" width="17" style="85" customWidth="1"/>
    <col min="4" max="4" width="14.28515625" style="85"/>
    <col min="5" max="5" width="46" style="85" customWidth="1"/>
    <col min="6" max="16384" width="14.28515625" style="85"/>
  </cols>
  <sheetData>
    <row r="1" spans="2:6" ht="24" customHeight="1" thickBot="1" x14ac:dyDescent="0.25">
      <c r="B1" s="479" t="s">
        <v>192</v>
      </c>
      <c r="C1" s="480"/>
      <c r="D1" s="480"/>
      <c r="E1" s="480"/>
      <c r="F1" s="481"/>
    </row>
    <row r="2" spans="2:6" ht="16.5" thickBot="1" x14ac:dyDescent="0.3">
      <c r="B2" s="86"/>
      <c r="C2" s="86"/>
      <c r="D2" s="86"/>
      <c r="E2" s="86"/>
      <c r="F2" s="86"/>
    </row>
    <row r="3" spans="2:6" ht="16.5" thickBot="1" x14ac:dyDescent="0.25">
      <c r="B3" s="483" t="s">
        <v>193</v>
      </c>
      <c r="C3" s="484"/>
      <c r="D3" s="484"/>
      <c r="E3" s="98" t="s">
        <v>194</v>
      </c>
      <c r="F3" s="99" t="s">
        <v>195</v>
      </c>
    </row>
    <row r="4" spans="2:6" ht="31.5" x14ac:dyDescent="0.2">
      <c r="B4" s="485" t="s">
        <v>196</v>
      </c>
      <c r="C4" s="487" t="s">
        <v>92</v>
      </c>
      <c r="D4" s="87" t="s">
        <v>104</v>
      </c>
      <c r="E4" s="88" t="s">
        <v>197</v>
      </c>
      <c r="F4" s="89">
        <v>0.25</v>
      </c>
    </row>
    <row r="5" spans="2:6" ht="47.25" x14ac:dyDescent="0.2">
      <c r="B5" s="486"/>
      <c r="C5" s="488"/>
      <c r="D5" s="90" t="s">
        <v>117</v>
      </c>
      <c r="E5" s="91" t="s">
        <v>198</v>
      </c>
      <c r="F5" s="92">
        <v>0.15</v>
      </c>
    </row>
    <row r="6" spans="2:6" ht="47.25" x14ac:dyDescent="0.2">
      <c r="B6" s="486"/>
      <c r="C6" s="488"/>
      <c r="D6" s="90" t="s">
        <v>120</v>
      </c>
      <c r="E6" s="91" t="s">
        <v>199</v>
      </c>
      <c r="F6" s="92">
        <v>0.1</v>
      </c>
    </row>
    <row r="7" spans="2:6" ht="63" x14ac:dyDescent="0.2">
      <c r="B7" s="486"/>
      <c r="C7" s="488" t="s">
        <v>93</v>
      </c>
      <c r="D7" s="90" t="s">
        <v>200</v>
      </c>
      <c r="E7" s="91" t="s">
        <v>201</v>
      </c>
      <c r="F7" s="92">
        <v>0.25</v>
      </c>
    </row>
    <row r="8" spans="2:6" ht="31.5" x14ac:dyDescent="0.2">
      <c r="B8" s="486"/>
      <c r="C8" s="488"/>
      <c r="D8" s="90" t="s">
        <v>105</v>
      </c>
      <c r="E8" s="91" t="s">
        <v>202</v>
      </c>
      <c r="F8" s="92">
        <v>0.15</v>
      </c>
    </row>
    <row r="9" spans="2:6" ht="47.25" x14ac:dyDescent="0.2">
      <c r="B9" s="486" t="s">
        <v>203</v>
      </c>
      <c r="C9" s="488" t="s">
        <v>95</v>
      </c>
      <c r="D9" s="90" t="s">
        <v>106</v>
      </c>
      <c r="E9" s="91" t="s">
        <v>204</v>
      </c>
      <c r="F9" s="93" t="s">
        <v>205</v>
      </c>
    </row>
    <row r="10" spans="2:6" ht="63" x14ac:dyDescent="0.2">
      <c r="B10" s="486"/>
      <c r="C10" s="488"/>
      <c r="D10" s="90" t="s">
        <v>206</v>
      </c>
      <c r="E10" s="91" t="s">
        <v>207</v>
      </c>
      <c r="F10" s="93" t="s">
        <v>205</v>
      </c>
    </row>
    <row r="11" spans="2:6" ht="47.25" x14ac:dyDescent="0.2">
      <c r="B11" s="486"/>
      <c r="C11" s="488" t="s">
        <v>96</v>
      </c>
      <c r="D11" s="90" t="s">
        <v>107</v>
      </c>
      <c r="E11" s="91" t="s">
        <v>208</v>
      </c>
      <c r="F11" s="93" t="s">
        <v>205</v>
      </c>
    </row>
    <row r="12" spans="2:6" ht="47.25" x14ac:dyDescent="0.2">
      <c r="B12" s="486"/>
      <c r="C12" s="488"/>
      <c r="D12" s="90" t="s">
        <v>209</v>
      </c>
      <c r="E12" s="91" t="s">
        <v>210</v>
      </c>
      <c r="F12" s="93" t="s">
        <v>205</v>
      </c>
    </row>
    <row r="13" spans="2:6" ht="31.5" x14ac:dyDescent="0.2">
      <c r="B13" s="486"/>
      <c r="C13" s="488" t="s">
        <v>97</v>
      </c>
      <c r="D13" s="90" t="s">
        <v>108</v>
      </c>
      <c r="E13" s="91" t="s">
        <v>211</v>
      </c>
      <c r="F13" s="93" t="s">
        <v>205</v>
      </c>
    </row>
    <row r="14" spans="2:6" ht="32.25" thickBot="1" x14ac:dyDescent="0.25">
      <c r="B14" s="489"/>
      <c r="C14" s="490"/>
      <c r="D14" s="94" t="s">
        <v>212</v>
      </c>
      <c r="E14" s="95" t="s">
        <v>213</v>
      </c>
      <c r="F14" s="96" t="s">
        <v>205</v>
      </c>
    </row>
    <row r="15" spans="2:6" ht="49.5" customHeight="1" x14ac:dyDescent="0.2">
      <c r="B15" s="482" t="s">
        <v>214</v>
      </c>
      <c r="C15" s="482"/>
      <c r="D15" s="482"/>
      <c r="E15" s="482"/>
      <c r="F15" s="482"/>
    </row>
    <row r="16" spans="2:6" ht="27" customHeight="1" x14ac:dyDescent="0.25">
      <c r="B16" s="97"/>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194" customWidth="1"/>
    <col min="2" max="2" width="19.7109375" style="194" customWidth="1"/>
    <col min="3" max="3" width="50" style="194" customWidth="1"/>
    <col min="4" max="4" width="16.42578125" style="194" customWidth="1"/>
    <col min="5" max="5" width="2.42578125" style="169" customWidth="1"/>
    <col min="6" max="16384" width="10.85546875" style="169"/>
  </cols>
  <sheetData>
    <row r="1" spans="1:5" ht="16.5" thickBot="1" x14ac:dyDescent="0.3">
      <c r="A1" s="166"/>
      <c r="B1" s="167"/>
      <c r="C1" s="167"/>
      <c r="D1" s="167"/>
      <c r="E1" s="168"/>
    </row>
    <row r="2" spans="1:5" ht="24" customHeight="1" thickBot="1" x14ac:dyDescent="0.3">
      <c r="A2" s="170"/>
      <c r="B2" s="497" t="s">
        <v>262</v>
      </c>
      <c r="C2" s="498"/>
      <c r="D2" s="499"/>
      <c r="E2" s="171"/>
    </row>
    <row r="3" spans="1:5" ht="96.75" customHeight="1" thickBot="1" x14ac:dyDescent="0.3">
      <c r="A3" s="172"/>
      <c r="B3" s="500" t="s">
        <v>287</v>
      </c>
      <c r="C3" s="500"/>
      <c r="D3" s="500"/>
      <c r="E3" s="171"/>
    </row>
    <row r="4" spans="1:5" ht="24.75" customHeight="1" thickBot="1" x14ac:dyDescent="0.3">
      <c r="A4" s="172"/>
      <c r="B4" s="501" t="s">
        <v>263</v>
      </c>
      <c r="C4" s="502"/>
      <c r="D4" s="503"/>
      <c r="E4" s="171"/>
    </row>
    <row r="5" spans="1:5" ht="46.5" customHeight="1" x14ac:dyDescent="0.25">
      <c r="A5" s="172"/>
      <c r="B5" s="504" t="s">
        <v>288</v>
      </c>
      <c r="C5" s="504"/>
      <c r="D5" s="504"/>
      <c r="E5" s="171"/>
    </row>
    <row r="6" spans="1:5" ht="24" customHeight="1" x14ac:dyDescent="0.25">
      <c r="A6" s="172"/>
      <c r="B6" s="173"/>
      <c r="C6" s="174"/>
      <c r="D6" s="175"/>
      <c r="E6" s="171"/>
    </row>
    <row r="7" spans="1:5" ht="24" customHeight="1" x14ac:dyDescent="0.25">
      <c r="A7" s="172"/>
      <c r="B7" s="505" t="s">
        <v>264</v>
      </c>
      <c r="C7" s="505"/>
      <c r="D7" s="505"/>
      <c r="E7" s="171"/>
    </row>
    <row r="8" spans="1:5" ht="63.75" customHeight="1" x14ac:dyDescent="0.25">
      <c r="A8" s="172"/>
      <c r="B8" s="176" t="s">
        <v>265</v>
      </c>
      <c r="C8" s="177" t="s">
        <v>266</v>
      </c>
      <c r="D8" s="177" t="s">
        <v>267</v>
      </c>
      <c r="E8" s="171"/>
    </row>
    <row r="9" spans="1:5" ht="90" customHeight="1" x14ac:dyDescent="0.25">
      <c r="A9" s="172"/>
      <c r="B9" s="178" t="s">
        <v>268</v>
      </c>
      <c r="C9" s="179" t="s">
        <v>289</v>
      </c>
      <c r="D9" s="180" t="s">
        <v>269</v>
      </c>
      <c r="E9" s="171"/>
    </row>
    <row r="10" spans="1:5" ht="75" customHeight="1" x14ac:dyDescent="0.25">
      <c r="A10" s="172"/>
      <c r="B10" s="181" t="s">
        <v>270</v>
      </c>
      <c r="C10" s="182" t="s">
        <v>290</v>
      </c>
      <c r="D10" s="182" t="s">
        <v>271</v>
      </c>
      <c r="E10" s="171"/>
    </row>
    <row r="11" spans="1:5" ht="63.75" customHeight="1" x14ac:dyDescent="0.25">
      <c r="A11" s="172"/>
      <c r="B11" s="183" t="s">
        <v>133</v>
      </c>
      <c r="C11" s="184" t="s">
        <v>291</v>
      </c>
      <c r="D11" s="184" t="s">
        <v>272</v>
      </c>
      <c r="E11" s="171"/>
    </row>
    <row r="12" spans="1:5" ht="29.25" customHeight="1" x14ac:dyDescent="0.25">
      <c r="A12" s="172"/>
      <c r="B12" s="185"/>
      <c r="C12" s="185"/>
      <c r="D12" s="185"/>
      <c r="E12" s="171"/>
    </row>
    <row r="13" spans="1:5" ht="29.25" customHeight="1" x14ac:dyDescent="0.25">
      <c r="A13" s="172"/>
      <c r="B13" s="506" t="s">
        <v>273</v>
      </c>
      <c r="C13" s="507"/>
      <c r="D13" s="507"/>
      <c r="E13" s="171"/>
    </row>
    <row r="14" spans="1:5" ht="32.25" customHeight="1" x14ac:dyDescent="0.25">
      <c r="A14" s="172"/>
      <c r="B14" s="186" t="s">
        <v>274</v>
      </c>
      <c r="C14" s="187" t="s">
        <v>194</v>
      </c>
      <c r="D14" s="187" t="s">
        <v>275</v>
      </c>
      <c r="E14" s="171"/>
    </row>
    <row r="15" spans="1:5" ht="56.25" customHeight="1" x14ac:dyDescent="0.25">
      <c r="A15" s="172"/>
      <c r="B15" s="188" t="s">
        <v>276</v>
      </c>
      <c r="C15" s="189" t="s">
        <v>277</v>
      </c>
      <c r="D15" s="188" t="s">
        <v>278</v>
      </c>
      <c r="E15" s="171"/>
    </row>
    <row r="16" spans="1:5" ht="48" customHeight="1" x14ac:dyDescent="0.25">
      <c r="A16" s="172"/>
      <c r="B16" s="190" t="s">
        <v>279</v>
      </c>
      <c r="C16" s="191" t="s">
        <v>280</v>
      </c>
      <c r="D16" s="190" t="s">
        <v>281</v>
      </c>
      <c r="E16" s="171"/>
    </row>
    <row r="17" spans="1:5" ht="49.5" customHeight="1" x14ac:dyDescent="0.25">
      <c r="A17" s="172"/>
      <c r="B17" s="192" t="s">
        <v>282</v>
      </c>
      <c r="C17" s="193" t="s">
        <v>283</v>
      </c>
      <c r="D17" s="192" t="s">
        <v>284</v>
      </c>
      <c r="E17" s="171"/>
    </row>
    <row r="18" spans="1:5" x14ac:dyDescent="0.25">
      <c r="A18" s="172"/>
      <c r="B18" s="185"/>
      <c r="C18" s="185"/>
      <c r="D18" s="185"/>
      <c r="E18" s="171"/>
    </row>
    <row r="19" spans="1:5" ht="16.5" thickBot="1" x14ac:dyDescent="0.3">
      <c r="A19" s="172"/>
      <c r="B19" s="185"/>
      <c r="D19" s="185"/>
      <c r="E19" s="171"/>
    </row>
    <row r="20" spans="1:5" ht="16.5" thickBot="1" x14ac:dyDescent="0.3">
      <c r="A20" s="172"/>
      <c r="B20" s="491" t="s">
        <v>285</v>
      </c>
      <c r="C20" s="492"/>
      <c r="D20" s="493"/>
      <c r="E20" s="171"/>
    </row>
    <row r="21" spans="1:5" ht="62.25" customHeight="1" x14ac:dyDescent="0.25">
      <c r="A21" s="172"/>
      <c r="B21" s="494" t="s">
        <v>286</v>
      </c>
      <c r="C21" s="495"/>
      <c r="D21" s="496"/>
      <c r="E21" s="171"/>
    </row>
    <row r="22" spans="1:5" ht="16.5" thickBot="1" x14ac:dyDescent="0.3">
      <c r="A22" s="195"/>
      <c r="B22" s="196"/>
      <c r="C22" s="196"/>
      <c r="D22" s="196"/>
      <c r="E22" s="197"/>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215</v>
      </c>
      <c r="E2" t="s">
        <v>216</v>
      </c>
    </row>
    <row r="3" spans="2:5" x14ac:dyDescent="0.25">
      <c r="B3" t="s">
        <v>217</v>
      </c>
      <c r="E3" t="s">
        <v>114</v>
      </c>
    </row>
    <row r="4" spans="2:5" x14ac:dyDescent="0.25">
      <c r="B4" t="s">
        <v>218</v>
      </c>
      <c r="E4" t="s">
        <v>99</v>
      </c>
    </row>
    <row r="5" spans="2:5" x14ac:dyDescent="0.25">
      <c r="B5" t="s">
        <v>109</v>
      </c>
    </row>
    <row r="8" spans="2:5" x14ac:dyDescent="0.25">
      <c r="B8" t="s">
        <v>219</v>
      </c>
    </row>
    <row r="9" spans="2:5" x14ac:dyDescent="0.25">
      <c r="B9" t="s">
        <v>220</v>
      </c>
    </row>
    <row r="10" spans="2:5" x14ac:dyDescent="0.25">
      <c r="B10" t="s">
        <v>121</v>
      </c>
    </row>
    <row r="13" spans="2:5" x14ac:dyDescent="0.25">
      <c r="B13" t="s">
        <v>221</v>
      </c>
    </row>
    <row r="14" spans="2:5" x14ac:dyDescent="0.25">
      <c r="B14" t="s">
        <v>116</v>
      </c>
    </row>
    <row r="15" spans="2:5" x14ac:dyDescent="0.25">
      <c r="B15" t="s">
        <v>222</v>
      </c>
    </row>
    <row r="16" spans="2:5" x14ac:dyDescent="0.25">
      <c r="B16" t="s">
        <v>223</v>
      </c>
    </row>
    <row r="17" spans="2:2" x14ac:dyDescent="0.25">
      <c r="B17" t="s">
        <v>224</v>
      </c>
    </row>
    <row r="18" spans="2:2" x14ac:dyDescent="0.25">
      <c r="B18" t="s">
        <v>225</v>
      </c>
    </row>
    <row r="19" spans="2:2" x14ac:dyDescent="0.25">
      <c r="B19" t="s">
        <v>102</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9" customWidth="1"/>
    <col min="2" max="16384" width="11.42578125" style="9"/>
  </cols>
  <sheetData>
    <row r="3" spans="1:1" x14ac:dyDescent="0.2">
      <c r="A3" s="10" t="s">
        <v>104</v>
      </c>
    </row>
    <row r="4" spans="1:1" x14ac:dyDescent="0.2">
      <c r="A4" s="10" t="s">
        <v>117</v>
      </c>
    </row>
    <row r="5" spans="1:1" x14ac:dyDescent="0.2">
      <c r="A5" s="10" t="s">
        <v>120</v>
      </c>
    </row>
    <row r="6" spans="1:1" x14ac:dyDescent="0.2">
      <c r="A6" s="10" t="s">
        <v>200</v>
      </c>
    </row>
    <row r="7" spans="1:1" x14ac:dyDescent="0.2">
      <c r="A7" s="10" t="s">
        <v>105</v>
      </c>
    </row>
    <row r="8" spans="1:1" x14ac:dyDescent="0.2">
      <c r="A8" s="10" t="s">
        <v>106</v>
      </c>
    </row>
    <row r="9" spans="1:1" x14ac:dyDescent="0.2">
      <c r="A9" s="10" t="s">
        <v>206</v>
      </c>
    </row>
    <row r="10" spans="1:1" x14ac:dyDescent="0.2">
      <c r="A10" s="10" t="s">
        <v>107</v>
      </c>
    </row>
    <row r="11" spans="1:1" x14ac:dyDescent="0.2">
      <c r="A11" s="10" t="s">
        <v>209</v>
      </c>
    </row>
    <row r="12" spans="1:1" x14ac:dyDescent="0.2">
      <c r="A12" s="10" t="s">
        <v>226</v>
      </c>
    </row>
    <row r="13" spans="1:1" x14ac:dyDescent="0.2">
      <c r="A13" s="10" t="s">
        <v>227</v>
      </c>
    </row>
    <row r="14" spans="1:1" x14ac:dyDescent="0.2">
      <c r="A14" s="10" t="s">
        <v>228</v>
      </c>
    </row>
    <row r="16" spans="1:1" x14ac:dyDescent="0.2">
      <c r="A16" s="10" t="s">
        <v>229</v>
      </c>
    </row>
    <row r="17" spans="1:1" x14ac:dyDescent="0.2">
      <c r="A17" s="10" t="s">
        <v>215</v>
      </c>
    </row>
    <row r="18" spans="1:1" x14ac:dyDescent="0.2">
      <c r="A18" s="10" t="s">
        <v>217</v>
      </c>
    </row>
    <row r="20" spans="1:1" x14ac:dyDescent="0.2">
      <c r="A20" s="10" t="s">
        <v>220</v>
      </c>
    </row>
    <row r="21" spans="1:1" x14ac:dyDescent="0.2">
      <c r="A21" s="10"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2026-04-09T17:07:58Z</dcterms:modified>
  <cp:category/>
  <cp:contentStatus/>
</cp:coreProperties>
</file>