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4F2ACF5D-D443-4583-B397-23CFBD8E8D9A}"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 r:id="rId12"/>
    <externalReference r:id="rId13"/>
  </externalReferences>
  <calcPr calcId="191028"/>
  <pivotCaches>
    <pivotCache cacheId="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2" i="1" l="1"/>
  <c r="AR12" i="1"/>
  <c r="AS12" i="1" s="1"/>
  <c r="AT12" i="1" s="1"/>
  <c r="AP12" i="1"/>
  <c r="AR30" i="1"/>
  <c r="AS30" i="1" s="1"/>
  <c r="AT30" i="1" s="1"/>
  <c r="AP30" i="1"/>
  <c r="AR29" i="1"/>
  <c r="AS29" i="1" s="1"/>
  <c r="AT29" i="1" s="1"/>
  <c r="AP29" i="1"/>
  <c r="AR28" i="1"/>
  <c r="AS28" i="1" s="1"/>
  <c r="AT28" i="1" s="1"/>
  <c r="AP28" i="1"/>
  <c r="AR27" i="1"/>
  <c r="AS27" i="1" s="1"/>
  <c r="AT27" i="1" s="1"/>
  <c r="AP27" i="1"/>
  <c r="AR26" i="1"/>
  <c r="AS26" i="1" s="1"/>
  <c r="AT26" i="1" s="1"/>
  <c r="AP26" i="1"/>
  <c r="AR25" i="1"/>
  <c r="AS25" i="1" s="1"/>
  <c r="AT25" i="1" s="1"/>
  <c r="AP25" i="1"/>
  <c r="AR24" i="1"/>
  <c r="AS24" i="1" s="1"/>
  <c r="AT24" i="1" s="1"/>
  <c r="AP24" i="1"/>
  <c r="AR23" i="1"/>
  <c r="AS23" i="1" s="1"/>
  <c r="AT23" i="1" s="1"/>
  <c r="AP23" i="1"/>
  <c r="AR22" i="1"/>
  <c r="AS22" i="1" s="1"/>
  <c r="AT22" i="1" s="1"/>
  <c r="AP22" i="1"/>
  <c r="AR21" i="1"/>
  <c r="AS21" i="1" s="1"/>
  <c r="AT21" i="1" s="1"/>
  <c r="AP21" i="1"/>
  <c r="AR20" i="1"/>
  <c r="AS20" i="1" s="1"/>
  <c r="AT20" i="1" s="1"/>
  <c r="AP20" i="1"/>
  <c r="AR19" i="1"/>
  <c r="AS19" i="1" s="1"/>
  <c r="AT19" i="1" s="1"/>
  <c r="AP19" i="1"/>
  <c r="AR18" i="1"/>
  <c r="AS18" i="1" s="1"/>
  <c r="AT18" i="1" s="1"/>
  <c r="AP18" i="1"/>
  <c r="AR17" i="1"/>
  <c r="AS17" i="1" s="1"/>
  <c r="AT17" i="1" s="1"/>
  <c r="AP17" i="1"/>
  <c r="AR16" i="1"/>
  <c r="AS16" i="1" s="1"/>
  <c r="AT16" i="1" s="1"/>
  <c r="AP16" i="1"/>
  <c r="AR15" i="1"/>
  <c r="AS15" i="1" s="1"/>
  <c r="AT15" i="1" s="1"/>
  <c r="AP15" i="1"/>
  <c r="AR14" i="1"/>
  <c r="AS14" i="1" s="1"/>
  <c r="AT14" i="1" s="1"/>
  <c r="AP14" i="1"/>
  <c r="AR13" i="1"/>
  <c r="AS13" i="1" s="1"/>
  <c r="AT13" i="1" s="1"/>
  <c r="AP13" i="1"/>
  <c r="V58" i="1"/>
  <c r="W58" i="1" s="1"/>
  <c r="X58" i="1" s="1"/>
  <c r="T58" i="1"/>
  <c r="V57" i="1"/>
  <c r="W57" i="1" s="1"/>
  <c r="X57" i="1" s="1"/>
  <c r="T57" i="1"/>
  <c r="V56" i="1"/>
  <c r="W56" i="1" s="1"/>
  <c r="X56" i="1" s="1"/>
  <c r="T56" i="1"/>
  <c r="V55" i="1"/>
  <c r="W55" i="1" s="1"/>
  <c r="X55" i="1" s="1"/>
  <c r="T55" i="1"/>
  <c r="V54" i="1"/>
  <c r="W54" i="1" s="1"/>
  <c r="X54" i="1" s="1"/>
  <c r="T54" i="1"/>
  <c r="V53" i="1"/>
  <c r="W53" i="1" s="1"/>
  <c r="X53" i="1" s="1"/>
  <c r="T53" i="1"/>
  <c r="V52" i="1"/>
  <c r="W52" i="1" s="1"/>
  <c r="X52" i="1" s="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V45" i="1"/>
  <c r="W45" i="1" s="1"/>
  <c r="X45" i="1" s="1"/>
  <c r="T45" i="1"/>
  <c r="V44" i="1"/>
  <c r="W44" i="1" s="1"/>
  <c r="X44" i="1" s="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V37" i="1"/>
  <c r="W37" i="1" s="1"/>
  <c r="X37" i="1" s="1"/>
  <c r="T37" i="1"/>
  <c r="V36" i="1"/>
  <c r="W36" i="1" s="1"/>
  <c r="X36" i="1" s="1"/>
  <c r="T36" i="1"/>
  <c r="V35" i="1"/>
  <c r="W35" i="1" s="1"/>
  <c r="X35" i="1" s="1"/>
  <c r="T35" i="1"/>
  <c r="V34" i="1"/>
  <c r="W34" i="1" s="1"/>
  <c r="X34" i="1" s="1"/>
  <c r="T34" i="1"/>
  <c r="V33" i="1"/>
  <c r="W33" i="1" s="1"/>
  <c r="X33" i="1" s="1"/>
  <c r="T33" i="1"/>
  <c r="V32" i="1"/>
  <c r="W32" i="1" s="1"/>
  <c r="X32" i="1" s="1"/>
  <c r="T32" i="1"/>
  <c r="V31" i="1"/>
  <c r="W31" i="1" s="1"/>
  <c r="X31" i="1" s="1"/>
  <c r="T31" i="1"/>
  <c r="V30" i="1"/>
  <c r="W30" i="1" s="1"/>
  <c r="X30" i="1" s="1"/>
  <c r="T30" i="1"/>
  <c r="V29" i="1"/>
  <c r="W29" i="1" s="1"/>
  <c r="X29" i="1" s="1"/>
  <c r="T29" i="1"/>
  <c r="V28" i="1"/>
  <c r="W28" i="1" s="1"/>
  <c r="X28" i="1" s="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V21" i="1"/>
  <c r="W21" i="1" s="1"/>
  <c r="X21" i="1" s="1"/>
  <c r="T21" i="1"/>
  <c r="V20" i="1"/>
  <c r="W20" i="1" s="1"/>
  <c r="X20" i="1" s="1"/>
  <c r="T20" i="1"/>
  <c r="V19" i="1"/>
  <c r="W19" i="1" s="1"/>
  <c r="X19" i="1" s="1"/>
  <c r="T19" i="1"/>
  <c r="V18" i="1"/>
  <c r="W18" i="1" s="1"/>
  <c r="X18" i="1" s="1"/>
  <c r="T18" i="1"/>
  <c r="V17" i="1"/>
  <c r="W17" i="1" s="1"/>
  <c r="X17" i="1" s="1"/>
  <c r="T17" i="1"/>
  <c r="V16" i="1"/>
  <c r="W16" i="1" s="1"/>
  <c r="X16" i="1" s="1"/>
  <c r="T16" i="1"/>
  <c r="V15" i="1"/>
  <c r="W15" i="1" s="1"/>
  <c r="X15" i="1" s="1"/>
  <c r="T15" i="1"/>
  <c r="V13" i="1"/>
  <c r="W13" i="1" s="1"/>
  <c r="X13" i="1" s="1"/>
  <c r="T13" i="1"/>
  <c r="V12" i="1"/>
  <c r="W12" i="1" s="1"/>
  <c r="X12" i="1" s="1"/>
  <c r="T12" i="1"/>
  <c r="V11" i="1"/>
  <c r="W11" i="1" s="1"/>
  <c r="X11" i="1" s="1"/>
  <c r="T11" i="1"/>
  <c r="AD11" i="1" l="1"/>
  <c r="AA11" i="1"/>
  <c r="L11" i="1"/>
  <c r="M11" i="1" s="1"/>
  <c r="O27" i="1"/>
  <c r="O51" i="1"/>
  <c r="O50" i="1"/>
  <c r="O48" i="1"/>
  <c r="O43" i="1"/>
  <c r="O37" i="1"/>
  <c r="O19" i="1"/>
  <c r="O22" i="1"/>
  <c r="O39" i="1"/>
  <c r="O54" i="1"/>
  <c r="O33" i="1"/>
  <c r="O46" i="1"/>
  <c r="O24" i="1"/>
  <c r="O56" i="1"/>
  <c r="O45" i="1"/>
  <c r="O32" i="1"/>
  <c r="O21" i="1"/>
  <c r="O36" i="1"/>
  <c r="O55" i="1"/>
  <c r="O26" i="1"/>
  <c r="O18" i="1"/>
  <c r="O40" i="1"/>
  <c r="O38" i="1"/>
  <c r="O30" i="1"/>
  <c r="O58" i="1"/>
  <c r="O44" i="1"/>
  <c r="O34" i="1"/>
  <c r="O15" i="1"/>
  <c r="O31" i="1"/>
  <c r="O28" i="1"/>
  <c r="O42" i="1"/>
  <c r="O49" i="1"/>
  <c r="O52" i="1"/>
  <c r="O57" i="1"/>
  <c r="O25" i="1"/>
  <c r="O16" i="1"/>
  <c r="F221" i="13" l="1"/>
  <c r="F211" i="13"/>
  <c r="F212" i="13"/>
  <c r="F213" i="13"/>
  <c r="F214" i="13"/>
  <c r="F215" i="13"/>
  <c r="F216" i="13"/>
  <c r="F217" i="13"/>
  <c r="F218" i="13"/>
  <c r="F219" i="13"/>
  <c r="F220" i="13"/>
  <c r="F210" i="13"/>
  <c r="B221" i="13" a="1"/>
  <c r="O13" i="1"/>
  <c r="O12" i="1"/>
  <c r="B221" i="13" l="1"/>
  <c r="AA41" i="1"/>
  <c r="AA36" i="1"/>
  <c r="AA30"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AD58" i="1" l="1"/>
  <c r="AA58" i="1"/>
  <c r="AD57" i="1"/>
  <c r="AA57" i="1"/>
  <c r="AD56" i="1"/>
  <c r="AA56" i="1"/>
  <c r="AD55" i="1"/>
  <c r="AA55" i="1"/>
  <c r="AD54" i="1"/>
  <c r="AA54" i="1"/>
  <c r="AD53" i="1"/>
  <c r="AA53" i="1"/>
  <c r="L53" i="1"/>
  <c r="M53" i="1" s="1"/>
  <c r="AD52" i="1"/>
  <c r="AA52" i="1"/>
  <c r="AD51" i="1"/>
  <c r="AA51" i="1"/>
  <c r="AD50" i="1"/>
  <c r="AA50" i="1"/>
  <c r="AD49" i="1"/>
  <c r="AA49" i="1"/>
  <c r="AD48" i="1"/>
  <c r="AA48" i="1"/>
  <c r="AD47" i="1"/>
  <c r="AA47" i="1"/>
  <c r="L47" i="1"/>
  <c r="M47" i="1" s="1"/>
  <c r="AD46" i="1"/>
  <c r="AA46" i="1"/>
  <c r="AD45" i="1"/>
  <c r="AA45" i="1"/>
  <c r="AD44" i="1"/>
  <c r="AA44" i="1"/>
  <c r="AD43" i="1"/>
  <c r="AA43" i="1"/>
  <c r="AD42" i="1"/>
  <c r="AA42" i="1"/>
  <c r="AL42" i="1" s="1"/>
  <c r="AD41" i="1"/>
  <c r="L41" i="1"/>
  <c r="M41" i="1" s="1"/>
  <c r="AD40" i="1"/>
  <c r="AA40" i="1"/>
  <c r="AD39" i="1"/>
  <c r="AA39" i="1"/>
  <c r="AD38" i="1"/>
  <c r="AA38" i="1"/>
  <c r="AD37" i="1"/>
  <c r="AA37" i="1"/>
  <c r="AD36" i="1"/>
  <c r="AD35" i="1"/>
  <c r="AA35" i="1"/>
  <c r="AL36" i="1" s="1"/>
  <c r="L35" i="1"/>
  <c r="M35" i="1" s="1"/>
  <c r="AD34" i="1"/>
  <c r="AA34" i="1"/>
  <c r="AD33" i="1"/>
  <c r="AA33" i="1"/>
  <c r="AD32" i="1"/>
  <c r="AA32" i="1"/>
  <c r="AD31" i="1"/>
  <c r="AA31" i="1"/>
  <c r="AD30" i="1"/>
  <c r="AD29" i="1"/>
  <c r="AA29" i="1"/>
  <c r="AL30" i="1" s="1"/>
  <c r="L29" i="1"/>
  <c r="M29" i="1" s="1"/>
  <c r="AD28" i="1"/>
  <c r="AA28" i="1"/>
  <c r="AD27" i="1"/>
  <c r="AA27" i="1"/>
  <c r="AD26" i="1"/>
  <c r="AA26" i="1"/>
  <c r="AD25" i="1"/>
  <c r="AA25" i="1"/>
  <c r="AD24" i="1"/>
  <c r="AA24" i="1"/>
  <c r="AD23" i="1"/>
  <c r="AA23" i="1"/>
  <c r="L23" i="1"/>
  <c r="M23" i="1" s="1"/>
  <c r="AD22" i="1"/>
  <c r="AA22" i="1"/>
  <c r="AD21" i="1"/>
  <c r="AA21" i="1"/>
  <c r="AD20" i="1"/>
  <c r="AA20" i="1"/>
  <c r="L20" i="1"/>
  <c r="M20" i="1" s="1"/>
  <c r="AD19" i="1"/>
  <c r="AA19" i="1"/>
  <c r="AD18" i="1"/>
  <c r="AA18" i="1"/>
  <c r="AD17" i="1"/>
  <c r="AA17" i="1"/>
  <c r="L17" i="1"/>
  <c r="M17" i="1" s="1"/>
  <c r="L14" i="1"/>
  <c r="AD16" i="1"/>
  <c r="AA16" i="1"/>
  <c r="AD15" i="1"/>
  <c r="AA15" i="1"/>
  <c r="AD14" i="1"/>
  <c r="AA14" i="1"/>
  <c r="AL54" i="1" l="1"/>
  <c r="AL21" i="1"/>
  <c r="AL15" i="1"/>
  <c r="AL24" i="1"/>
  <c r="AL48" i="1"/>
  <c r="AL39" i="1"/>
  <c r="AK39" i="1" s="1"/>
  <c r="AL40" i="1"/>
  <c r="AK40" i="1" s="1"/>
  <c r="M14" i="1"/>
  <c r="AH14" i="1" s="1"/>
  <c r="AH53" i="1"/>
  <c r="AH47" i="1"/>
  <c r="AH41" i="1"/>
  <c r="AH35" i="1"/>
  <c r="AH39" i="1"/>
  <c r="AH40" i="1"/>
  <c r="AH29" i="1"/>
  <c r="AH23" i="1"/>
  <c r="AH20" i="1"/>
  <c r="AH17" i="1"/>
  <c r="AI53" i="1" l="1"/>
  <c r="AJ53" i="1"/>
  <c r="AH54" i="1" s="1"/>
  <c r="AI54" i="1" s="1"/>
  <c r="AI47" i="1"/>
  <c r="AJ47" i="1"/>
  <c r="AH48" i="1" s="1"/>
  <c r="AJ48" i="1" s="1"/>
  <c r="AH49" i="1" s="1"/>
  <c r="AI41" i="1"/>
  <c r="AJ41" i="1"/>
  <c r="AH42" i="1" s="1"/>
  <c r="AJ42" i="1" s="1"/>
  <c r="AH43" i="1" s="1"/>
  <c r="AI40" i="1"/>
  <c r="AJ40" i="1"/>
  <c r="AI39" i="1"/>
  <c r="AJ39" i="1"/>
  <c r="AI35" i="1"/>
  <c r="AJ35" i="1"/>
  <c r="AI29" i="1"/>
  <c r="AJ29" i="1"/>
  <c r="AH30" i="1" s="1"/>
  <c r="AJ30" i="1" s="1"/>
  <c r="AH31" i="1" s="1"/>
  <c r="AI23" i="1"/>
  <c r="AJ23" i="1"/>
  <c r="AI20" i="1"/>
  <c r="AJ20" i="1"/>
  <c r="AH21" i="1" s="1"/>
  <c r="AJ21" i="1" s="1"/>
  <c r="AH22" i="1" s="1"/>
  <c r="AI22" i="1" s="1"/>
  <c r="AI17" i="1"/>
  <c r="AJ17" i="1"/>
  <c r="AH18" i="1" s="1"/>
  <c r="AI18" i="1" s="1"/>
  <c r="AI14" i="1"/>
  <c r="AJ14" i="1"/>
  <c r="AH15" i="1" s="1"/>
  <c r="AI48" i="1" l="1"/>
  <c r="AI42" i="1"/>
  <c r="AJ18" i="1"/>
  <c r="AH19" i="1" s="1"/>
  <c r="AI19" i="1" s="1"/>
  <c r="AI30" i="1"/>
  <c r="AI21" i="1"/>
  <c r="AI31" i="1"/>
  <c r="AJ31" i="1"/>
  <c r="AJ49" i="1"/>
  <c r="AH50" i="1" s="1"/>
  <c r="AI49" i="1"/>
  <c r="AJ43" i="1"/>
  <c r="AH44" i="1" s="1"/>
  <c r="AI43" i="1"/>
  <c r="AJ54" i="1"/>
  <c r="AH55" i="1" s="1"/>
  <c r="AH24" i="1"/>
  <c r="AH36" i="1"/>
  <c r="AH37" i="1"/>
  <c r="AJ22"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M39" i="1"/>
  <c r="AM40" i="1"/>
  <c r="AD12" i="1"/>
  <c r="AD13" i="1"/>
  <c r="AI50" i="1" l="1"/>
  <c r="AJ50" i="1"/>
  <c r="AI44" i="1"/>
  <c r="AJ44" i="1"/>
  <c r="AH45" i="1" s="1"/>
  <c r="AJ19" i="1"/>
  <c r="AI37" i="1"/>
  <c r="AJ37" i="1"/>
  <c r="AH38" i="1" s="1"/>
  <c r="AI55" i="1"/>
  <c r="AJ55" i="1"/>
  <c r="AH56" i="1" s="1"/>
  <c r="AI36" i="1"/>
  <c r="AJ36" i="1"/>
  <c r="AH32" i="1"/>
  <c r="AI24" i="1"/>
  <c r="AJ24" i="1"/>
  <c r="AH25" i="1" s="1"/>
  <c r="AI25" i="1" s="1"/>
  <c r="AI15" i="1"/>
  <c r="AJ15" i="1"/>
  <c r="AH16" i="1" s="1"/>
  <c r="AI16" i="1" s="1"/>
  <c r="AJ25" i="1" l="1"/>
  <c r="AH26" i="1" s="1"/>
  <c r="AJ26" i="1" s="1"/>
  <c r="AH27" i="1" s="1"/>
  <c r="AI45" i="1"/>
  <c r="AJ45" i="1"/>
  <c r="AH46" i="1" s="1"/>
  <c r="AH51" i="1"/>
  <c r="AH52" i="1"/>
  <c r="AI32" i="1"/>
  <c r="AJ32" i="1"/>
  <c r="AH33" i="1" s="1"/>
  <c r="AI33" i="1" s="1"/>
  <c r="AI38" i="1"/>
  <c r="AJ38" i="1"/>
  <c r="AJ56" i="1"/>
  <c r="AI56" i="1"/>
  <c r="AJ16" i="1"/>
  <c r="AA13" i="1"/>
  <c r="AI26" i="1" l="1"/>
  <c r="AI52" i="1"/>
  <c r="AJ52" i="1"/>
  <c r="AI51" i="1"/>
  <c r="AJ51" i="1"/>
  <c r="AI46" i="1"/>
  <c r="AJ46" i="1"/>
  <c r="AH57" i="1"/>
  <c r="AH58" i="1"/>
  <c r="AJ33" i="1"/>
  <c r="AH34" i="1" s="1"/>
  <c r="AI34" i="1" s="1"/>
  <c r="AJ27" i="1"/>
  <c r="AH28" i="1" s="1"/>
  <c r="AI27" i="1"/>
  <c r="AH11" i="1"/>
  <c r="AI11" i="1" s="1"/>
  <c r="AI58" i="1" l="1"/>
  <c r="AJ58" i="1"/>
  <c r="AI57" i="1"/>
  <c r="AJ57" i="1"/>
  <c r="AI28" i="1"/>
  <c r="AJ28" i="1"/>
  <c r="AJ34" i="1"/>
  <c r="AL12" i="1"/>
  <c r="AJ11" i="1" l="1"/>
  <c r="AH12" i="1" s="1"/>
  <c r="AI12" i="1" l="1"/>
  <c r="AJ12" i="1" l="1"/>
  <c r="AH13" i="1" s="1"/>
  <c r="AI13" i="1" s="1"/>
  <c r="AJ13" i="1" l="1"/>
  <c r="AL55" i="1" l="1"/>
  <c r="AL47" i="1"/>
  <c r="AL29" i="1"/>
  <c r="AK29" i="1" s="1"/>
  <c r="AL41" i="1"/>
  <c r="AK41" i="1" s="1"/>
  <c r="AL35" i="1"/>
  <c r="AK35" i="1" s="1"/>
  <c r="J11" i="19" l="1"/>
  <c r="V11" i="19"/>
  <c r="AB21" i="19"/>
  <c r="P31" i="19"/>
  <c r="J31" i="19"/>
  <c r="AB41" i="19"/>
  <c r="AM29" i="1"/>
  <c r="AH41" i="19"/>
  <c r="P41" i="19"/>
  <c r="J21" i="19"/>
  <c r="AB31" i="19"/>
  <c r="AB51" i="19"/>
  <c r="P21" i="19"/>
  <c r="V41" i="19"/>
  <c r="V31" i="19"/>
  <c r="AH21" i="19"/>
  <c r="AB11" i="19"/>
  <c r="P51" i="19"/>
  <c r="V21" i="19"/>
  <c r="AH31" i="19"/>
  <c r="V51" i="19"/>
  <c r="J51" i="19"/>
  <c r="AH51" i="19"/>
  <c r="AH11" i="19"/>
  <c r="J41" i="19"/>
  <c r="P11" i="19"/>
  <c r="AL19" i="1"/>
  <c r="AM41"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K47" i="1"/>
  <c r="AK54" i="1"/>
  <c r="AL13" i="1"/>
  <c r="AK12" i="1"/>
  <c r="AK55" i="1"/>
  <c r="AL56" i="1"/>
  <c r="AL25" i="1"/>
  <c r="AK24" i="1"/>
  <c r="AK30" i="1"/>
  <c r="AL31" i="1"/>
  <c r="AK31" i="1" s="1"/>
  <c r="AL32" i="1"/>
  <c r="V32" i="19"/>
  <c r="P42" i="19"/>
  <c r="J12" i="19"/>
  <c r="J32" i="19"/>
  <c r="AB52" i="19"/>
  <c r="AM35" i="1"/>
  <c r="J22" i="19"/>
  <c r="V22" i="19"/>
  <c r="J52" i="19"/>
  <c r="AH12" i="19"/>
  <c r="J42" i="19"/>
  <c r="AH42" i="19"/>
  <c r="P32" i="19"/>
  <c r="AB12" i="19"/>
  <c r="AH32" i="19"/>
  <c r="AB32" i="19"/>
  <c r="AB42" i="19"/>
  <c r="V42" i="19"/>
  <c r="V12" i="19"/>
  <c r="V52" i="19"/>
  <c r="AB22" i="19"/>
  <c r="AH52" i="19"/>
  <c r="AH22" i="19"/>
  <c r="P22" i="19"/>
  <c r="P12" i="19"/>
  <c r="P52" i="19"/>
  <c r="AL37" i="1"/>
  <c r="AK37" i="1" s="1"/>
  <c r="AL38" i="1"/>
  <c r="AK38" i="1" s="1"/>
  <c r="AK36" i="1"/>
  <c r="AL16" i="1"/>
  <c r="AK15" i="1"/>
  <c r="AK42" i="1"/>
  <c r="AL43" i="1"/>
  <c r="AK48" i="1"/>
  <c r="AL49" i="1"/>
  <c r="AK21" i="1"/>
  <c r="AL22" i="1"/>
  <c r="W37" i="19" l="1"/>
  <c r="AI7" i="19"/>
  <c r="W17" i="19"/>
  <c r="W27" i="19"/>
  <c r="Q47" i="19"/>
  <c r="W7" i="19"/>
  <c r="AI17" i="19"/>
  <c r="K47" i="19"/>
  <c r="AI47" i="19"/>
  <c r="Q27" i="19"/>
  <c r="AC27" i="19"/>
  <c r="AC47" i="19"/>
  <c r="AC37" i="19"/>
  <c r="AI37" i="19"/>
  <c r="AM15" i="1"/>
  <c r="AC17" i="19"/>
  <c r="K37" i="19"/>
  <c r="AC7" i="19"/>
  <c r="W47" i="19"/>
  <c r="Q37" i="19"/>
  <c r="AI27" i="19"/>
  <c r="Q7" i="19"/>
  <c r="K27" i="19"/>
  <c r="K17" i="19"/>
  <c r="K7" i="19"/>
  <c r="Q17" i="19"/>
  <c r="AK56" i="1"/>
  <c r="AL57" i="1"/>
  <c r="K35" i="19"/>
  <c r="AC25" i="19"/>
  <c r="K45" i="19"/>
  <c r="AI45" i="19"/>
  <c r="W45" i="19"/>
  <c r="Q35" i="19"/>
  <c r="K55" i="19"/>
  <c r="AC15" i="19"/>
  <c r="Q15" i="19"/>
  <c r="AC35" i="19"/>
  <c r="AI35" i="19"/>
  <c r="Q55" i="19"/>
  <c r="AI25" i="19"/>
  <c r="AM54"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M48"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M30" i="1"/>
  <c r="AD55" i="19"/>
  <c r="R15" i="19"/>
  <c r="AJ35" i="19"/>
  <c r="AM55"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M47"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M37" i="1"/>
  <c r="AD12" i="19"/>
  <c r="AD32" i="19"/>
  <c r="AD22" i="19"/>
  <c r="X52" i="19"/>
  <c r="AD52" i="19"/>
  <c r="L42" i="19"/>
  <c r="R42" i="19"/>
  <c r="AJ21" i="19"/>
  <c r="AD31" i="19"/>
  <c r="R21" i="19"/>
  <c r="AD41" i="19"/>
  <c r="AJ11" i="19"/>
  <c r="AJ51" i="19"/>
  <c r="AM31" i="1"/>
  <c r="L41" i="19"/>
  <c r="AD11" i="19"/>
  <c r="L21" i="19"/>
  <c r="L11" i="19"/>
  <c r="X51" i="19"/>
  <c r="X21" i="19"/>
  <c r="R11" i="19"/>
  <c r="R31" i="19"/>
  <c r="AJ41" i="19"/>
  <c r="L31" i="19"/>
  <c r="R51" i="19"/>
  <c r="X31" i="19"/>
  <c r="X11" i="19"/>
  <c r="X41" i="19"/>
  <c r="AJ31" i="19"/>
  <c r="AD51" i="19"/>
  <c r="R41" i="19"/>
  <c r="AD21" i="19"/>
  <c r="L51" i="19"/>
  <c r="AK16" i="1"/>
  <c r="AK22" i="1"/>
  <c r="AK43" i="1"/>
  <c r="AL44" i="1"/>
  <c r="K42" i="19"/>
  <c r="AC32" i="19"/>
  <c r="W42" i="19"/>
  <c r="AI52" i="19"/>
  <c r="K22" i="19"/>
  <c r="Q32" i="19"/>
  <c r="AI12" i="19"/>
  <c r="AC52" i="19"/>
  <c r="Q42" i="19"/>
  <c r="AC42" i="19"/>
  <c r="K12" i="19"/>
  <c r="Q22" i="19"/>
  <c r="W52" i="19"/>
  <c r="AI42" i="19"/>
  <c r="W32" i="19"/>
  <c r="AI22" i="19"/>
  <c r="W12" i="19"/>
  <c r="AI32" i="19"/>
  <c r="AC12" i="19"/>
  <c r="Q12" i="19"/>
  <c r="Q52" i="19"/>
  <c r="AM36" i="1"/>
  <c r="K32" i="19"/>
  <c r="W22" i="19"/>
  <c r="K52" i="19"/>
  <c r="AC22" i="19"/>
  <c r="AC40" i="19"/>
  <c r="W10" i="19"/>
  <c r="AC50" i="19"/>
  <c r="Q10" i="19"/>
  <c r="Q30" i="19"/>
  <c r="W50" i="19"/>
  <c r="K40" i="19"/>
  <c r="Q50" i="19"/>
  <c r="W20" i="19"/>
  <c r="AM24" i="1"/>
  <c r="K10" i="19"/>
  <c r="Q40" i="19"/>
  <c r="K30" i="19"/>
  <c r="AI50" i="19"/>
  <c r="AI20" i="19"/>
  <c r="K50" i="19"/>
  <c r="AI40" i="19"/>
  <c r="W40" i="19"/>
  <c r="K20" i="19"/>
  <c r="AC10" i="19"/>
  <c r="AI10" i="19"/>
  <c r="AC20" i="19"/>
  <c r="AI30" i="19"/>
  <c r="AC30" i="19"/>
  <c r="W30" i="19"/>
  <c r="Q20" i="19"/>
  <c r="AM12" i="1"/>
  <c r="AI6" i="19"/>
  <c r="W26" i="19"/>
  <c r="AI36" i="19"/>
  <c r="W36" i="19"/>
  <c r="K46" i="19"/>
  <c r="Q46" i="19"/>
  <c r="W16" i="19"/>
  <c r="Q6" i="19"/>
  <c r="AI16" i="19"/>
  <c r="K26" i="19"/>
  <c r="AI26" i="19"/>
  <c r="AC36" i="19"/>
  <c r="AI46" i="19"/>
  <c r="AC26" i="19"/>
  <c r="K36" i="19"/>
  <c r="K6" i="19"/>
  <c r="Q36" i="19"/>
  <c r="W46" i="19"/>
  <c r="AC6" i="19"/>
  <c r="K16" i="19"/>
  <c r="AC46" i="19"/>
  <c r="AC16" i="19"/>
  <c r="Q26" i="19"/>
  <c r="Q16" i="19"/>
  <c r="W6" i="19"/>
  <c r="AK19" i="1"/>
  <c r="AK49" i="1"/>
  <c r="AL50" i="1"/>
  <c r="K39" i="19"/>
  <c r="AC39" i="19"/>
  <c r="W29" i="19"/>
  <c r="AI49" i="19"/>
  <c r="W9" i="19"/>
  <c r="AC19" i="19"/>
  <c r="Q49" i="19"/>
  <c r="W49" i="19"/>
  <c r="AC9" i="19"/>
  <c r="AI9" i="19"/>
  <c r="Q29" i="19"/>
  <c r="W39" i="19"/>
  <c r="Q39" i="19"/>
  <c r="AM21"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M42" i="1"/>
  <c r="Q33" i="19"/>
  <c r="AI23" i="19"/>
  <c r="K53" i="19"/>
  <c r="AC23" i="19"/>
  <c r="AC13" i="19"/>
  <c r="W23" i="19"/>
  <c r="W33" i="19"/>
  <c r="Q13" i="19"/>
  <c r="W13" i="19"/>
  <c r="AI13" i="19"/>
  <c r="Q43" i="19"/>
  <c r="Q23" i="19"/>
  <c r="W53" i="19"/>
  <c r="M12" i="19"/>
  <c r="AK42" i="19"/>
  <c r="AE32" i="19"/>
  <c r="AM38" i="1"/>
  <c r="M52" i="19"/>
  <c r="S12" i="19"/>
  <c r="M32" i="19"/>
  <c r="S52" i="19"/>
  <c r="Y52" i="19"/>
  <c r="Y42" i="19"/>
  <c r="AK12" i="19"/>
  <c r="S22" i="19"/>
  <c r="AE12" i="19"/>
  <c r="Y22" i="19"/>
  <c r="S32" i="19"/>
  <c r="AK52" i="19"/>
  <c r="M22" i="19"/>
  <c r="AK32" i="19"/>
  <c r="AE22" i="19"/>
  <c r="AE42" i="19"/>
  <c r="Y32" i="19"/>
  <c r="M42" i="19"/>
  <c r="Y12" i="19"/>
  <c r="AE52" i="19"/>
  <c r="AK22" i="19"/>
  <c r="S42" i="19"/>
  <c r="AK32" i="1"/>
  <c r="AL34" i="1"/>
  <c r="AK34" i="1" s="1"/>
  <c r="AL33" i="1"/>
  <c r="AK33" i="1" s="1"/>
  <c r="AK25" i="1"/>
  <c r="AL26" i="1"/>
  <c r="AK13" i="1"/>
  <c r="R40" i="19" l="1"/>
  <c r="AD10" i="19"/>
  <c r="X40" i="19"/>
  <c r="AJ10" i="19"/>
  <c r="R50" i="19"/>
  <c r="X10" i="19"/>
  <c r="R30" i="19"/>
  <c r="AM25" i="1"/>
  <c r="L10" i="19"/>
  <c r="L50" i="19"/>
  <c r="AJ20" i="19"/>
  <c r="AJ40" i="19"/>
  <c r="AD30" i="19"/>
  <c r="R20" i="19"/>
  <c r="AD50" i="19"/>
  <c r="AJ30" i="19"/>
  <c r="AJ50" i="19"/>
  <c r="X30" i="19"/>
  <c r="AD20" i="19"/>
  <c r="L40" i="19"/>
  <c r="X50" i="19"/>
  <c r="X20" i="19"/>
  <c r="AD40" i="19"/>
  <c r="R10" i="19"/>
  <c r="L30" i="19"/>
  <c r="L20" i="19"/>
  <c r="AK44" i="1"/>
  <c r="AL45" i="1"/>
  <c r="AK57" i="1"/>
  <c r="AL58" i="1"/>
  <c r="AK58" i="1" s="1"/>
  <c r="AD47" i="19"/>
  <c r="AJ27" i="19"/>
  <c r="AD27" i="19"/>
  <c r="AJ7" i="19"/>
  <c r="AJ37" i="19"/>
  <c r="L27" i="19"/>
  <c r="AD17" i="19"/>
  <c r="L37" i="19"/>
  <c r="R17" i="19"/>
  <c r="AJ17" i="19"/>
  <c r="X7" i="19"/>
  <c r="X47" i="19"/>
  <c r="L7" i="19"/>
  <c r="L17" i="19"/>
  <c r="R27" i="19"/>
  <c r="X27" i="19"/>
  <c r="R7" i="19"/>
  <c r="X17" i="19"/>
  <c r="AJ47" i="19"/>
  <c r="L47" i="19"/>
  <c r="R37" i="19"/>
  <c r="AD7" i="19"/>
  <c r="X37" i="19"/>
  <c r="AM16" i="1"/>
  <c r="R47" i="19"/>
  <c r="AD37" i="19"/>
  <c r="AJ43" i="19"/>
  <c r="AD33" i="19"/>
  <c r="X33" i="19"/>
  <c r="X13" i="19"/>
  <c r="AD43" i="19"/>
  <c r="L43" i="19"/>
  <c r="AM43" i="1"/>
  <c r="X23" i="19"/>
  <c r="R33" i="19"/>
  <c r="R43" i="19"/>
  <c r="AD53" i="19"/>
  <c r="AJ13" i="19"/>
  <c r="R23" i="19"/>
  <c r="R13" i="19"/>
  <c r="AJ53" i="19"/>
  <c r="L33" i="19"/>
  <c r="L23" i="19"/>
  <c r="X43" i="19"/>
  <c r="X53" i="19"/>
  <c r="AD13" i="19"/>
  <c r="L53" i="19"/>
  <c r="L13" i="19"/>
  <c r="AD23" i="19"/>
  <c r="AJ33" i="19"/>
  <c r="AJ23" i="19"/>
  <c r="R53" i="19"/>
  <c r="M55" i="19"/>
  <c r="AK15" i="19"/>
  <c r="AE25" i="19"/>
  <c r="AM56"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M19"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M33" i="1"/>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O11" i="19"/>
  <c r="O21" i="19"/>
  <c r="O51" i="19"/>
  <c r="AA31" i="19"/>
  <c r="AM31" i="19"/>
  <c r="AG51" i="19"/>
  <c r="AA41" i="19"/>
  <c r="AM11" i="19"/>
  <c r="U21" i="19"/>
  <c r="AG41" i="19"/>
  <c r="AM21" i="19"/>
  <c r="AM51" i="19"/>
  <c r="O41" i="19"/>
  <c r="U11" i="19"/>
  <c r="AG31" i="19"/>
  <c r="U41" i="19"/>
  <c r="AM34" i="1"/>
  <c r="AG11" i="19"/>
  <c r="AM41" i="19"/>
  <c r="AA21" i="19"/>
  <c r="AA51" i="19"/>
  <c r="U51" i="19"/>
  <c r="U31" i="19"/>
  <c r="AA11" i="19"/>
  <c r="AG21" i="19"/>
  <c r="O31" i="19"/>
  <c r="AK50" i="1"/>
  <c r="AL51" i="1"/>
  <c r="AJ46" i="19"/>
  <c r="AD46" i="19"/>
  <c r="L36" i="19"/>
  <c r="X16" i="19"/>
  <c r="AJ26" i="19"/>
  <c r="L46" i="19"/>
  <c r="X6" i="19"/>
  <c r="R36" i="19"/>
  <c r="X36" i="19"/>
  <c r="R6" i="19"/>
  <c r="AJ6" i="19"/>
  <c r="AD36" i="19"/>
  <c r="R46" i="19"/>
  <c r="AD26" i="19"/>
  <c r="L16" i="19"/>
  <c r="AD16" i="19"/>
  <c r="AM13" i="1"/>
  <c r="X46" i="19"/>
  <c r="X26" i="19"/>
  <c r="AJ36" i="19"/>
  <c r="R26" i="19"/>
  <c r="AD6" i="19"/>
  <c r="L6" i="19"/>
  <c r="L26" i="19"/>
  <c r="R16" i="19"/>
  <c r="AJ16" i="19"/>
  <c r="AK26" i="1"/>
  <c r="AL27" i="1"/>
  <c r="AE11" i="19"/>
  <c r="Y41" i="19"/>
  <c r="M41" i="19"/>
  <c r="Y21" i="19"/>
  <c r="AK41" i="19"/>
  <c r="S31" i="19"/>
  <c r="M31" i="19"/>
  <c r="M51" i="19"/>
  <c r="Y51" i="19"/>
  <c r="AK21" i="19"/>
  <c r="AK31" i="19"/>
  <c r="Y11" i="19"/>
  <c r="AE41" i="19"/>
  <c r="AE21" i="19"/>
  <c r="S51" i="19"/>
  <c r="AE51" i="19"/>
  <c r="AK51" i="19"/>
  <c r="M21" i="19"/>
  <c r="AE31" i="19"/>
  <c r="AM32" i="1"/>
  <c r="S41" i="19"/>
  <c r="AK11" i="19"/>
  <c r="S11" i="19"/>
  <c r="Y31" i="19"/>
  <c r="S21" i="19"/>
  <c r="M11" i="19"/>
  <c r="L54" i="19"/>
  <c r="AJ14" i="19"/>
  <c r="AD44" i="19"/>
  <c r="X54" i="19"/>
  <c r="R14" i="19"/>
  <c r="AD24" i="19"/>
  <c r="AD34" i="19"/>
  <c r="R54" i="19"/>
  <c r="L34" i="19"/>
  <c r="AJ34" i="19"/>
  <c r="X24" i="19"/>
  <c r="AJ24" i="19"/>
  <c r="X44" i="19"/>
  <c r="R24" i="19"/>
  <c r="AM49" i="1"/>
  <c r="X34" i="19"/>
  <c r="L14" i="19"/>
  <c r="AD14" i="19"/>
  <c r="L44" i="19"/>
  <c r="R44" i="19"/>
  <c r="AD54" i="19"/>
  <c r="X14" i="19"/>
  <c r="AJ44" i="19"/>
  <c r="R34" i="19"/>
  <c r="AJ54" i="19"/>
  <c r="L24" i="19"/>
  <c r="AD29" i="19"/>
  <c r="AD19" i="19"/>
  <c r="R39" i="19"/>
  <c r="R9" i="19"/>
  <c r="X49" i="19"/>
  <c r="X9" i="19"/>
  <c r="AD39" i="19"/>
  <c r="R29" i="19"/>
  <c r="L49" i="19"/>
  <c r="X19" i="19"/>
  <c r="X29" i="19"/>
  <c r="X39" i="19"/>
  <c r="L9" i="19"/>
  <c r="AM22" i="1"/>
  <c r="AD9" i="19"/>
  <c r="AJ49" i="19"/>
  <c r="L39" i="19"/>
  <c r="R19" i="19"/>
  <c r="AJ39" i="19"/>
  <c r="AJ29" i="19"/>
  <c r="AJ19" i="19"/>
  <c r="AJ9" i="19"/>
  <c r="AD49" i="19"/>
  <c r="L19" i="19"/>
  <c r="L29" i="19"/>
  <c r="R49" i="19"/>
  <c r="AK27" i="1" l="1"/>
  <c r="AL28" i="1"/>
  <c r="AK28" i="1" s="1"/>
  <c r="AG39" i="19"/>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M50" i="1"/>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M58" i="1"/>
  <c r="AG15" i="19"/>
  <c r="U15" i="19"/>
  <c r="AG55" i="19"/>
  <c r="U55" i="19"/>
  <c r="AE40" i="19"/>
  <c r="Y30" i="19"/>
  <c r="M20" i="19"/>
  <c r="AM26"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M57"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K45" i="1"/>
  <c r="AL46" i="1"/>
  <c r="AK46" i="1" s="1"/>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K51" i="1"/>
  <c r="AL52" i="1"/>
  <c r="AK52" i="1" s="1"/>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M44" i="1"/>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M52" i="1"/>
  <c r="AA14" i="19"/>
  <c r="O54" i="19"/>
  <c r="U44" i="19"/>
  <c r="U43" i="19"/>
  <c r="U13" i="19"/>
  <c r="AM53" i="19"/>
  <c r="AA53" i="19"/>
  <c r="AA43" i="19"/>
  <c r="O53" i="19"/>
  <c r="O23" i="19"/>
  <c r="O13" i="19"/>
  <c r="AG43" i="19"/>
  <c r="U33" i="19"/>
  <c r="U23" i="19"/>
  <c r="AM13" i="19"/>
  <c r="AM23" i="19"/>
  <c r="AG13" i="19"/>
  <c r="AA23" i="19"/>
  <c r="AG33" i="19"/>
  <c r="AA33" i="19"/>
  <c r="AM33" i="19"/>
  <c r="AA13" i="19"/>
  <c r="AM46"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M51" i="1"/>
  <c r="AF53" i="19"/>
  <c r="T43" i="19"/>
  <c r="Z53" i="19"/>
  <c r="N43" i="19"/>
  <c r="T23" i="19"/>
  <c r="AF43" i="19"/>
  <c r="Z13" i="19"/>
  <c r="Z43" i="19"/>
  <c r="AF23" i="19"/>
  <c r="AL13" i="19"/>
  <c r="Z23" i="19"/>
  <c r="AL43" i="19"/>
  <c r="AF13" i="19"/>
  <c r="AL23" i="19"/>
  <c r="N13" i="19"/>
  <c r="T33" i="19"/>
  <c r="AL53" i="19"/>
  <c r="N23" i="19"/>
  <c r="N53" i="19"/>
  <c r="AF33" i="19"/>
  <c r="N33" i="19"/>
  <c r="AM45" i="1"/>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M28"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AM27"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O29" i="1" l="1"/>
  <c r="P29" i="1" s="1"/>
  <c r="O20" i="1"/>
  <c r="P20" i="1" s="1"/>
  <c r="O41" i="1"/>
  <c r="P41" i="1" s="1"/>
  <c r="O14" i="1"/>
  <c r="P14" i="1" s="1"/>
  <c r="O47" i="1"/>
  <c r="P47" i="1" s="1"/>
  <c r="O23" i="1"/>
  <c r="P23" i="1" s="1"/>
  <c r="O11" i="1"/>
  <c r="P11" i="1" s="1"/>
  <c r="O17" i="1"/>
  <c r="P17" i="1" s="1"/>
  <c r="O35" i="1"/>
  <c r="P35" i="1" s="1"/>
  <c r="O53" i="1"/>
  <c r="P53" i="1" s="1"/>
  <c r="J20" i="18" l="1"/>
  <c r="AB28" i="18"/>
  <c r="R53" i="1"/>
  <c r="AH20" i="18"/>
  <c r="AB12" i="18"/>
  <c r="J36" i="18"/>
  <c r="AB44" i="18"/>
  <c r="J28" i="18"/>
  <c r="V12" i="18"/>
  <c r="AH44" i="18"/>
  <c r="AB36" i="18"/>
  <c r="V36" i="18"/>
  <c r="Q53" i="1"/>
  <c r="AL53" i="1" s="1"/>
  <c r="AK53" i="1" s="1"/>
  <c r="J44" i="18"/>
  <c r="P12" i="18"/>
  <c r="P20" i="18"/>
  <c r="V44" i="18"/>
  <c r="V28" i="18"/>
  <c r="AH28" i="18"/>
  <c r="J12" i="18"/>
  <c r="AH12" i="18"/>
  <c r="P28" i="18"/>
  <c r="P44" i="18"/>
  <c r="P36" i="18"/>
  <c r="AH36" i="18"/>
  <c r="AB20" i="18"/>
  <c r="V20" i="18"/>
  <c r="T14" i="18"/>
  <c r="N14" i="18"/>
  <c r="T38" i="18"/>
  <c r="AL14" i="18"/>
  <c r="R17" i="1"/>
  <c r="N6" i="18"/>
  <c r="AF38" i="18"/>
  <c r="N38" i="18"/>
  <c r="AL22" i="18"/>
  <c r="AF14" i="18"/>
  <c r="Z22" i="18"/>
  <c r="Z30" i="18"/>
  <c r="Z14" i="18"/>
  <c r="N30" i="18"/>
  <c r="AL38" i="18"/>
  <c r="T22" i="18"/>
  <c r="AF22" i="18"/>
  <c r="Q17" i="1"/>
  <c r="AL17" i="1" s="1"/>
  <c r="T6" i="18"/>
  <c r="T30" i="18"/>
  <c r="Z38" i="18"/>
  <c r="N22" i="18"/>
  <c r="AL30" i="18"/>
  <c r="AL6" i="18"/>
  <c r="Z6" i="18"/>
  <c r="AF6" i="18"/>
  <c r="AF30" i="18"/>
  <c r="R24" i="18"/>
  <c r="R32" i="18"/>
  <c r="R8" i="18"/>
  <c r="AJ32" i="18"/>
  <c r="X40" i="18"/>
  <c r="L32" i="18"/>
  <c r="X24" i="18"/>
  <c r="Q23" i="1"/>
  <c r="AL23" i="1" s="1"/>
  <c r="AK23" i="1" s="1"/>
  <c r="L40" i="18"/>
  <c r="L24" i="18"/>
  <c r="X32" i="18"/>
  <c r="R16" i="18"/>
  <c r="AD32" i="18"/>
  <c r="L8" i="18"/>
  <c r="AD24" i="18"/>
  <c r="R23" i="1"/>
  <c r="AJ8" i="18"/>
  <c r="X16" i="18"/>
  <c r="AJ40" i="18"/>
  <c r="AD16" i="18"/>
  <c r="L16" i="18"/>
  <c r="AJ16" i="18"/>
  <c r="AD8" i="18"/>
  <c r="X8" i="18"/>
  <c r="R40" i="18"/>
  <c r="AJ24" i="18"/>
  <c r="AD40" i="18"/>
  <c r="X6" i="18"/>
  <c r="R22" i="18"/>
  <c r="R30" i="18"/>
  <c r="X38" i="18"/>
  <c r="R14" i="1"/>
  <c r="Q14" i="1"/>
  <c r="AL14" i="1" s="1"/>
  <c r="AK14" i="1" s="1"/>
  <c r="L30" i="18"/>
  <c r="AJ14" i="18"/>
  <c r="AD6" i="18"/>
  <c r="AJ38" i="18"/>
  <c r="X30" i="18"/>
  <c r="L22" i="18"/>
  <c r="L38" i="18"/>
  <c r="R6" i="18"/>
  <c r="AJ30" i="18"/>
  <c r="X22" i="18"/>
  <c r="AD22" i="18"/>
  <c r="R38" i="18"/>
  <c r="AD30" i="18"/>
  <c r="L14" i="18"/>
  <c r="AD14" i="18"/>
  <c r="L6" i="18"/>
  <c r="AD38" i="18"/>
  <c r="X14" i="18"/>
  <c r="R14" i="18"/>
  <c r="AJ22" i="18"/>
  <c r="AJ6" i="18"/>
  <c r="AB40" i="18"/>
  <c r="AB24" i="18"/>
  <c r="Q20" i="1"/>
  <c r="AL20" i="1" s="1"/>
  <c r="AK20" i="1" s="1"/>
  <c r="P32" i="18"/>
  <c r="P24" i="18"/>
  <c r="P16" i="18"/>
  <c r="V32" i="18"/>
  <c r="AB16" i="18"/>
  <c r="AH24" i="18"/>
  <c r="AH40" i="18"/>
  <c r="AB32" i="18"/>
  <c r="J24" i="18"/>
  <c r="P8" i="18"/>
  <c r="AH32" i="18"/>
  <c r="J16" i="18"/>
  <c r="V40" i="18"/>
  <c r="AH16" i="18"/>
  <c r="AH8" i="18"/>
  <c r="AB8" i="18"/>
  <c r="R20" i="1"/>
  <c r="V16" i="18"/>
  <c r="V24" i="18"/>
  <c r="V8" i="18"/>
  <c r="J32" i="18"/>
  <c r="J40" i="18"/>
  <c r="P40" i="18"/>
  <c r="J8" i="18"/>
  <c r="Q35" i="1"/>
  <c r="P34" i="18"/>
  <c r="AB42" i="18"/>
  <c r="P10" i="18"/>
  <c r="P42" i="18"/>
  <c r="AH42" i="18"/>
  <c r="AH26" i="18"/>
  <c r="AB34" i="18"/>
  <c r="AH18" i="18"/>
  <c r="J10" i="18"/>
  <c r="J18" i="18"/>
  <c r="P26" i="18"/>
  <c r="AH10" i="18"/>
  <c r="V18" i="18"/>
  <c r="AB18" i="18"/>
  <c r="V34" i="18"/>
  <c r="AB26" i="18"/>
  <c r="V10" i="18"/>
  <c r="AB10" i="18"/>
  <c r="J26" i="18"/>
  <c r="P18" i="18"/>
  <c r="J42" i="18"/>
  <c r="AH34" i="18"/>
  <c r="V42" i="18"/>
  <c r="V26" i="18"/>
  <c r="J34" i="18"/>
  <c r="R35" i="1"/>
  <c r="P14" i="18"/>
  <c r="V14" i="18"/>
  <c r="V38" i="18"/>
  <c r="AH38" i="18"/>
  <c r="AB22" i="18"/>
  <c r="AB14" i="18"/>
  <c r="J30" i="18"/>
  <c r="AB6" i="18"/>
  <c r="AH30" i="18"/>
  <c r="AH6" i="18"/>
  <c r="AB30" i="18"/>
  <c r="J6" i="18"/>
  <c r="AH22" i="18"/>
  <c r="R11" i="1"/>
  <c r="P22" i="18"/>
  <c r="J14" i="18"/>
  <c r="V30" i="18"/>
  <c r="P38" i="18"/>
  <c r="J38" i="18"/>
  <c r="J22" i="18"/>
  <c r="P6" i="18"/>
  <c r="V22" i="18"/>
  <c r="AH14" i="18"/>
  <c r="AB38" i="18"/>
  <c r="Q11" i="1"/>
  <c r="AL11" i="1" s="1"/>
  <c r="AK11" i="1" s="1"/>
  <c r="V6" i="18"/>
  <c r="P30" i="18"/>
  <c r="Z42" i="18"/>
  <c r="AF34" i="18"/>
  <c r="N42" i="18"/>
  <c r="AL10" i="18"/>
  <c r="AF42" i="18"/>
  <c r="AL26" i="18"/>
  <c r="Z10" i="18"/>
  <c r="T26" i="18"/>
  <c r="T34" i="18"/>
  <c r="AL18" i="18"/>
  <c r="AF18" i="18"/>
  <c r="AL34" i="18"/>
  <c r="Z34" i="18"/>
  <c r="R47" i="1"/>
  <c r="N34" i="18"/>
  <c r="AF26" i="18"/>
  <c r="AF10" i="18"/>
  <c r="N10" i="18"/>
  <c r="Q47" i="1"/>
  <c r="T10" i="18"/>
  <c r="T42" i="18"/>
  <c r="T18" i="18"/>
  <c r="Z18" i="18"/>
  <c r="N18" i="18"/>
  <c r="N26" i="18"/>
  <c r="Z26" i="18"/>
  <c r="AL42" i="18"/>
  <c r="AD34" i="18"/>
  <c r="AD26" i="18"/>
  <c r="L42" i="18"/>
  <c r="X18" i="18"/>
  <c r="X10" i="18"/>
  <c r="AJ10" i="18"/>
  <c r="AJ34" i="18"/>
  <c r="Q41" i="1"/>
  <c r="AJ26" i="18"/>
  <c r="R34" i="18"/>
  <c r="AJ42" i="18"/>
  <c r="R42" i="18"/>
  <c r="AJ18" i="18"/>
  <c r="X42" i="18"/>
  <c r="L10" i="18"/>
  <c r="X34" i="18"/>
  <c r="AD42" i="18"/>
  <c r="L18" i="18"/>
  <c r="L34" i="18"/>
  <c r="X26" i="18"/>
  <c r="R18" i="18"/>
  <c r="AD18" i="18"/>
  <c r="R41" i="1"/>
  <c r="AD10" i="18"/>
  <c r="L26" i="18"/>
  <c r="R26" i="18"/>
  <c r="R10" i="18"/>
  <c r="AF24" i="18"/>
  <c r="T40" i="18"/>
  <c r="Z40" i="18"/>
  <c r="AF8" i="18"/>
  <c r="Z16" i="18"/>
  <c r="AL24" i="18"/>
  <c r="N32" i="18"/>
  <c r="Z8" i="18"/>
  <c r="N8" i="18"/>
  <c r="T32" i="18"/>
  <c r="AF40" i="18"/>
  <c r="AL32" i="18"/>
  <c r="Z24" i="18"/>
  <c r="R29" i="1"/>
  <c r="Q29" i="1"/>
  <c r="AL8" i="18"/>
  <c r="Z32" i="18"/>
  <c r="N16" i="18"/>
  <c r="N24" i="18"/>
  <c r="AF16" i="18"/>
  <c r="N40" i="18"/>
  <c r="AF32" i="18"/>
  <c r="T8" i="18"/>
  <c r="T24" i="18"/>
  <c r="AL40" i="18"/>
  <c r="T16" i="18"/>
  <c r="AL16" i="18"/>
  <c r="J40" i="19" l="1"/>
  <c r="J10" i="19"/>
  <c r="V30" i="19"/>
  <c r="AB20" i="19"/>
  <c r="AH40" i="19"/>
  <c r="P30" i="19"/>
  <c r="J30" i="19"/>
  <c r="AM23" i="1"/>
  <c r="V20" i="19"/>
  <c r="V10" i="19"/>
  <c r="AB10" i="19"/>
  <c r="P40" i="19"/>
  <c r="AH30" i="19"/>
  <c r="J50" i="19"/>
  <c r="V40" i="19"/>
  <c r="AB40" i="19"/>
  <c r="AB30" i="19"/>
  <c r="AH20" i="19"/>
  <c r="AH50" i="19"/>
  <c r="V50" i="19"/>
  <c r="AB50" i="19"/>
  <c r="P50" i="19"/>
  <c r="AH10" i="19"/>
  <c r="P20" i="19"/>
  <c r="P10" i="19"/>
  <c r="J20" i="19"/>
  <c r="P16" i="19"/>
  <c r="AH6" i="19"/>
  <c r="AH46" i="19"/>
  <c r="J6" i="19"/>
  <c r="AB26" i="19"/>
  <c r="AH26" i="19"/>
  <c r="V26" i="19"/>
  <c r="P26" i="19"/>
  <c r="V36" i="19"/>
  <c r="AH16" i="19"/>
  <c r="AB36" i="19"/>
  <c r="P36" i="19"/>
  <c r="J26" i="19"/>
  <c r="P6" i="19"/>
  <c r="V46" i="19"/>
  <c r="AB46" i="19"/>
  <c r="P46" i="19"/>
  <c r="AB16" i="19"/>
  <c r="J16" i="19"/>
  <c r="AH36" i="19"/>
  <c r="V16" i="19"/>
  <c r="AM11" i="1"/>
  <c r="V6" i="19"/>
  <c r="AB6" i="19"/>
  <c r="J36" i="19"/>
  <c r="J46" i="19"/>
  <c r="V39" i="19"/>
  <c r="AH29" i="19"/>
  <c r="V9" i="19"/>
  <c r="AB19" i="19"/>
  <c r="P19" i="19"/>
  <c r="AH9" i="19"/>
  <c r="J9" i="19"/>
  <c r="AH49" i="19"/>
  <c r="V49" i="19"/>
  <c r="P39" i="19"/>
  <c r="AH39" i="19"/>
  <c r="P9" i="19"/>
  <c r="V19" i="19"/>
  <c r="AB29" i="19"/>
  <c r="AM20" i="1"/>
  <c r="P49" i="19"/>
  <c r="AB39" i="19"/>
  <c r="J39" i="19"/>
  <c r="J49" i="19"/>
  <c r="J29" i="19"/>
  <c r="J19" i="19"/>
  <c r="AB49" i="19"/>
  <c r="V29" i="19"/>
  <c r="AH19" i="19"/>
  <c r="P29" i="19"/>
  <c r="AB9" i="19"/>
  <c r="AH7" i="19"/>
  <c r="P37" i="19"/>
  <c r="V7" i="19"/>
  <c r="AB47" i="19"/>
  <c r="AH37" i="19"/>
  <c r="AH47" i="19"/>
  <c r="P27" i="19"/>
  <c r="V47" i="19"/>
  <c r="AH17" i="19"/>
  <c r="J37" i="19"/>
  <c r="P7" i="19"/>
  <c r="J47" i="19"/>
  <c r="V17" i="19"/>
  <c r="J27" i="19"/>
  <c r="P47" i="19"/>
  <c r="AB17" i="19"/>
  <c r="AB27" i="19"/>
  <c r="J7" i="19"/>
  <c r="J17" i="19"/>
  <c r="V37" i="19"/>
  <c r="AB7" i="19"/>
  <c r="V27" i="19"/>
  <c r="P17" i="19"/>
  <c r="AB37" i="19"/>
  <c r="AM14" i="1"/>
  <c r="AH27" i="19"/>
  <c r="AK17" i="1"/>
  <c r="AL18" i="1"/>
  <c r="AK18" i="1" s="1"/>
  <c r="V25" i="19"/>
  <c r="J15" i="19"/>
  <c r="AH25" i="19"/>
  <c r="AB15" i="19"/>
  <c r="P45" i="19"/>
  <c r="J35" i="19"/>
  <c r="J25" i="19"/>
  <c r="AH15" i="19"/>
  <c r="J55" i="19"/>
  <c r="AM53" i="1"/>
  <c r="AH35" i="19"/>
  <c r="J45" i="19"/>
  <c r="P35" i="19"/>
  <c r="V45" i="19"/>
  <c r="AB45" i="19"/>
  <c r="AH55" i="19"/>
  <c r="P15" i="19"/>
  <c r="V15" i="19"/>
  <c r="AH45" i="19"/>
  <c r="AB35" i="19"/>
  <c r="V35" i="19"/>
  <c r="AB55" i="19"/>
  <c r="AB25" i="19"/>
  <c r="P55" i="19"/>
  <c r="P25" i="19"/>
  <c r="V55" i="19"/>
  <c r="K48" i="19" l="1"/>
  <c r="AI28" i="19"/>
  <c r="AM18" i="1"/>
  <c r="W18" i="19"/>
  <c r="W8" i="19"/>
  <c r="Q28" i="19"/>
  <c r="AI38" i="19"/>
  <c r="Q18" i="19"/>
  <c r="AI8" i="19"/>
  <c r="Q8" i="19"/>
  <c r="W48" i="19"/>
  <c r="AI18" i="19"/>
  <c r="Q48" i="19"/>
  <c r="AI48" i="19"/>
  <c r="K28" i="19"/>
  <c r="Q38" i="19"/>
  <c r="K8" i="19"/>
  <c r="AC38" i="19"/>
  <c r="AC48" i="19"/>
  <c r="K38" i="19"/>
  <c r="AC28" i="19"/>
  <c r="AC18" i="19"/>
  <c r="W28" i="19"/>
  <c r="W38" i="19"/>
  <c r="K18" i="19"/>
  <c r="AC8" i="19"/>
  <c r="V28" i="19"/>
  <c r="J28" i="19"/>
  <c r="V8" i="19"/>
  <c r="AH8" i="19"/>
  <c r="AH38" i="19"/>
  <c r="AM17" i="1"/>
  <c r="V48" i="19"/>
  <c r="P48" i="19"/>
  <c r="AB38" i="19"/>
  <c r="AB8" i="19"/>
  <c r="J48" i="19"/>
  <c r="AH28" i="19"/>
  <c r="P18" i="19"/>
  <c r="J38" i="19"/>
  <c r="AH18" i="19"/>
  <c r="V18" i="19"/>
  <c r="AH48" i="19"/>
  <c r="AB48" i="19"/>
  <c r="J8" i="19"/>
  <c r="AB18" i="19"/>
  <c r="AB28" i="19"/>
  <c r="P8" i="19"/>
  <c r="V38" i="19"/>
  <c r="J18" i="19"/>
  <c r="P38" i="19"/>
  <c r="P28"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<sst xmlns="http://schemas.openxmlformats.org/spreadsheetml/2006/main" count="467" uniqueCount="308">
  <si>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</si>
  <si>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</si>
  <si>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</si>
  <si>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</si>
  <si>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</si>
  <si>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</si>
  <si>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</si>
  <si>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</si>
  <si>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</si>
  <si>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</si>
  <si>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</si>
  <si>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</si>
  <si>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</si>
  <si>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</si>
  <si>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</si>
  <si>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</si>
  <si>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</si>
  <si>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</si>
  <si>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</si>
  <si>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</si>
  <si>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</si>
  <si>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</si>
  <si>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</si>
  <si>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</si>
  <si>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</si>
  <si>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</si>
  <si>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</si>
  <si>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</si>
  <si>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</si>
  <si>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</si>
  <si>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</si>
  <si>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</si>
  <si>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</si>
  <si>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</si>
  <si>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</si>
  <si>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</si>
  <si>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</si>
  <si>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</si>
  <si>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</si>
  <si>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</si>
  <si>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</si>
  <si>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</si>
  <si>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</si>
  <si>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</si>
  <si>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</si>
  <si>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</si>
  <si>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</si>
  <si>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</si>
  <si>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</si>
  <si>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</si>
  <si>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</si>
  <si>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</si>
  <si>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</si>
  <si>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</si>
  <si>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</si>
  <si>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</si>
  <si>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</si>
  <si>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</si>
  <si>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</si>
  <si>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</si>
  <si>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t>SISTEMA INTEGRADO DE GESTIÓN
PLANEACIÓN ESTRATÉGICA
MAPA DE RIESGOS Y OPORTUNIDADES POR PROCESOS</t>
  </si>
  <si>
    <r>
      <rPr>
        <b/>
        <sz val="14"/>
        <color theme="1"/>
        <rFont val="Arial Narrow"/>
        <family val="2"/>
      </rPr>
      <t xml:space="preserve">CODIGO: </t>
    </r>
    <r>
      <rPr>
        <sz val="14"/>
        <color theme="1"/>
        <rFont val="Arial Narrow"/>
        <family val="2"/>
      </rPr>
      <t>PCE-01-F-02</t>
    </r>
  </si>
  <si>
    <r>
      <t xml:space="preserve">versión: </t>
    </r>
    <r>
      <rPr>
        <sz val="14"/>
        <color theme="1"/>
        <rFont val="Arial Narrow"/>
        <family val="2"/>
      </rPr>
      <t>4.0</t>
    </r>
  </si>
  <si>
    <t>Proceso:</t>
  </si>
  <si>
    <t>GESTIÓN DE COMPRAS Y CONTRATACIÓN</t>
  </si>
  <si>
    <t>Objetivo:</t>
  </si>
  <si>
    <t>Contratar de forma integral la adquisición de recursos, bienes y servicios, cumpliendo con los requisitos legales y aquellos definidos por la Corporación Autónoma Regional del Cesar.</t>
  </si>
  <si>
    <t>Alcance:</t>
  </si>
  <si>
    <r>
      <rPr>
        <sz val="14"/>
        <color theme="1"/>
        <rFont val="Arial Narrow"/>
        <family val="2"/>
      </rPr>
      <t xml:space="preserve">Inicia con la recepción de estudios previos desde todos los procesos de la Corporación, continúa con el análisis o estudio de mercado, la elaboración de minutas y contratos hasta la terminación y/o liquidación de los contratos o convenios </t>
    </r>
    <r>
      <rPr>
        <sz val="18"/>
        <color theme="1"/>
        <rFont val="Arial Narrow"/>
        <family val="2"/>
      </rPr>
      <t xml:space="preserve">
   </t>
    </r>
  </si>
  <si>
    <t>Identificación del riesgo y/o Oportunidad(es)</t>
  </si>
  <si>
    <t>Análisis del riesgo inherente</t>
  </si>
  <si>
    <t>Análisis de Oportunidades</t>
  </si>
  <si>
    <t>Evaluación del riesgo - Valoración de los controles</t>
  </si>
  <si>
    <t>Evaluación del riesgo - Nivel del riesgo residual</t>
  </si>
  <si>
    <t>Análisis de Oportunidades con Tratamiento</t>
  </si>
  <si>
    <t>Plan de Acción</t>
  </si>
  <si>
    <t xml:space="preserve">Referencia </t>
  </si>
  <si>
    <t xml:space="preserve">Causa </t>
  </si>
  <si>
    <t>Riesgo</t>
  </si>
  <si>
    <t>Oportunidad(es)</t>
  </si>
  <si>
    <t>Consecuencia</t>
  </si>
  <si>
    <t>Frecuencia con la cual se realiza la actividad</t>
  </si>
  <si>
    <t>Probabilidad Inherente</t>
  </si>
  <si>
    <t>%</t>
  </si>
  <si>
    <t>Criterios de impacto</t>
  </si>
  <si>
    <t>Observación de criterio</t>
  </si>
  <si>
    <t>Impacto 
Inherente</t>
  </si>
  <si>
    <t>Calificación</t>
  </si>
  <si>
    <t>Evaluación</t>
  </si>
  <si>
    <t>No. Control</t>
  </si>
  <si>
    <t>Descripción del Control para Riesgos y/o Oportunidades</t>
  </si>
  <si>
    <t>Atributos</t>
  </si>
  <si>
    <t>Probabilidad Residual</t>
  </si>
  <si>
    <t>Probabilidad Residual Final</t>
  </si>
  <si>
    <t>Impacto Residual Final</t>
  </si>
  <si>
    <t>Zona de Riesgo Final</t>
  </si>
  <si>
    <t>Responsable</t>
  </si>
  <si>
    <t>Fecha Implementación</t>
  </si>
  <si>
    <t>Fecha Seguimiento</t>
  </si>
  <si>
    <t>Seguimiento</t>
  </si>
  <si>
    <t>objetivo estragtegico</t>
  </si>
  <si>
    <t>Contexto Estrategico Interno-Externo-Proceso</t>
  </si>
  <si>
    <t>Probabilidad</t>
  </si>
  <si>
    <t>Nivel de la Oportunidad</t>
  </si>
  <si>
    <t>Zona de Oportunidad</t>
  </si>
  <si>
    <t>Tipo</t>
  </si>
  <si>
    <t>Implementación</t>
  </si>
  <si>
    <t>Documentación</t>
  </si>
  <si>
    <t>Frecuencia</t>
  </si>
  <si>
    <t>Evidencia</t>
  </si>
  <si>
    <t>Nivel de la oportunidad</t>
  </si>
  <si>
    <t>Zona de la Oportunidad con Tratamiento</t>
  </si>
  <si>
    <t>Asegurar continuamente el cumplimiento de los requisitos legales y los demás que le apliquen a la entidad en el desarrollo de su gestión interna.</t>
  </si>
  <si>
    <t>Económico y Reputacional</t>
  </si>
  <si>
    <t xml:space="preserve">Estrategico
</t>
  </si>
  <si>
    <t xml:space="preserve">1. Demora en la entrega de los estudios previos o la entrega sin el lleno de requisitos. 
2. No se cuenta con los insumos (técnico, tecnológico, humano) necesarios para la buena estructuración de los estudios previos.
3. No existe integralidad en la estructuración de los estudios previos. </t>
  </si>
  <si>
    <t>Los estudios previos se recepcionan en la dependencia de manera extemporánea en un periodo del año que no alcanzan a ser ejecutados al 100 % durante la vigencia.</t>
  </si>
  <si>
    <t>Probabilidad de demoras en trámites e inoportunidad en el proceso contractual, cuando los estudios previos se recepcionan en la dependencia de manera extemporánea en un periodo del año que no alcanzan a ser ejecutados al 100 % durante la vigencia.</t>
  </si>
  <si>
    <t>Establecer lineamientos conjuntamente con el proceso de Planeación estratégica contribuyendo a la identificación oportuna de las necesidades que lleven al cumplimiento de metas del Plan de Acción.</t>
  </si>
  <si>
    <t xml:space="preserve">Deficiente mejoramiento continuo del proceso de Gestión Compras y Contratación.
</t>
  </si>
  <si>
    <t>Usuarios, productos y practicas , organizacionales</t>
  </si>
  <si>
    <t xml:space="preserve">     El riesgo afecta la imagen de la entidad con algunos usuarios de relevancia frente al logro de los objetivos</t>
  </si>
  <si>
    <t>Para el Riesgo: 
Oficio de solicitud de necesidades para proyección del Plan de Adquisiciones.</t>
  </si>
  <si>
    <t>Preventivo</t>
  </si>
  <si>
    <t>Manual</t>
  </si>
  <si>
    <t>Documentado</t>
  </si>
  <si>
    <t>Continua</t>
  </si>
  <si>
    <t>Con Registro</t>
  </si>
  <si>
    <t>Reducir (mitigar)</t>
  </si>
  <si>
    <t>Realizar oficio a las areas para reiterar la importancia del envio de los estudios previos para el cumplimiento de las metas del Plan Anual de adquisición  y del Plan de Acción.</t>
  </si>
  <si>
    <t>Subdirector Administrativo y Financiero</t>
  </si>
  <si>
    <t>Permanente</t>
  </si>
  <si>
    <t>Finalizado</t>
  </si>
  <si>
    <t>Para la Oportunidad:
Circular informativa con lineamientos establecidos.</t>
  </si>
  <si>
    <t>Circular informativa con lineamientos establecidos para la identificación oportuna de las necesidades que lleven al cumplimiento de metas del Plan de Acción.</t>
  </si>
  <si>
    <t>Subdirector Administrativo y Financiero
Subdirección General Área de Planeación</t>
  </si>
  <si>
    <t>En curso</t>
  </si>
  <si>
    <t>Reputacional</t>
  </si>
  <si>
    <t xml:space="preserve">Estrategico 
</t>
  </si>
  <si>
    <t>1. No presentacion de oferentes.
2. Presentación de oferentes sin cumplir con los requisitos</t>
  </si>
  <si>
    <t>No se presentan oferentes a la convocatoria o  los oferentes no cumplen con los requisitos exigidos por la entidad o por otros establecidos en la legislación vigente.</t>
  </si>
  <si>
    <t>Probabilidad de la  declaratoria de desierta de procesos contractuales, cuando no se presentan oferentes a la convocatoria o  los oferentes no cumplen con los requisitos exigidos por la entidad,  por otros establecidos en la legislación vigente.</t>
  </si>
  <si>
    <t>El servivio solicitado y que las obras proyectadas no se ejecuten, retrazos e las lineas del pla de acción.</t>
  </si>
  <si>
    <t>Ejecucion y Administracion de procesos</t>
  </si>
  <si>
    <t>Sistema Electrónico de Contratación Pública - SECOP II.</t>
  </si>
  <si>
    <t>Automático</t>
  </si>
  <si>
    <t xml:space="preserve">Una vez declarada desierta la convocatoria, se realizará nuevamente la publicación de la convocatoria en SECOP II para que esta se aperture y se puedan presentar oferentes. </t>
  </si>
  <si>
    <t>Legal</t>
  </si>
  <si>
    <t>1. Incumplimiento por parte de los supersivores de la publicación  de los documentos de ejecución del contrato</t>
  </si>
  <si>
    <t xml:space="preserve"> Los supervisores no realizan la publicación oportuna de los documentos de ejecución de los contratos en el portal del SECOP II.</t>
  </si>
  <si>
    <t>Probabilidad de desactualización de la ejecución de los contratos en el portal del SECOP II, cuando los supervisores no realizan la publicación oportuna de los documentos de ejecución de los contratos en el portal del SECOP II</t>
  </si>
  <si>
    <t>Incumplimiento a las normativas legales, lo que genera sanciones disciplinarias por la no publicacion de los contratos y la documentación que se generen durante la ejecución, en el portal del SECOP II</t>
  </si>
  <si>
    <t xml:space="preserve">     El riesgo afecta la imagen de la entidad internamente, de conocimiento general, nivel interno, de junta dircetiva y accionistas y/o de provedores</t>
  </si>
  <si>
    <t>Oficios de requerimientos  a los supervisores para la respectiva publicación.</t>
  </si>
  <si>
    <t>Requerimientos a los Supervisores para alimentación del SECOP y expedientes.</t>
  </si>
  <si>
    <t xml:space="preserve">PCA-03-P-13 Procedimiento de supervisión de contratos de obras y consultorías
PCA-03-F-24 FORMATO ASIGNACIÓN DE SUPERVISIÓN DE CONTRATOS O CONVENIOS
PCA-03-F-09  FORMATO ASIGNACIÓN DE SUPERVISIÓN CONTRATOS DE PRESTACIÓN DE SERVICIOS </t>
  </si>
  <si>
    <t>Verificación de Constancia (Pantallazo impreso) de publicación de los diferentes documentos generados dentro de la Ejecución del Contrato, en el SECOP II</t>
  </si>
  <si>
    <t xml:space="preserve">Personal.
</t>
  </si>
  <si>
    <t>Deficientes controles en la revisión de documentos del contrato</t>
  </si>
  <si>
    <t>Se presentan  procesos contractuales sin lleno de requisitos  documentales exigidos por el Manual de Contratación</t>
  </si>
  <si>
    <t>Probabilidad de incumplimiento  de los requisitos legales y los definidos por la corporación, por que se presentan  procesos contractuales sin lleno de requisitos  documentales exigidos por el Manual de Contratación.</t>
  </si>
  <si>
    <t>retraso en la prestacion del servicio o el bien a contratar, incumplimiento en las metas</t>
  </si>
  <si>
    <t>Manual de Contratación.
Procedimientos establecidos.
Normatividad vigente</t>
  </si>
  <si>
    <t>Realizar un efectivo proceso de evaluación de los documentos requeridos teniendo en cuenta el manual de contratación, procdimientos establecidos y normatividad vigente</t>
  </si>
  <si>
    <t>a la fecha no se ha presentado ningun inconveniente con los documentos requerido para los contratos, por lo que se evidencia la efectiva evaluación delos requisitos de los documentos .</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</si>
  <si>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</si>
  <si>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</si>
  <si>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</si>
  <si>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</si>
  <si>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</si>
  <si>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</si>
  <si>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</si>
  <si>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</si>
  <si>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</si>
  <si>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</si>
  <si>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</si>
  <si>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</si>
  <si>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</si>
  <si>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</si>
  <si>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</si>
  <si>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</si>
  <si>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</si>
  <si>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</si>
  <si>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</si>
  <si>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</si>
  <si>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</si>
  <si>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</si>
  <si>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</si>
  <si>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</si>
  <si>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</si>
  <si>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</si>
  <si>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</si>
  <si>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</si>
  <si>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</si>
  <si>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</si>
  <si>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</si>
  <si>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</si>
  <si>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</si>
  <si>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</si>
  <si>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</si>
  <si>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</si>
  <si>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</si>
  <si>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</si>
  <si>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</si>
  <si>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</si>
  <si>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</si>
  <si>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</si>
  <si>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</si>
  <si>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</si>
  <si>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</si>
  <si>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</si>
  <si>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</si>
  <si>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</si>
  <si>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</si>
  <si>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</si>
  <si>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</si>
  <si>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</si>
  <si>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</si>
  <si>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</si>
  <si>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</si>
  <si>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</si>
  <si>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</si>
  <si>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</si>
  <si>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</si>
  <si>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</si>
  <si>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</si>
  <si>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</si>
  <si>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</si>
  <si>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</si>
  <si>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</si>
  <si>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</si>
  <si>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</si>
  <si>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</si>
  <si>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</si>
  <si>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</si>
  <si>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</si>
  <si>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</si>
  <si>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</si>
  <si>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</si>
  <si>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</si>
  <si>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</si>
  <si>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</si>
  <si>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</si>
  <si>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</si>
  <si>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</si>
  <si>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</si>
  <si>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</si>
  <si>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</si>
  <si>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</si>
  <si>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</si>
  <si>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</si>
  <si>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</si>
  <si>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</si>
  <si>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</si>
  <si>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</si>
  <si>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</si>
  <si>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</si>
  <si>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CRITERIOS DE EVALUACIÓN DE OPORTUNIDADES DEL SIG</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</si>
  <si>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</si>
  <si>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ALCANCE</t>
  </si>
  <si>
    <t>Esta matriz será aplicable para el análisis de las oportunidades identificadas en la matriz de Contexto Interno y Externo y/o las identificadas en el proceso de autoevaluación y/o auditorías al sistema.</t>
  </si>
  <si>
    <t>TABLA 1: Análisis de Oportunidades</t>
  </si>
  <si>
    <t>CLASIFICACION 
(De acuerdo a la probabilidad y el impacto)</t>
  </si>
  <si>
    <t>Criterio</t>
  </si>
  <si>
    <t>Evaluación (Valor)</t>
  </si>
  <si>
    <t xml:space="preserve">Alto </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</si>
  <si>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</si>
  <si>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≥10</t>
  </si>
  <si>
    <t xml:space="preserve">Medio </t>
  </si>
  <si>
    <t>Oportunidad cuyo aprovechamiento requiere recursos (Talento Humano, logísticos, tecnológicos, económicos), o que puede ameritar una mediana inversión, y afectar de forma importante el presupuesto.</t>
  </si>
  <si>
    <t>≥4
≤9</t>
  </si>
  <si>
    <t>Oportunidad cuyo aprovechamiento requiere recursos con los que cuenta la entidad (Talento Humano, logísticos, tecnológicos, económicos), o que puede ameritar una inversión que genera afectaciones mínimas al presupuesto.</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</si>
  <si>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</si>
  <si>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</si>
  <si>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</si>
  <si>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</si>
  <si>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</si>
  <si>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</si>
  <si>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</si>
  <si>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</si>
  <si>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</si>
  <si>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</si>
  <si>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</si>
  <si>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</si>
  <si>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</si>
  <si>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</si>
  <si>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</si>
  <si>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Aceptar</t>
  </si>
  <si>
    <t>Económico</t>
  </si>
  <si>
    <t>Evitar</t>
  </si>
  <si>
    <t>Reducir (compartir)</t>
  </si>
  <si>
    <t>Plan de accion (solo para la opción reducir)</t>
  </si>
  <si>
    <t>Daños Activos Fisicos</t>
  </si>
  <si>
    <t>Fallas Tecnologicas</t>
  </si>
  <si>
    <t>Fraude Externo</t>
  </si>
  <si>
    <t>Fraude Interno</t>
  </si>
  <si>
    <t>Relaciones Laborales</t>
  </si>
  <si>
    <t>Registro Sustancial</t>
  </si>
  <si>
    <t>Registro Material</t>
  </si>
  <si>
    <t>Sin registro</t>
  </si>
  <si>
    <t>Reducir</t>
  </si>
  <si>
    <t xml:space="preserve">Cada que se presente cuentas de cobros se verifica la publicación de documentos en la plataforma de secop II. </t>
  </si>
  <si>
    <t>Hasta la fecha de corte del 31 de diciembre del 2025 se adelantó la realización de un  oficio a las distintas subdirecciones para reiterar la importancia del envio de los estudios previos para el cumplimiento de las metas del Plan Anual de adquisición</t>
  </si>
  <si>
    <t>Hasta la fecha de corte del 31 de diciembre del 2025 se adelantó la realización de un  oficio a las distintas subdirecciones para reiterar la importancia del envio de los estudios previos para el cumplimiento de las metas del Plan Anual de adquisiciones</t>
  </si>
  <si>
    <t>A corte del 31 diciembre de 2025 se declararon cuatro procesos desiertos en la vigencia 2025. La entidad procedió a realizar nuevamente el cargue en la plataforma SECOP II para la celebración de dichos procesos</t>
  </si>
  <si>
    <t>A corte 30 de diciembre de 2025 se ha informado a través del formato de notificacion de supervisión a los supervisores de la obligación de publicar dentro de los 3 dias siguientes a la generación del documento en la plataforma de Secop II.</t>
  </si>
  <si>
    <r>
      <t xml:space="preserve">Fecha Actualización: </t>
    </r>
    <r>
      <rPr>
        <sz val="12"/>
        <color theme="1"/>
        <rFont val="Arial Narrow"/>
        <family val="2"/>
      </rPr>
      <t>31/12/2025</t>
    </r>
  </si>
  <si>
    <r>
      <t xml:space="preserve">FECHA: </t>
    </r>
    <r>
      <rPr>
        <sz val="14"/>
        <color theme="1"/>
        <rFont val="Arial Narrow"/>
        <family val="2"/>
      </rPr>
      <t>27/12/2024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</si>
</sst>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2"/>
      <color theme="1"/>
      <name val="Arial Narrow"/>
      <family val="2"/>
    </font>
    <font>
      <sz val="11"/>
      <color theme="1"/>
      <name val="Arial"/>
      <family val="2"/>
    </font>
    <font>
      <b/>
      <sz val="12"/>
      <color theme="0"/>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3">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dashed">
        <color theme="9" tint="-0.24994659260841701"/>
      </left>
      <right style="dashed">
        <color theme="9" tint="-0.24994659260841701"/>
      </right>
      <top style="thin">
        <color indexed="64"/>
      </top>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2" fillId="0" borderId="0"/>
  </cellStyleXfs>
  <cellXfs count="50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4" fillId="2" borderId="2" xfId="0" applyFont="1" applyFill="1" applyBorder="1" applyAlignment="1">
      <alignment horizontal="center" vertical="center" wrapText="1"/>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27" fillId="2" borderId="8" xfId="0" applyFont="1" applyFill="1" applyBorder="1" applyAlignment="1">
      <alignment horizontal="center" vertical="center" textRotation="90"/>
    </xf>
    <xf numFmtId="0" fontId="1" fillId="0" borderId="6" xfId="0" applyFont="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6" fillId="0" borderId="2"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0" xfId="0" applyFont="1" applyAlignment="1">
      <alignment horizontal="justify"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1" fillId="3" borderId="0" xfId="0" applyFont="1" applyFill="1" applyAlignment="1">
      <alignment horizontal="center" vertical="center"/>
    </xf>
    <xf numFmtId="0" fontId="1" fillId="0" borderId="2" xfId="0" applyFont="1" applyBorder="1" applyAlignment="1" applyProtection="1">
      <alignment horizontal="justify" vertical="center" wrapText="1"/>
      <protection locked="0"/>
    </xf>
    <xf numFmtId="0" fontId="4" fillId="0" borderId="4" xfId="0" applyFont="1" applyBorder="1" applyAlignment="1" applyProtection="1">
      <alignment horizontal="center" vertical="center"/>
      <protection hidden="1"/>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0" fillId="3" borderId="13" xfId="5" applyFont="1" applyFill="1" applyBorder="1" applyAlignment="1">
      <alignment vertical="center"/>
    </xf>
    <xf numFmtId="0" fontId="60" fillId="3" borderId="0" xfId="5" applyFont="1" applyFill="1" applyAlignment="1">
      <alignment vertical="center"/>
    </xf>
    <xf numFmtId="0" fontId="61" fillId="3" borderId="14" xfId="5" applyFont="1" applyFill="1" applyBorder="1" applyAlignment="1">
      <alignment vertical="center"/>
    </xf>
    <xf numFmtId="0" fontId="60" fillId="3" borderId="15" xfId="5" applyFont="1" applyFill="1" applyBorder="1" applyAlignment="1">
      <alignment vertical="center"/>
    </xf>
    <xf numFmtId="0" fontId="36" fillId="3" borderId="14" xfId="5" applyFont="1" applyFill="1" applyBorder="1" applyAlignment="1">
      <alignment vertical="center"/>
    </xf>
    <xf numFmtId="0" fontId="63" fillId="3" borderId="0" xfId="6" applyFont="1" applyFill="1" applyAlignment="1">
      <alignment horizontal="center" vertical="center"/>
    </xf>
    <xf numFmtId="0" fontId="64" fillId="3" borderId="0" xfId="6" applyFont="1" applyFill="1" applyAlignment="1">
      <alignment horizontal="center" vertical="center" wrapText="1"/>
    </xf>
    <xf numFmtId="0" fontId="64" fillId="3" borderId="0" xfId="6" applyFont="1" applyFill="1" applyAlignment="1">
      <alignment horizontal="center" vertical="center"/>
    </xf>
    <xf numFmtId="0" fontId="65" fillId="17" borderId="33" xfId="6" applyFont="1" applyFill="1" applyBorder="1" applyAlignment="1">
      <alignment horizontal="center" vertical="center" wrapText="1"/>
    </xf>
    <xf numFmtId="0" fontId="65" fillId="17" borderId="33" xfId="6" applyFont="1" applyFill="1" applyBorder="1" applyAlignment="1">
      <alignment horizontal="center" vertical="center"/>
    </xf>
    <xf numFmtId="0" fontId="65" fillId="9" borderId="33" xfId="6" applyFont="1" applyFill="1" applyBorder="1" applyAlignment="1">
      <alignment horizontal="center" vertical="center"/>
    </xf>
    <xf numFmtId="0" fontId="66" fillId="9" borderId="33" xfId="6" applyFont="1" applyFill="1" applyBorder="1" applyAlignment="1">
      <alignment horizontal="center" vertical="center" wrapText="1"/>
    </xf>
    <xf numFmtId="0" fontId="66" fillId="9" borderId="33" xfId="6" applyFont="1" applyFill="1" applyBorder="1" applyAlignment="1">
      <alignment horizontal="center" vertical="center"/>
    </xf>
    <xf numFmtId="0" fontId="65" fillId="18" borderId="33" xfId="6" applyFont="1" applyFill="1" applyBorder="1" applyAlignment="1">
      <alignment horizontal="center" vertical="center"/>
    </xf>
    <xf numFmtId="0" fontId="66" fillId="18" borderId="33" xfId="6" applyFont="1" applyFill="1" applyBorder="1" applyAlignment="1">
      <alignment horizontal="center" vertical="center" wrapText="1"/>
    </xf>
    <xf numFmtId="0" fontId="65" fillId="5" borderId="33" xfId="6" applyFont="1" applyFill="1" applyBorder="1" applyAlignment="1">
      <alignment horizontal="center" vertical="center"/>
    </xf>
    <xf numFmtId="0" fontId="66"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4"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4"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4"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0" fillId="3" borderId="17" xfId="5" applyFont="1" applyFill="1" applyBorder="1" applyAlignment="1">
      <alignment vertical="center"/>
    </xf>
    <xf numFmtId="0" fontId="26" fillId="2" borderId="29" xfId="0" applyFont="1" applyFill="1" applyBorder="1" applyAlignment="1">
      <alignment horizontal="center" vertical="center"/>
    </xf>
    <xf numFmtId="0" fontId="26" fillId="2" borderId="0" xfId="0" applyFont="1" applyFill="1" applyAlignment="1">
      <alignment horizontal="center" vertical="center"/>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164" fontId="1" fillId="3" borderId="2" xfId="1" applyNumberFormat="1" applyFont="1" applyFill="1" applyBorder="1" applyAlignment="1">
      <alignment horizontal="center" vertical="center"/>
    </xf>
    <xf numFmtId="0" fontId="1" fillId="0" borderId="2" xfId="0" applyFont="1" applyBorder="1" applyAlignment="1" applyProtection="1">
      <alignment horizontal="center" vertical="center"/>
      <protection hidden="1"/>
    </xf>
    <xf numFmtId="0" fontId="26" fillId="0" borderId="29" xfId="0" applyFont="1" applyBorder="1" applyAlignment="1">
      <alignment horizontal="center" vertical="center"/>
    </xf>
    <xf numFmtId="0" fontId="26" fillId="0" borderId="0" xfId="0" applyFont="1" applyAlignment="1">
      <alignment horizontal="center" vertical="center"/>
    </xf>
    <xf numFmtId="0" fontId="8" fillId="3"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2" fillId="0" borderId="4" xfId="0" applyFont="1" applyBorder="1" applyAlignment="1" applyProtection="1">
      <alignment horizontal="justify" vertical="top" wrapText="1"/>
      <protection locked="0"/>
    </xf>
    <xf numFmtId="0" fontId="1" fillId="0" borderId="0" xfId="0" applyFont="1" applyAlignment="1" applyProtection="1">
      <alignment horizontal="center" vertical="top" wrapText="1"/>
      <protection locked="0"/>
    </xf>
    <xf numFmtId="0" fontId="1" fillId="0" borderId="0" xfId="0" applyFont="1" applyAlignment="1" applyProtection="1">
      <alignment horizontal="center" vertical="center" wrapText="1"/>
      <protection locked="0"/>
    </xf>
    <xf numFmtId="14" fontId="1" fillId="0" borderId="6" xfId="0" applyNumberFormat="1" applyFont="1" applyBorder="1" applyAlignment="1" applyProtection="1">
      <alignment horizontal="center" vertical="center"/>
      <protection locked="0"/>
    </xf>
    <xf numFmtId="0" fontId="1" fillId="0" borderId="4" xfId="0" applyFont="1" applyBorder="1" applyAlignment="1" applyProtection="1">
      <alignment horizontal="left" vertical="top" wrapText="1"/>
      <protection locked="0"/>
    </xf>
    <xf numFmtId="0" fontId="1" fillId="0" borderId="33" xfId="0" applyFont="1" applyBorder="1" applyAlignment="1">
      <alignment horizontal="justify" vertical="center" wrapText="1"/>
    </xf>
    <xf numFmtId="0" fontId="1" fillId="0" borderId="2" xfId="0" applyFont="1" applyBorder="1" applyAlignment="1" applyProtection="1">
      <alignment horizontal="left" vertical="center" wrapText="1"/>
      <protection locked="0"/>
    </xf>
    <xf numFmtId="0" fontId="4" fillId="0" borderId="4"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23" fillId="3" borderId="81" xfId="0" applyFont="1" applyFill="1" applyBorder="1" applyAlignment="1">
      <alignment horizontal="left" vertical="center" wrapText="1"/>
    </xf>
    <xf numFmtId="0" fontId="23" fillId="3" borderId="82" xfId="0" applyFont="1" applyFill="1" applyBorder="1" applyAlignment="1">
      <alignment horizontal="left" vertical="center"/>
    </xf>
    <xf numFmtId="0" fontId="23" fillId="3" borderId="83" xfId="0" applyFont="1" applyFill="1" applyBorder="1" applyAlignment="1">
      <alignment horizontal="left" vertical="center"/>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8" fillId="3" borderId="76" xfId="0" applyFont="1" applyFill="1" applyBorder="1" applyAlignment="1">
      <alignment horizontal="left"/>
    </xf>
    <xf numFmtId="0" fontId="8" fillId="3" borderId="77" xfId="0" applyFont="1" applyFill="1" applyBorder="1" applyAlignment="1">
      <alignment horizontal="left"/>
    </xf>
    <xf numFmtId="0" fontId="8" fillId="3" borderId="75" xfId="0" applyFont="1" applyFill="1" applyBorder="1" applyAlignment="1">
      <alignment horizontal="left"/>
    </xf>
    <xf numFmtId="0" fontId="27" fillId="3" borderId="76" xfId="0" applyFont="1" applyFill="1" applyBorder="1" applyAlignment="1">
      <alignment horizontal="left" vertical="center"/>
    </xf>
    <xf numFmtId="0" fontId="27" fillId="3" borderId="77" xfId="0" applyFont="1" applyFill="1" applyBorder="1" applyAlignment="1">
      <alignment horizontal="left" vertical="center"/>
    </xf>
    <xf numFmtId="0" fontId="27" fillId="3" borderId="75" xfId="0" applyFont="1" applyFill="1" applyBorder="1" applyAlignment="1">
      <alignment horizontal="left" vertical="center"/>
    </xf>
    <xf numFmtId="0" fontId="59" fillId="3" borderId="76" xfId="0" applyFont="1" applyFill="1" applyBorder="1" applyAlignment="1">
      <alignment horizontal="left"/>
    </xf>
    <xf numFmtId="0" fontId="59" fillId="3" borderId="77" xfId="0" applyFont="1" applyFill="1" applyBorder="1" applyAlignment="1">
      <alignment horizontal="left"/>
    </xf>
    <xf numFmtId="0" fontId="59" fillId="3" borderId="75" xfId="0" applyFont="1" applyFill="1" applyBorder="1" applyAlignment="1">
      <alignment horizontal="left"/>
    </xf>
    <xf numFmtId="0" fontId="1" fillId="3" borderId="0" xfId="0" applyFont="1" applyFill="1" applyAlignment="1">
      <alignment horizontal="left" vertical="center"/>
    </xf>
    <xf numFmtId="0" fontId="4" fillId="2" borderId="33"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locked="0"/>
    </xf>
    <xf numFmtId="0" fontId="4" fillId="0" borderId="5" xfId="0" applyFont="1" applyBorder="1" applyAlignment="1" applyProtection="1">
      <alignment horizontal="center" vertical="center" wrapText="1"/>
      <protection hidden="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5" xfId="0" applyFont="1" applyBorder="1" applyAlignment="1">
      <alignment horizontal="center" vertical="top" wrapText="1"/>
    </xf>
    <xf numFmtId="0" fontId="4" fillId="2" borderId="2" xfId="0" applyFont="1" applyFill="1" applyBorder="1" applyAlignment="1">
      <alignment horizontal="center" vertical="center" wrapText="1"/>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4" fillId="2" borderId="4" xfId="0" applyFont="1" applyFill="1" applyBorder="1" applyAlignment="1">
      <alignment horizontal="center" vertical="center" wrapText="1"/>
    </xf>
    <xf numFmtId="0" fontId="4" fillId="2" borderId="84" xfId="0" applyFont="1" applyFill="1" applyBorder="1" applyAlignment="1">
      <alignment horizontal="center" vertical="center"/>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87"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85" xfId="0" applyFont="1" applyFill="1" applyBorder="1" applyAlignment="1">
      <alignment horizontal="center" vertical="center"/>
    </xf>
    <xf numFmtId="0" fontId="4" fillId="2" borderId="88"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9" xfId="0" applyFont="1" applyFill="1" applyBorder="1" applyAlignment="1">
      <alignment horizontal="center" vertical="center" textRotation="90" wrapText="1"/>
    </xf>
    <xf numFmtId="0" fontId="4" fillId="2" borderId="90" xfId="0" applyFont="1" applyFill="1" applyBorder="1" applyAlignment="1">
      <alignment horizontal="center" vertical="center" textRotation="90"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4" xfId="0" applyFont="1" applyBorder="1" applyAlignment="1">
      <alignment horizontal="center" vertical="center" wrapText="1"/>
    </xf>
    <xf numFmtId="0" fontId="44" fillId="0" borderId="0" xfId="0" applyFont="1" applyAlignment="1">
      <alignment horizontal="center" vertical="center"/>
    </xf>
    <xf numFmtId="0" fontId="44" fillId="0" borderId="14"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44" fillId="0" borderId="19" xfId="0" applyFont="1" applyBorder="1" applyAlignment="1">
      <alignment horizontal="center" vertical="center" wrapText="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59" fillId="14" borderId="35" xfId="5" applyFont="1" applyFill="1" applyBorder="1" applyAlignment="1">
      <alignment horizontal="center" vertical="center"/>
    </xf>
    <xf numFmtId="0" fontId="59" fillId="14" borderId="36" xfId="5" applyFont="1" applyFill="1" applyBorder="1" applyAlignment="1">
      <alignment horizontal="center" vertical="center"/>
    </xf>
    <xf numFmtId="0" fontId="59" fillId="14" borderId="47" xfId="5" applyFont="1" applyFill="1" applyBorder="1" applyAlignment="1">
      <alignment horizontal="center" vertical="center"/>
    </xf>
    <xf numFmtId="0" fontId="36" fillId="3" borderId="91"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2" xfId="5" applyFont="1" applyFill="1" applyBorder="1" applyAlignment="1">
      <alignment horizontal="center" vertical="center" wrapText="1"/>
    </xf>
    <xf numFmtId="0" fontId="61" fillId="16" borderId="35" xfId="5" applyFont="1" applyFill="1" applyBorder="1" applyAlignment="1">
      <alignment horizontal="center" vertical="center"/>
    </xf>
    <xf numFmtId="0" fontId="61" fillId="16" borderId="36" xfId="5" applyFont="1" applyFill="1" applyBorder="1" applyAlignment="1">
      <alignment horizontal="center" vertical="center"/>
    </xf>
    <xf numFmtId="0" fontId="61"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59" fillId="8" borderId="44" xfId="5" applyFont="1" applyFill="1" applyBorder="1" applyAlignment="1">
      <alignment horizontal="center" vertical="center" wrapText="1"/>
    </xf>
    <xf numFmtId="0" fontId="59" fillId="8" borderId="45" xfId="5" applyFont="1" applyFill="1" applyBorder="1" applyAlignment="1">
      <alignment horizontal="center" vertical="center" wrapText="1"/>
    </xf>
    <xf numFmtId="0" fontId="59"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3"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117">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00B050"/>
        </patternFill>
      </fill>
    </dxf>
    <dxf>
      <fill>
        <patternFill>
          <bgColor rgb="FFFF000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595745</xdr:colOff>
      <xdr:row>1</xdr:row>
      <xdr:rowOff>41563</xdr:rowOff>
    </xdr:from>
    <xdr:to>
      <xdr:col>3</xdr:col>
      <xdr:colOff>814843</xdr:colOff>
      <xdr:row>3</xdr:row>
      <xdr:rowOff>269425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72836" y="387927"/>
          <a:ext cx="2255716" cy="10729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OHASKY\AppData\Local\Temp\Rar$DIa15800.48189\Anexo%2062.%20Mapa%20De%20Riesgos%20Gesti&#243;n%20Financiera%20(22-1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rpocesar1-my.sharepoint.com/personal/calidad_corpocesar_gov_co/Documents/COMPARTIDO/PROCESOS%20SIGC/PCA_3_COMPRAS%20Y%20CONTRATACION/MAPA%20DE%20RIESGO/10.%20MR%20Gesti&#243;n%20De%20Compras%20Y%20Contrataciones%20-%20OK%20(30-11-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laneacion-OCAD\Desktop\H%20-\Mapas%20de%20Riesgos\Matriz%20de%20Riesgos%20y%20Oportunidades_%20para%20vigencia%202025\2025_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Valoración_Evaluación Oportunid"/>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2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116" dataDxfId="115">
  <autoFilter ref="B209:C219" xr:uid="{00000000-0009-0000-0100-000001000000}"/>
  <tableColumns count="2">
    <tableColumn id="1" xr3:uid="{00000000-0010-0000-0000-000001000000}" name="Criterios" dataDxfId="114"/>
    <tableColumn id="2" xr3:uid="{00000000-0010-0000-0000-000002000000}" name="Subcriterios" dataDxfId="11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20" t="s">
        <v>0</v>
      </c>
      <c r="C2" s="321"/>
      <c r="D2" s="321"/>
      <c r="E2" s="321"/>
      <c r="F2" s="321"/>
      <c r="G2" s="321"/>
      <c r="H2" s="322"/>
    </row>
    <row r="3" spans="2:8" x14ac:dyDescent="0.25">
      <c r="B3" s="81"/>
      <c r="C3" s="82"/>
      <c r="D3" s="82"/>
      <c r="E3" s="82"/>
      <c r="F3" s="82"/>
      <c r="G3" s="82"/>
      <c r="H3" s="83"/>
    </row>
    <row r="4" spans="2:8" ht="63" customHeight="1" x14ac:dyDescent="0.25">
      <c r="B4" s="323" t="s">
        <v>1</v>
      </c>
      <c r="C4" s="324"/>
      <c r="D4" s="324"/>
      <c r="E4" s="324"/>
      <c r="F4" s="324"/>
      <c r="G4" s="324"/>
      <c r="H4" s="325"/>
    </row>
    <row r="5" spans="2:8" ht="63" customHeight="1" x14ac:dyDescent="0.25">
      <c r="B5" s="326"/>
      <c r="C5" s="327"/>
      <c r="D5" s="327"/>
      <c r="E5" s="327"/>
      <c r="F5" s="327"/>
      <c r="G5" s="327"/>
      <c r="H5" s="328"/>
    </row>
    <row r="6" spans="2:8" ht="16.5" x14ac:dyDescent="0.25">
      <c r="B6" s="329" t="s">
        <v>2</v>
      </c>
      <c r="C6" s="330"/>
      <c r="D6" s="330"/>
      <c r="E6" s="330"/>
      <c r="F6" s="330"/>
      <c r="G6" s="330"/>
      <c r="H6" s="331"/>
    </row>
    <row r="7" spans="2:8" ht="95.25" customHeight="1" x14ac:dyDescent="0.25">
      <c r="B7" s="339" t="s">
        <v>3</v>
      </c>
      <c r="C7" s="340"/>
      <c r="D7" s="340"/>
      <c r="E7" s="340"/>
      <c r="F7" s="340"/>
      <c r="G7" s="340"/>
      <c r="H7" s="341"/>
    </row>
    <row r="8" spans="2:8" ht="16.5" x14ac:dyDescent="0.25">
      <c r="B8" s="117"/>
      <c r="C8" s="118"/>
      <c r="D8" s="118"/>
      <c r="E8" s="118"/>
      <c r="F8" s="118"/>
      <c r="G8" s="118"/>
      <c r="H8" s="119"/>
    </row>
    <row r="9" spans="2:8" ht="16.5" customHeight="1" x14ac:dyDescent="0.25">
      <c r="B9" s="332" t="s">
        <v>4</v>
      </c>
      <c r="C9" s="333"/>
      <c r="D9" s="333"/>
      <c r="E9" s="333"/>
      <c r="F9" s="333"/>
      <c r="G9" s="333"/>
      <c r="H9" s="334"/>
    </row>
    <row r="10" spans="2:8" ht="44.25" customHeight="1" x14ac:dyDescent="0.25">
      <c r="B10" s="332"/>
      <c r="C10" s="333"/>
      <c r="D10" s="333"/>
      <c r="E10" s="333"/>
      <c r="F10" s="333"/>
      <c r="G10" s="333"/>
      <c r="H10" s="334"/>
    </row>
    <row r="11" spans="2:8" ht="15.75" thickBot="1" x14ac:dyDescent="0.3">
      <c r="B11" s="106"/>
      <c r="C11" s="109"/>
      <c r="D11" s="114"/>
      <c r="E11" s="115"/>
      <c r="F11" s="115"/>
      <c r="G11" s="116"/>
      <c r="H11" s="110"/>
    </row>
    <row r="12" spans="2:8" ht="15.75" thickTop="1" x14ac:dyDescent="0.25">
      <c r="B12" s="106"/>
      <c r="C12" s="335" t="s">
        <v>5</v>
      </c>
      <c r="D12" s="336"/>
      <c r="E12" s="337" t="s">
        <v>6</v>
      </c>
      <c r="F12" s="338"/>
      <c r="G12" s="109"/>
      <c r="H12" s="110"/>
    </row>
    <row r="13" spans="2:8" ht="35.25" customHeight="1" x14ac:dyDescent="0.25">
      <c r="B13" s="106"/>
      <c r="C13" s="307" t="s">
        <v>7</v>
      </c>
      <c r="D13" s="308"/>
      <c r="E13" s="309" t="s">
        <v>8</v>
      </c>
      <c r="F13" s="310"/>
      <c r="G13" s="109"/>
      <c r="H13" s="110"/>
    </row>
    <row r="14" spans="2:8" ht="17.25" customHeight="1" x14ac:dyDescent="0.25">
      <c r="B14" s="106"/>
      <c r="C14" s="307" t="s">
        <v>9</v>
      </c>
      <c r="D14" s="308"/>
      <c r="E14" s="309" t="s">
        <v>10</v>
      </c>
      <c r="F14" s="310"/>
      <c r="G14" s="109"/>
      <c r="H14" s="110"/>
    </row>
    <row r="15" spans="2:8" ht="19.5" customHeight="1" x14ac:dyDescent="0.25">
      <c r="B15" s="106"/>
      <c r="C15" s="307" t="s">
        <v>11</v>
      </c>
      <c r="D15" s="308"/>
      <c r="E15" s="309" t="s">
        <v>12</v>
      </c>
      <c r="F15" s="310"/>
      <c r="G15" s="109"/>
      <c r="H15" s="110"/>
    </row>
    <row r="16" spans="2:8" ht="69.75" customHeight="1" x14ac:dyDescent="0.25">
      <c r="B16" s="106"/>
      <c r="C16" s="307" t="s">
        <v>13</v>
      </c>
      <c r="D16" s="308"/>
      <c r="E16" s="309" t="s">
        <v>14</v>
      </c>
      <c r="F16" s="310"/>
      <c r="G16" s="109"/>
      <c r="H16" s="110"/>
    </row>
    <row r="17" spans="2:8" ht="34.5" customHeight="1" x14ac:dyDescent="0.25">
      <c r="B17" s="106"/>
      <c r="C17" s="311" t="s">
        <v>15</v>
      </c>
      <c r="D17" s="312"/>
      <c r="E17" s="303" t="s">
        <v>16</v>
      </c>
      <c r="F17" s="304"/>
      <c r="G17" s="109"/>
      <c r="H17" s="110"/>
    </row>
    <row r="18" spans="2:8" ht="27.75" customHeight="1" x14ac:dyDescent="0.25">
      <c r="B18" s="106"/>
      <c r="C18" s="311" t="s">
        <v>17</v>
      </c>
      <c r="D18" s="312"/>
      <c r="E18" s="303" t="s">
        <v>18</v>
      </c>
      <c r="F18" s="304"/>
      <c r="G18" s="109"/>
      <c r="H18" s="110"/>
    </row>
    <row r="19" spans="2:8" ht="28.5" customHeight="1" x14ac:dyDescent="0.25">
      <c r="B19" s="106"/>
      <c r="C19" s="311" t="s">
        <v>19</v>
      </c>
      <c r="D19" s="312"/>
      <c r="E19" s="303" t="s">
        <v>20</v>
      </c>
      <c r="F19" s="304"/>
      <c r="G19" s="109"/>
      <c r="H19" s="110"/>
    </row>
    <row r="20" spans="2:8" ht="72.75" customHeight="1" x14ac:dyDescent="0.25">
      <c r="B20" s="106"/>
      <c r="C20" s="311" t="s">
        <v>21</v>
      </c>
      <c r="D20" s="312"/>
      <c r="E20" s="303" t="s">
        <v>22</v>
      </c>
      <c r="F20" s="304"/>
      <c r="G20" s="109"/>
      <c r="H20" s="110"/>
    </row>
    <row r="21" spans="2:8" ht="64.5" customHeight="1" x14ac:dyDescent="0.25">
      <c r="B21" s="106"/>
      <c r="C21" s="311" t="s">
        <v>23</v>
      </c>
      <c r="D21" s="312"/>
      <c r="E21" s="303" t="s">
        <v>24</v>
      </c>
      <c r="F21" s="304"/>
      <c r="G21" s="109"/>
      <c r="H21" s="110"/>
    </row>
    <row r="22" spans="2:8" ht="71.25" customHeight="1" x14ac:dyDescent="0.25">
      <c r="B22" s="106"/>
      <c r="C22" s="311" t="s">
        <v>25</v>
      </c>
      <c r="D22" s="312"/>
      <c r="E22" s="303" t="s">
        <v>26</v>
      </c>
      <c r="F22" s="304"/>
      <c r="G22" s="109"/>
      <c r="H22" s="110"/>
    </row>
    <row r="23" spans="2:8" ht="55.5" customHeight="1" x14ac:dyDescent="0.25">
      <c r="B23" s="106"/>
      <c r="C23" s="305" t="s">
        <v>27</v>
      </c>
      <c r="D23" s="306"/>
      <c r="E23" s="303" t="s">
        <v>28</v>
      </c>
      <c r="F23" s="304"/>
      <c r="G23" s="109"/>
      <c r="H23" s="110"/>
    </row>
    <row r="24" spans="2:8" ht="42" customHeight="1" x14ac:dyDescent="0.25">
      <c r="B24" s="106"/>
      <c r="C24" s="305" t="s">
        <v>29</v>
      </c>
      <c r="D24" s="306"/>
      <c r="E24" s="303" t="s">
        <v>30</v>
      </c>
      <c r="F24" s="304"/>
      <c r="G24" s="109"/>
      <c r="H24" s="110"/>
    </row>
    <row r="25" spans="2:8" ht="59.25" customHeight="1" x14ac:dyDescent="0.25">
      <c r="B25" s="106"/>
      <c r="C25" s="305" t="s">
        <v>31</v>
      </c>
      <c r="D25" s="306"/>
      <c r="E25" s="303" t="s">
        <v>32</v>
      </c>
      <c r="F25" s="304"/>
      <c r="G25" s="109"/>
      <c r="H25" s="110"/>
    </row>
    <row r="26" spans="2:8" ht="23.25" customHeight="1" x14ac:dyDescent="0.25">
      <c r="B26" s="106"/>
      <c r="C26" s="305" t="s">
        <v>33</v>
      </c>
      <c r="D26" s="306"/>
      <c r="E26" s="303" t="s">
        <v>34</v>
      </c>
      <c r="F26" s="304"/>
      <c r="G26" s="109"/>
      <c r="H26" s="110"/>
    </row>
    <row r="27" spans="2:8" ht="30.75" customHeight="1" x14ac:dyDescent="0.25">
      <c r="B27" s="106"/>
      <c r="C27" s="305" t="s">
        <v>35</v>
      </c>
      <c r="D27" s="306"/>
      <c r="E27" s="303" t="s">
        <v>36</v>
      </c>
      <c r="F27" s="304"/>
      <c r="G27" s="109"/>
      <c r="H27" s="110"/>
    </row>
    <row r="28" spans="2:8" ht="35.25" customHeight="1" x14ac:dyDescent="0.25">
      <c r="B28" s="106"/>
      <c r="C28" s="305" t="s">
        <v>37</v>
      </c>
      <c r="D28" s="306"/>
      <c r="E28" s="303" t="s">
        <v>38</v>
      </c>
      <c r="F28" s="304"/>
      <c r="G28" s="109"/>
      <c r="H28" s="110"/>
    </row>
    <row r="29" spans="2:8" ht="33" customHeight="1" x14ac:dyDescent="0.25">
      <c r="B29" s="106"/>
      <c r="C29" s="305" t="s">
        <v>37</v>
      </c>
      <c r="D29" s="306"/>
      <c r="E29" s="303" t="s">
        <v>38</v>
      </c>
      <c r="F29" s="304"/>
      <c r="G29" s="109"/>
      <c r="H29" s="110"/>
    </row>
    <row r="30" spans="2:8" ht="30" customHeight="1" x14ac:dyDescent="0.25">
      <c r="B30" s="106"/>
      <c r="C30" s="305" t="s">
        <v>39</v>
      </c>
      <c r="D30" s="306"/>
      <c r="E30" s="303" t="s">
        <v>40</v>
      </c>
      <c r="F30" s="304"/>
      <c r="G30" s="109"/>
      <c r="H30" s="110"/>
    </row>
    <row r="31" spans="2:8" ht="35.25" customHeight="1" x14ac:dyDescent="0.25">
      <c r="B31" s="106"/>
      <c r="C31" s="305" t="s">
        <v>41</v>
      </c>
      <c r="D31" s="306"/>
      <c r="E31" s="303" t="s">
        <v>42</v>
      </c>
      <c r="F31" s="304"/>
      <c r="G31" s="109"/>
      <c r="H31" s="110"/>
    </row>
    <row r="32" spans="2:8" ht="31.5" customHeight="1" x14ac:dyDescent="0.25">
      <c r="B32" s="106"/>
      <c r="C32" s="305" t="s">
        <v>43</v>
      </c>
      <c r="D32" s="306"/>
      <c r="E32" s="303" t="s">
        <v>44</v>
      </c>
      <c r="F32" s="304"/>
      <c r="G32" s="109"/>
      <c r="H32" s="110"/>
    </row>
    <row r="33" spans="2:8" ht="35.25" customHeight="1" x14ac:dyDescent="0.25">
      <c r="B33" s="106"/>
      <c r="C33" s="305" t="s">
        <v>45</v>
      </c>
      <c r="D33" s="306"/>
      <c r="E33" s="303" t="s">
        <v>46</v>
      </c>
      <c r="F33" s="304"/>
      <c r="G33" s="109"/>
      <c r="H33" s="110"/>
    </row>
    <row r="34" spans="2:8" ht="59.25" customHeight="1" x14ac:dyDescent="0.25">
      <c r="B34" s="106"/>
      <c r="C34" s="305" t="s">
        <v>47</v>
      </c>
      <c r="D34" s="306"/>
      <c r="E34" s="303" t="s">
        <v>48</v>
      </c>
      <c r="F34" s="304"/>
      <c r="G34" s="109"/>
      <c r="H34" s="110"/>
    </row>
    <row r="35" spans="2:8" ht="29.25" customHeight="1" x14ac:dyDescent="0.25">
      <c r="B35" s="106"/>
      <c r="C35" s="305" t="s">
        <v>49</v>
      </c>
      <c r="D35" s="306"/>
      <c r="E35" s="303" t="s">
        <v>50</v>
      </c>
      <c r="F35" s="304"/>
      <c r="G35" s="109"/>
      <c r="H35" s="110"/>
    </row>
    <row r="36" spans="2:8" ht="82.5" customHeight="1" x14ac:dyDescent="0.25">
      <c r="B36" s="106"/>
      <c r="C36" s="305" t="s">
        <v>51</v>
      </c>
      <c r="D36" s="306"/>
      <c r="E36" s="303" t="s">
        <v>52</v>
      </c>
      <c r="F36" s="304"/>
      <c r="G36" s="109"/>
      <c r="H36" s="110"/>
    </row>
    <row r="37" spans="2:8" ht="46.5" customHeight="1" x14ac:dyDescent="0.25">
      <c r="B37" s="106"/>
      <c r="C37" s="305" t="s">
        <v>53</v>
      </c>
      <c r="D37" s="306"/>
      <c r="E37" s="303" t="s">
        <v>54</v>
      </c>
      <c r="F37" s="304"/>
      <c r="G37" s="109"/>
      <c r="H37" s="110"/>
    </row>
    <row r="38" spans="2:8" ht="6.75" customHeight="1" thickBot="1" x14ac:dyDescent="0.3">
      <c r="B38" s="106"/>
      <c r="C38" s="316"/>
      <c r="D38" s="317"/>
      <c r="E38" s="318"/>
      <c r="F38" s="319"/>
      <c r="G38" s="109"/>
      <c r="H38" s="110"/>
    </row>
    <row r="39" spans="2:8" ht="15.75" thickTop="1" x14ac:dyDescent="0.25">
      <c r="B39" s="106"/>
      <c r="C39" s="107"/>
      <c r="D39" s="107"/>
      <c r="E39" s="108"/>
      <c r="F39" s="108"/>
      <c r="G39" s="109"/>
      <c r="H39" s="110"/>
    </row>
    <row r="40" spans="2:8" ht="21" customHeight="1" x14ac:dyDescent="0.25">
      <c r="B40" s="313" t="s">
        <v>55</v>
      </c>
      <c r="C40" s="314"/>
      <c r="D40" s="314"/>
      <c r="E40" s="314"/>
      <c r="F40" s="314"/>
      <c r="G40" s="314"/>
      <c r="H40" s="315"/>
    </row>
    <row r="41" spans="2:8" ht="20.25" customHeight="1" x14ac:dyDescent="0.25">
      <c r="B41" s="313" t="s">
        <v>56</v>
      </c>
      <c r="C41" s="314"/>
      <c r="D41" s="314"/>
      <c r="E41" s="314"/>
      <c r="F41" s="314"/>
      <c r="G41" s="314"/>
      <c r="H41" s="315"/>
    </row>
    <row r="42" spans="2:8" ht="20.25" customHeight="1" x14ac:dyDescent="0.25">
      <c r="B42" s="313" t="s">
        <v>57</v>
      </c>
      <c r="C42" s="314"/>
      <c r="D42" s="314"/>
      <c r="E42" s="314"/>
      <c r="F42" s="314"/>
      <c r="G42" s="314"/>
      <c r="H42" s="315"/>
    </row>
    <row r="43" spans="2:8" ht="20.25" customHeight="1" x14ac:dyDescent="0.25">
      <c r="B43" s="313" t="s">
        <v>58</v>
      </c>
      <c r="C43" s="314"/>
      <c r="D43" s="314"/>
      <c r="E43" s="314"/>
      <c r="F43" s="314"/>
      <c r="G43" s="314"/>
      <c r="H43" s="315"/>
    </row>
    <row r="44" spans="2:8" x14ac:dyDescent="0.25">
      <c r="B44" s="313" t="s">
        <v>59</v>
      </c>
      <c r="C44" s="314"/>
      <c r="D44" s="314"/>
      <c r="E44" s="314"/>
      <c r="F44" s="314"/>
      <c r="G44" s="314"/>
      <c r="H44" s="315"/>
    </row>
    <row r="45" spans="2:8" ht="15.75" thickBot="1" x14ac:dyDescent="0.3">
      <c r="B45" s="111"/>
      <c r="C45" s="112"/>
      <c r="D45" s="112"/>
      <c r="E45" s="112"/>
      <c r="F45" s="112"/>
      <c r="G45" s="112"/>
      <c r="H45" s="113"/>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61"/>
  <sheetViews>
    <sheetView tabSelected="1" topLeftCell="AF1" zoomScale="90" zoomScaleNormal="90" workbookViewId="0">
      <selection activeCell="AU11" sqref="AU11"/>
    </sheetView>
  </sheetViews>
  <sheetFormatPr baseColWidth="10" defaultColWidth="11.42578125" defaultRowHeight="16.5" x14ac:dyDescent="0.3"/>
  <cols>
    <col min="1" max="1" width="4" style="2" bestFit="1" customWidth="1"/>
    <col min="2" max="2" width="15.5703125" style="2" customWidth="1"/>
    <col min="3" max="4" width="14.140625" style="2" customWidth="1"/>
    <col min="5" max="5" width="13.140625" style="2" customWidth="1"/>
    <col min="6" max="6" width="17.5703125" style="2" customWidth="1"/>
    <col min="7" max="8" width="32.42578125" style="1" customWidth="1"/>
    <col min="9" max="9" width="28.28515625" style="1" customWidth="1"/>
    <col min="10" max="10" width="19" style="5" customWidth="1"/>
    <col min="11" max="11" width="17.85546875" style="1" customWidth="1"/>
    <col min="12" max="12" width="16.5703125" style="1" customWidth="1"/>
    <col min="13" max="13" width="6.28515625" style="1" bestFit="1" customWidth="1"/>
    <col min="14" max="14" width="27.28515625" style="1" bestFit="1" customWidth="1"/>
    <col min="15" max="15" width="11.5703125" style="1" customWidth="1"/>
    <col min="16" max="16" width="17.5703125" style="2" customWidth="1"/>
    <col min="17" max="17" width="6.28515625" style="2" bestFit="1" customWidth="1"/>
    <col min="18" max="18" width="16" style="2" customWidth="1"/>
    <col min="19" max="19" width="7.28515625" style="2" customWidth="1"/>
    <col min="20" max="20" width="11.140625" style="2" customWidth="1"/>
    <col min="21" max="21" width="8.140625" style="2" customWidth="1"/>
    <col min="22" max="22" width="9.85546875" style="2" customWidth="1"/>
    <col min="23" max="23" width="12.7109375" style="2" customWidth="1"/>
    <col min="24" max="24" width="13.140625" style="2" customWidth="1"/>
    <col min="25" max="25" width="5.85546875" style="2" customWidth="1"/>
    <col min="26" max="26" width="31" style="1" customWidth="1"/>
    <col min="27" max="27" width="15.140625" style="2" bestFit="1" customWidth="1"/>
    <col min="28" max="28" width="6.85546875" style="2" customWidth="1"/>
    <col min="29" max="29" width="5" style="2" customWidth="1"/>
    <col min="30" max="30" width="5.5703125" style="2" customWidth="1"/>
    <col min="31" max="31" width="7.140625" style="2" customWidth="1"/>
    <col min="32" max="32" width="6.7109375" style="2" customWidth="1"/>
    <col min="33" max="33" width="7.5703125" style="2" customWidth="1"/>
    <col min="34" max="34" width="8.28515625" style="2" customWidth="1"/>
    <col min="35" max="35" width="8.7109375" style="2" customWidth="1"/>
    <col min="36" max="36" width="10.42578125" style="2" customWidth="1"/>
    <col min="37" max="37" width="9.28515625" style="2" customWidth="1"/>
    <col min="38" max="38" width="9.140625" style="2" customWidth="1"/>
    <col min="39" max="39" width="8.42578125" style="2" customWidth="1"/>
    <col min="40" max="44" width="7.28515625" style="2" customWidth="1"/>
    <col min="45" max="45" width="5.7109375" style="2" customWidth="1"/>
    <col min="46" max="46" width="10" style="2" customWidth="1"/>
    <col min="47" max="47" width="23" style="1" customWidth="1"/>
    <col min="48" max="48" width="18.85546875" style="1" customWidth="1"/>
    <col min="49" max="49" width="16.85546875" style="1" customWidth="1"/>
    <col min="50" max="50" width="14.85546875" style="1" customWidth="1"/>
    <col min="51" max="51" width="36.85546875" style="1" customWidth="1"/>
    <col min="52" max="52" width="21" style="1" customWidth="1"/>
    <col min="53" max="53" width="30" style="1" customWidth="1"/>
    <col min="54" max="54" width="11.42578125" style="1"/>
    <col min="55" max="55" width="21" style="1" customWidth="1"/>
    <col min="56" max="16384" width="11.42578125" style="1"/>
  </cols>
  <sheetData>
    <row r="1" spans="1:84" ht="27" customHeight="1" x14ac:dyDescent="0.3">
      <c r="A1" s="226"/>
      <c r="B1" s="226"/>
      <c r="C1" s="226"/>
      <c r="D1" s="226"/>
      <c r="E1" s="226"/>
      <c r="F1" s="227" t="s">
        <v>60</v>
      </c>
      <c r="G1" s="226"/>
      <c r="H1" s="226"/>
      <c r="I1" s="226"/>
      <c r="J1" s="226"/>
      <c r="K1" s="226"/>
      <c r="L1" s="226"/>
      <c r="M1" s="226"/>
      <c r="N1" s="228" t="s">
        <v>61</v>
      </c>
      <c r="O1" s="229"/>
      <c r="P1" s="229"/>
      <c r="Q1" s="229"/>
      <c r="R1" s="230"/>
      <c r="Y1" s="140"/>
      <c r="Z1" s="139"/>
      <c r="AA1" s="140"/>
      <c r="AB1" s="140"/>
      <c r="AC1" s="140"/>
      <c r="AD1" s="140"/>
      <c r="AE1" s="140"/>
      <c r="AF1" s="140"/>
      <c r="AG1" s="140"/>
      <c r="AH1" s="140"/>
      <c r="AI1" s="140"/>
      <c r="AJ1" s="140"/>
      <c r="AK1" s="140"/>
      <c r="AL1" s="140"/>
      <c r="AM1" s="140"/>
      <c r="AN1" s="140"/>
      <c r="AU1" s="139"/>
      <c r="AV1" s="139"/>
      <c r="AW1" s="139"/>
      <c r="AX1" s="139"/>
      <c r="AY1" s="139"/>
      <c r="AZ1" s="139"/>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row>
    <row r="2" spans="1:84" ht="42.6" customHeight="1" x14ac:dyDescent="0.3">
      <c r="A2" s="226"/>
      <c r="B2" s="226"/>
      <c r="C2" s="226"/>
      <c r="D2" s="226"/>
      <c r="E2" s="226"/>
      <c r="F2" s="226"/>
      <c r="G2" s="226"/>
      <c r="H2" s="226"/>
      <c r="I2" s="226"/>
      <c r="J2" s="226"/>
      <c r="K2" s="226"/>
      <c r="L2" s="226"/>
      <c r="M2" s="226"/>
      <c r="N2" s="231" t="s">
        <v>62</v>
      </c>
      <c r="O2" s="232"/>
      <c r="P2" s="232"/>
      <c r="Q2" s="232"/>
      <c r="R2" s="233"/>
      <c r="S2" s="196"/>
      <c r="T2" s="196"/>
      <c r="U2" s="196"/>
      <c r="V2" s="196"/>
      <c r="W2" s="196"/>
      <c r="X2" s="196"/>
      <c r="Y2" s="140"/>
      <c r="Z2" s="139"/>
      <c r="AA2" s="140"/>
      <c r="AB2" s="140"/>
      <c r="AC2" s="140"/>
      <c r="AD2" s="140"/>
      <c r="AE2" s="140"/>
      <c r="AF2" s="140"/>
      <c r="AG2" s="140"/>
      <c r="AH2" s="140"/>
      <c r="AI2" s="140"/>
      <c r="AJ2" s="140"/>
      <c r="AK2" s="140"/>
      <c r="AL2" s="140"/>
      <c r="AM2" s="140"/>
      <c r="AN2" s="140"/>
      <c r="AO2" s="185"/>
      <c r="AP2" s="185"/>
      <c r="AQ2" s="185"/>
      <c r="AR2" s="185"/>
      <c r="AS2" s="185"/>
      <c r="AT2" s="185"/>
      <c r="AU2" s="139"/>
      <c r="AV2" s="139"/>
      <c r="AW2" s="139"/>
      <c r="AX2" s="139"/>
      <c r="AY2" s="139"/>
      <c r="AZ2" s="139"/>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row>
    <row r="3" spans="1:84" ht="24" customHeight="1" x14ac:dyDescent="0.3">
      <c r="A3" s="226"/>
      <c r="B3" s="226"/>
      <c r="C3" s="226"/>
      <c r="D3" s="226"/>
      <c r="E3" s="226"/>
      <c r="F3" s="226"/>
      <c r="G3" s="226"/>
      <c r="H3" s="226"/>
      <c r="I3" s="226"/>
      <c r="J3" s="226"/>
      <c r="K3" s="226"/>
      <c r="L3" s="226"/>
      <c r="M3" s="226"/>
      <c r="N3" s="231" t="s">
        <v>307</v>
      </c>
      <c r="O3" s="232"/>
      <c r="P3" s="232"/>
      <c r="Q3" s="232"/>
      <c r="R3" s="233"/>
      <c r="S3" s="197"/>
      <c r="T3" s="197"/>
      <c r="U3" s="197"/>
      <c r="V3" s="197"/>
      <c r="W3" s="197"/>
      <c r="X3" s="197"/>
      <c r="Y3" s="140"/>
      <c r="Z3" s="140"/>
      <c r="AA3" s="140"/>
      <c r="AB3" s="140"/>
      <c r="AC3" s="140"/>
      <c r="AD3" s="140"/>
      <c r="AE3" s="140"/>
      <c r="AF3" s="140"/>
      <c r="AG3" s="140"/>
      <c r="AH3" s="140"/>
      <c r="AI3" s="140"/>
      <c r="AJ3" s="140"/>
      <c r="AK3" s="140"/>
      <c r="AL3" s="140"/>
      <c r="AM3" s="140"/>
      <c r="AN3" s="140"/>
      <c r="AO3" s="186"/>
      <c r="AP3" s="186"/>
      <c r="AQ3" s="186"/>
      <c r="AR3" s="186"/>
      <c r="AS3" s="186"/>
      <c r="AT3" s="186"/>
      <c r="AU3" s="140"/>
      <c r="AV3" s="140"/>
      <c r="AW3" s="140"/>
      <c r="AX3" s="140"/>
      <c r="AY3" s="140"/>
      <c r="AZ3" s="140"/>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row>
    <row r="4" spans="1:84" ht="28.15" customHeight="1" x14ac:dyDescent="0.3">
      <c r="A4" s="226"/>
      <c r="B4" s="226"/>
      <c r="C4" s="226"/>
      <c r="D4" s="226"/>
      <c r="E4" s="226"/>
      <c r="F4" s="226"/>
      <c r="G4" s="226"/>
      <c r="H4" s="226"/>
      <c r="I4" s="226"/>
      <c r="J4" s="226"/>
      <c r="K4" s="226"/>
      <c r="L4" s="226"/>
      <c r="M4" s="226"/>
      <c r="N4" s="234" t="s">
        <v>306</v>
      </c>
      <c r="O4" s="235"/>
      <c r="P4" s="235"/>
      <c r="Q4" s="235"/>
      <c r="R4" s="236"/>
      <c r="S4" s="148"/>
      <c r="T4" s="148"/>
      <c r="U4" s="148"/>
      <c r="V4" s="148"/>
      <c r="W4" s="148"/>
      <c r="X4" s="148"/>
      <c r="Y4" s="148"/>
      <c r="Z4" s="8"/>
      <c r="AA4" s="148"/>
      <c r="AB4" s="148"/>
      <c r="AC4" s="148"/>
      <c r="AD4" s="148"/>
      <c r="AE4" s="148"/>
      <c r="AF4" s="148"/>
      <c r="AG4" s="148"/>
      <c r="AH4" s="148"/>
      <c r="AI4" s="148"/>
      <c r="AJ4" s="148"/>
      <c r="AK4" s="148"/>
      <c r="AL4" s="148"/>
      <c r="AM4" s="148"/>
      <c r="AN4" s="148"/>
      <c r="AO4" s="148"/>
      <c r="AP4" s="148"/>
      <c r="AQ4" s="148"/>
      <c r="AR4" s="148"/>
      <c r="AS4" s="148"/>
      <c r="AT4" s="14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0.25" customHeight="1" x14ac:dyDescent="0.3">
      <c r="A5" s="272" t="s">
        <v>63</v>
      </c>
      <c r="B5" s="273"/>
      <c r="C5" s="274"/>
      <c r="D5" s="217" t="s">
        <v>64</v>
      </c>
      <c r="E5" s="218"/>
      <c r="F5" s="218"/>
      <c r="G5" s="218"/>
      <c r="H5" s="218"/>
      <c r="I5" s="218"/>
      <c r="J5" s="218"/>
      <c r="K5" s="218"/>
      <c r="L5" s="218"/>
      <c r="M5" s="218"/>
      <c r="N5" s="218"/>
      <c r="O5" s="218"/>
      <c r="P5" s="218"/>
      <c r="Q5" s="218"/>
      <c r="R5" s="219"/>
      <c r="S5" s="198"/>
      <c r="T5" s="198"/>
      <c r="U5" s="198"/>
      <c r="V5" s="198"/>
      <c r="W5" s="198"/>
      <c r="X5" s="198"/>
      <c r="Y5" s="237"/>
      <c r="Z5" s="237"/>
      <c r="AA5" s="237"/>
      <c r="AB5" s="148"/>
      <c r="AC5" s="148"/>
      <c r="AD5" s="148"/>
      <c r="AE5" s="148"/>
      <c r="AF5" s="148"/>
      <c r="AG5" s="148"/>
      <c r="AH5" s="148"/>
      <c r="AI5" s="148"/>
      <c r="AJ5" s="148"/>
      <c r="AK5" s="148"/>
      <c r="AL5" s="148"/>
      <c r="AM5" s="148"/>
      <c r="AN5" s="148"/>
      <c r="AO5" s="148"/>
      <c r="AP5" s="148"/>
      <c r="AQ5" s="148"/>
      <c r="AR5" s="148"/>
      <c r="AS5" s="148"/>
      <c r="AT5" s="14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22.5" customHeight="1" x14ac:dyDescent="0.3">
      <c r="A6" s="275" t="s">
        <v>65</v>
      </c>
      <c r="B6" s="276"/>
      <c r="C6" s="277"/>
      <c r="D6" s="220" t="s">
        <v>66</v>
      </c>
      <c r="E6" s="221"/>
      <c r="F6" s="221"/>
      <c r="G6" s="221"/>
      <c r="H6" s="221"/>
      <c r="I6" s="221"/>
      <c r="J6" s="221"/>
      <c r="K6" s="221"/>
      <c r="L6" s="221"/>
      <c r="M6" s="221"/>
      <c r="N6" s="221"/>
      <c r="O6" s="221"/>
      <c r="P6" s="221"/>
      <c r="Q6" s="221"/>
      <c r="R6" s="222"/>
      <c r="S6" s="199"/>
      <c r="T6" s="199"/>
      <c r="U6" s="199"/>
      <c r="V6" s="199"/>
      <c r="W6" s="199"/>
      <c r="X6" s="199"/>
      <c r="Y6" s="148"/>
      <c r="Z6" s="8"/>
      <c r="AA6" s="148"/>
      <c r="AB6" s="148"/>
      <c r="AC6" s="148"/>
      <c r="AD6" s="148"/>
      <c r="AE6" s="148"/>
      <c r="AF6" s="148"/>
      <c r="AG6" s="148"/>
      <c r="AH6" s="148"/>
      <c r="AI6" s="148"/>
      <c r="AJ6" s="148"/>
      <c r="AK6" s="148"/>
      <c r="AL6" s="148"/>
      <c r="AM6" s="148"/>
      <c r="AN6" s="148"/>
      <c r="AO6" s="148"/>
      <c r="AP6" s="148"/>
      <c r="AQ6" s="148"/>
      <c r="AR6" s="148"/>
      <c r="AS6" s="148"/>
      <c r="AT6" s="14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24" customHeight="1" x14ac:dyDescent="0.3">
      <c r="A7" s="278" t="s">
        <v>67</v>
      </c>
      <c r="B7" s="279"/>
      <c r="C7" s="280"/>
      <c r="D7" s="223" t="s">
        <v>68</v>
      </c>
      <c r="E7" s="224"/>
      <c r="F7" s="224"/>
      <c r="G7" s="224"/>
      <c r="H7" s="224"/>
      <c r="I7" s="224"/>
      <c r="J7" s="224"/>
      <c r="K7" s="224"/>
      <c r="L7" s="224"/>
      <c r="M7" s="224"/>
      <c r="N7" s="224"/>
      <c r="O7" s="224"/>
      <c r="P7" s="224"/>
      <c r="Q7" s="224"/>
      <c r="R7" s="225"/>
      <c r="S7" s="199"/>
      <c r="T7" s="199"/>
      <c r="U7" s="199"/>
      <c r="V7" s="199"/>
      <c r="W7" s="199"/>
      <c r="X7" s="199"/>
      <c r="Y7" s="148"/>
      <c r="Z7" s="8"/>
      <c r="AA7" s="148"/>
      <c r="AB7" s="148"/>
      <c r="AC7" s="148"/>
      <c r="AD7" s="148"/>
      <c r="AE7" s="148"/>
      <c r="AF7" s="148"/>
      <c r="AG7" s="148"/>
      <c r="AH7" s="148"/>
      <c r="AI7" s="148"/>
      <c r="AJ7" s="148"/>
      <c r="AK7" s="148"/>
      <c r="AL7" s="148"/>
      <c r="AM7" s="148"/>
      <c r="AN7" s="148"/>
      <c r="AO7" s="148"/>
      <c r="AP7" s="148"/>
      <c r="AQ7" s="148"/>
      <c r="AR7" s="148"/>
      <c r="AS7" s="148"/>
      <c r="AT7" s="14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238" t="s">
        <v>69</v>
      </c>
      <c r="B8" s="238"/>
      <c r="C8" s="238"/>
      <c r="D8" s="238"/>
      <c r="E8" s="238"/>
      <c r="F8" s="238"/>
      <c r="G8" s="238"/>
      <c r="H8" s="238"/>
      <c r="I8" s="238"/>
      <c r="J8" s="238"/>
      <c r="K8" s="238"/>
      <c r="L8" s="238" t="s">
        <v>70</v>
      </c>
      <c r="M8" s="238"/>
      <c r="N8" s="238"/>
      <c r="O8" s="238"/>
      <c r="P8" s="238"/>
      <c r="Q8" s="238"/>
      <c r="R8" s="238"/>
      <c r="S8" s="241" t="s">
        <v>71</v>
      </c>
      <c r="T8" s="242"/>
      <c r="U8" s="242"/>
      <c r="V8" s="242"/>
      <c r="W8" s="242"/>
      <c r="X8" s="243"/>
      <c r="Y8" s="239" t="s">
        <v>72</v>
      </c>
      <c r="Z8" s="239"/>
      <c r="AA8" s="239"/>
      <c r="AB8" s="239"/>
      <c r="AC8" s="239"/>
      <c r="AD8" s="239"/>
      <c r="AE8" s="239"/>
      <c r="AF8" s="239"/>
      <c r="AG8" s="240"/>
      <c r="AH8" s="244" t="s">
        <v>73</v>
      </c>
      <c r="AI8" s="239"/>
      <c r="AJ8" s="239"/>
      <c r="AK8" s="239"/>
      <c r="AL8" s="239"/>
      <c r="AM8" s="239"/>
      <c r="AN8" s="240"/>
      <c r="AO8" s="241" t="s">
        <v>74</v>
      </c>
      <c r="AP8" s="242"/>
      <c r="AQ8" s="242"/>
      <c r="AR8" s="242"/>
      <c r="AS8" s="295"/>
      <c r="AT8" s="295"/>
      <c r="AU8" s="244" t="s">
        <v>75</v>
      </c>
      <c r="AV8" s="239"/>
      <c r="AW8" s="239"/>
      <c r="AX8" s="239"/>
      <c r="AY8" s="239"/>
      <c r="AZ8" s="240"/>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281" t="s">
        <v>76</v>
      </c>
      <c r="B9" s="137"/>
      <c r="C9" s="285" t="s">
        <v>15</v>
      </c>
      <c r="D9" s="136"/>
      <c r="E9" s="284" t="s">
        <v>77</v>
      </c>
      <c r="F9" s="284" t="s">
        <v>78</v>
      </c>
      <c r="G9" s="285" t="s">
        <v>21</v>
      </c>
      <c r="H9" s="291" t="s">
        <v>79</v>
      </c>
      <c r="I9" s="291" t="s">
        <v>80</v>
      </c>
      <c r="J9" s="283" t="s">
        <v>23</v>
      </c>
      <c r="K9" s="284" t="s">
        <v>81</v>
      </c>
      <c r="L9" s="283" t="s">
        <v>82</v>
      </c>
      <c r="M9" s="301" t="s">
        <v>83</v>
      </c>
      <c r="N9" s="283" t="s">
        <v>84</v>
      </c>
      <c r="O9" s="283" t="s">
        <v>85</v>
      </c>
      <c r="P9" s="302" t="s">
        <v>86</v>
      </c>
      <c r="Q9" s="301" t="s">
        <v>83</v>
      </c>
      <c r="R9" s="284" t="s">
        <v>29</v>
      </c>
      <c r="S9" s="292" t="s">
        <v>87</v>
      </c>
      <c r="T9" s="292"/>
      <c r="U9" s="292"/>
      <c r="V9" s="292"/>
      <c r="W9" s="292" t="s">
        <v>88</v>
      </c>
      <c r="X9" s="292"/>
      <c r="Y9" s="287" t="s">
        <v>89</v>
      </c>
      <c r="Z9" s="271" t="s">
        <v>90</v>
      </c>
      <c r="AA9" s="290" t="s">
        <v>33</v>
      </c>
      <c r="AB9" s="271" t="s">
        <v>91</v>
      </c>
      <c r="AC9" s="271"/>
      <c r="AD9" s="271"/>
      <c r="AE9" s="271"/>
      <c r="AF9" s="271"/>
      <c r="AG9" s="271"/>
      <c r="AH9" s="289" t="s">
        <v>92</v>
      </c>
      <c r="AI9" s="289" t="s">
        <v>93</v>
      </c>
      <c r="AJ9" s="289" t="s">
        <v>83</v>
      </c>
      <c r="AK9" s="289" t="s">
        <v>94</v>
      </c>
      <c r="AL9" s="289" t="s">
        <v>83</v>
      </c>
      <c r="AM9" s="289" t="s">
        <v>95</v>
      </c>
      <c r="AN9" s="287" t="s">
        <v>49</v>
      </c>
      <c r="AO9" s="296" t="s">
        <v>87</v>
      </c>
      <c r="AP9" s="296"/>
      <c r="AQ9" s="296"/>
      <c r="AR9" s="296"/>
      <c r="AS9" s="297" t="s">
        <v>88</v>
      </c>
      <c r="AT9" s="298"/>
      <c r="AU9" s="271" t="s">
        <v>75</v>
      </c>
      <c r="AV9" s="271" t="s">
        <v>96</v>
      </c>
      <c r="AW9" s="271" t="s">
        <v>97</v>
      </c>
      <c r="AX9" s="271" t="s">
        <v>98</v>
      </c>
      <c r="AY9" s="271" t="s">
        <v>99</v>
      </c>
      <c r="AZ9" s="271" t="s">
        <v>53</v>
      </c>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94.5" customHeight="1" x14ac:dyDescent="0.25">
      <c r="A10" s="282"/>
      <c r="B10" s="135" t="s">
        <v>100</v>
      </c>
      <c r="C10" s="286"/>
      <c r="D10" s="134" t="s">
        <v>101</v>
      </c>
      <c r="E10" s="271"/>
      <c r="F10" s="271"/>
      <c r="G10" s="286"/>
      <c r="H10" s="285"/>
      <c r="I10" s="285"/>
      <c r="J10" s="284"/>
      <c r="K10" s="271"/>
      <c r="L10" s="284"/>
      <c r="M10" s="244"/>
      <c r="N10" s="284"/>
      <c r="O10" s="284"/>
      <c r="P10" s="244"/>
      <c r="Q10" s="244"/>
      <c r="R10" s="271"/>
      <c r="S10" s="293" t="s">
        <v>102</v>
      </c>
      <c r="T10" s="294"/>
      <c r="U10" s="293" t="s">
        <v>15</v>
      </c>
      <c r="V10" s="294"/>
      <c r="W10" s="146" t="s">
        <v>103</v>
      </c>
      <c r="X10" s="146" t="s">
        <v>104</v>
      </c>
      <c r="Y10" s="288"/>
      <c r="Z10" s="271"/>
      <c r="AA10" s="284"/>
      <c r="AB10" s="7" t="s">
        <v>105</v>
      </c>
      <c r="AC10" s="7" t="s">
        <v>106</v>
      </c>
      <c r="AD10" s="7" t="s">
        <v>87</v>
      </c>
      <c r="AE10" s="7" t="s">
        <v>107</v>
      </c>
      <c r="AF10" s="7" t="s">
        <v>108</v>
      </c>
      <c r="AG10" s="7" t="s">
        <v>109</v>
      </c>
      <c r="AH10" s="289"/>
      <c r="AI10" s="289"/>
      <c r="AJ10" s="289"/>
      <c r="AK10" s="289"/>
      <c r="AL10" s="289"/>
      <c r="AM10" s="289"/>
      <c r="AN10" s="288"/>
      <c r="AO10" s="299" t="s">
        <v>102</v>
      </c>
      <c r="AP10" s="300"/>
      <c r="AQ10" s="299" t="s">
        <v>15</v>
      </c>
      <c r="AR10" s="300"/>
      <c r="AS10" s="151" t="s">
        <v>110</v>
      </c>
      <c r="AT10" s="147" t="s">
        <v>111</v>
      </c>
      <c r="AU10" s="271"/>
      <c r="AV10" s="271"/>
      <c r="AW10" s="271"/>
      <c r="AX10" s="271"/>
      <c r="AY10" s="271"/>
      <c r="AZ10" s="271"/>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3" customFormat="1" ht="167.25" customHeight="1" x14ac:dyDescent="0.25">
      <c r="A11" s="250">
        <v>1</v>
      </c>
      <c r="B11" s="268" t="s">
        <v>112</v>
      </c>
      <c r="C11" s="253" t="s">
        <v>113</v>
      </c>
      <c r="D11" s="128" t="s">
        <v>114</v>
      </c>
      <c r="E11" s="253" t="s">
        <v>115</v>
      </c>
      <c r="F11" s="253" t="s">
        <v>116</v>
      </c>
      <c r="G11" s="256" t="s">
        <v>117</v>
      </c>
      <c r="H11" s="200" t="s">
        <v>118</v>
      </c>
      <c r="I11" s="131" t="s">
        <v>119</v>
      </c>
      <c r="J11" s="253" t="s">
        <v>120</v>
      </c>
      <c r="K11" s="259">
        <v>215</v>
      </c>
      <c r="L11" s="262" t="str">
        <f>IF(K11&lt;=0,"",IF(K11&lt;=2,"Muy Baja",IF(K11&lt;=24,"Baja",IF(K11&lt;=500,"Media",IF(K11&lt;=5000,"Alta","Muy Alta")))))</f>
        <v>Media</v>
      </c>
      <c r="M11" s="209">
        <f>IF(L11="","",IF(L11="Muy Baja",0.2,IF(L11="Baja",0.4,IF(L11="Media",0.6,IF(L11="Alta",0.8,IF(L11="Muy Alta",1,))))))</f>
        <v>0.6</v>
      </c>
      <c r="N11" s="211" t="s">
        <v>121</v>
      </c>
      <c r="O11" s="209" t="str">
        <f>IF(NOT(ISERROR(MATCH(N11,'Tabla Impacto'!$B$221:$B$223,0))),'Tabla Impacto'!$F$223&amp;"Por favor no seleccionar los criterios de impacto(Afectación Económica o presupuestal y Pérdida Reputacional)",N11)</f>
        <v xml:space="preserve">     El riesgo afecta la imagen de la entidad con algunos usuarios de relevancia frente al logro de los objetivos</v>
      </c>
      <c r="P11" s="213" t="str">
        <f>IF(OR(O11='Tabla Impacto'!$C$11,O11='Tabla Impacto'!$D$11),"Leve",IF(OR(O11='Tabla Impacto'!$C$12,O11='Tabla Impacto'!$D$12),"Menor",IF(OR(O11='Tabla Impacto'!$C$13,O11='Tabla Impacto'!$D$13),"Moderado",IF(OR(O11='Tabla Impacto'!$C$14,O11='Tabla Impacto'!$D$14),"Mayor",IF(OR(O11='Tabla Impacto'!$C$15,O11='Tabla Impacto'!$D$15),"Catastrófico","")))))</f>
        <v>Moderado</v>
      </c>
      <c r="Q11" s="215">
        <f>IF(P11="","",IF(P11="Leve",0.2,IF(P11="Menor",0.4,IF(P11="Moderado",0.6,IF(P11="Mayor",0.8,IF(P11="Catastrófico",1,))))))</f>
        <v>0.6</v>
      </c>
      <c r="R11" s="207"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Moderado</v>
      </c>
      <c r="S11" s="150">
        <v>3</v>
      </c>
      <c r="T11" s="150" t="str">
        <f>+IF(S11=5,"CASI SEGURO",(IF(S11=4,"PROBABLE",(IF(S11=3,"POSIBLE",(IF(S11=2,"RARA VEZ",(IF(S11=1,"IMPROBABLE","")))))))))</f>
        <v>POSIBLE</v>
      </c>
      <c r="U11" s="150">
        <v>5</v>
      </c>
      <c r="V11" s="150" t="str">
        <f>+IF(U11=5,"ALTO",(IF(U11=3,"MEDIO",(IF(U11=1,"BAJO",IF(OR(U11=2,U11=4),"NO APLICA",""))))))</f>
        <v>ALTO</v>
      </c>
      <c r="W11" s="150">
        <f>IF(AND(S11&lt;&gt;"",U11&lt;&gt;"",V11&lt;&gt;"NO APLICA"),S11*U11,"")</f>
        <v>15</v>
      </c>
      <c r="X11" s="150" t="str">
        <f>IF(AND(W11&lt;4,W11&gt;0),"BAJA",IF(AND(W11&gt;9,W11&lt;26),"ALTA",IF(AND(W11&gt;3,W11&lt;10),"MEDIA","")))</f>
        <v>ALTA</v>
      </c>
      <c r="Y11" s="6">
        <v>1</v>
      </c>
      <c r="Z11" s="141" t="s">
        <v>122</v>
      </c>
      <c r="AA11" s="195" t="str">
        <f t="shared" ref="AA11:AA25" si="0">IF(OR(AB11="Preventivo",AB11="Detectivo"),"Probabilidad",IF(AB11="Correctivo","Impacto",""))</f>
        <v>Probabilidad</v>
      </c>
      <c r="AB11" s="187" t="s">
        <v>123</v>
      </c>
      <c r="AC11" s="187" t="s">
        <v>124</v>
      </c>
      <c r="AD11" s="188" t="str">
        <f>IF(AND(AB11="Preventivo",AC11="Automático"),"50%",IF(AND(AB11="Preventivo",AC11="Manual"),"40%",IF(AND(AB11="Detectivo",AC11="Automático"),"40%",IF(AND(AB11="Detectivo",AC11="Manual"),"30%",IF(AND(AB11="Correctivo",AC11="Automático"),"35%",IF(AND(AB11="Correctivo",AC11="Manual"),"25%",""))))))</f>
        <v>40%</v>
      </c>
      <c r="AE11" s="187" t="s">
        <v>125</v>
      </c>
      <c r="AF11" s="187" t="s">
        <v>126</v>
      </c>
      <c r="AG11" s="187" t="s">
        <v>127</v>
      </c>
      <c r="AH11" s="189">
        <f>IFERROR(IF(AA11="Probabilidad",(M11-(+M11*AD11)),IF(AA11="Impacto",M11,"")),"")</f>
        <v>0.36</v>
      </c>
      <c r="AI11" s="190" t="str">
        <f>IFERROR(IF(AH11="","",IF(AH11&lt;=0.2,"Muy Baja",IF(AH11&lt;=0.4,"Baja",IF(AH11&lt;=0.6,"Media",IF(AH11&lt;=0.8,"Alta","Muy Alta"))))),"")</f>
        <v>Baja</v>
      </c>
      <c r="AJ11" s="191">
        <f>+AH11</f>
        <v>0.36</v>
      </c>
      <c r="AK11" s="190" t="str">
        <f>IFERROR(IF(AL11="","",IF(AL11&lt;=0.2,"Leve",IF(AL11&lt;=0.4,"Menor",IF(AL11&lt;=0.6,"Moderado",IF(AL11&lt;=0.8,"Mayor","Catastrófico"))))),"")</f>
        <v>Moderado</v>
      </c>
      <c r="AL11" s="191">
        <f>IFERROR(IF(AA11="Impacto",(Q11-(+Q11*AD11)),IF(AA11="Probabilidad",Q11,"")),"")</f>
        <v>0.6</v>
      </c>
      <c r="AM11" s="192"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Moderado</v>
      </c>
      <c r="AN11" s="193" t="s">
        <v>128</v>
      </c>
      <c r="AO11" s="150"/>
      <c r="AP11" s="152"/>
      <c r="AQ11" s="150"/>
      <c r="AR11" s="152"/>
      <c r="AS11" s="150"/>
      <c r="AT11" s="152"/>
      <c r="AU11" s="149" t="s">
        <v>129</v>
      </c>
      <c r="AV11" s="142" t="s">
        <v>130</v>
      </c>
      <c r="AW11" s="143" t="s">
        <v>131</v>
      </c>
      <c r="AX11" s="143" t="s">
        <v>131</v>
      </c>
      <c r="AY11" s="149" t="s">
        <v>302</v>
      </c>
      <c r="AZ11" s="143" t="s">
        <v>132</v>
      </c>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row>
    <row r="12" spans="1:84" ht="151.5" customHeight="1" x14ac:dyDescent="0.3">
      <c r="A12" s="251"/>
      <c r="B12" s="269"/>
      <c r="C12" s="254"/>
      <c r="D12" s="129"/>
      <c r="E12" s="254"/>
      <c r="F12" s="254"/>
      <c r="G12" s="257"/>
      <c r="H12" s="132"/>
      <c r="I12" s="132"/>
      <c r="J12" s="254"/>
      <c r="K12" s="260"/>
      <c r="L12" s="263"/>
      <c r="M12" s="210"/>
      <c r="N12" s="212"/>
      <c r="O12" s="210">
        <f>IF(NOT(ISERROR(MATCH(N12,_xlfn.ANCHORARRAY(G17),0))),M19&amp;"Por favor no seleccionar los criterios de impacto",N12)</f>
        <v>0</v>
      </c>
      <c r="P12" s="214"/>
      <c r="Q12" s="216"/>
      <c r="R12" s="208"/>
      <c r="S12" s="150"/>
      <c r="T12" s="150" t="str">
        <f t="shared" ref="T12:T58" si="1">+IF(S12=5,"CASI SEGURO",(IF(S12=4,"PROBABLE",(IF(S12=3,"POSIBLE",(IF(S12=2,"RARA VEZ",(IF(S12=1,"IMPROBABLE","")))))))))</f>
        <v/>
      </c>
      <c r="U12" s="150"/>
      <c r="V12" s="150" t="str">
        <f t="shared" ref="V12:V58" si="2">+IF(U12=5,"ALTO",(IF(U12=3,"MEDIO",(IF(U12=1,"BAJO",IF(OR(U12=2,U12=4),"NO APLICA",""))))))</f>
        <v/>
      </c>
      <c r="W12" s="150" t="str">
        <f t="shared" ref="W12:W58" si="3">IF(AND(S12&lt;&gt;"",U12&lt;&gt;"",V12&lt;&gt;"NO APLICA"),S12*U12,"")</f>
        <v/>
      </c>
      <c r="X12" s="150" t="str">
        <f t="shared" ref="X12:X58" si="4">IF(AND(W12&lt;4,W12&gt;0),"BAJA",IF(AND(W12&gt;9,W12&lt;26),"ALTA",IF(AND(W12&gt;3,W12&lt;10),"MEDIA","")))</f>
        <v/>
      </c>
      <c r="Y12" s="6">
        <v>2</v>
      </c>
      <c r="Z12" s="120" t="s">
        <v>133</v>
      </c>
      <c r="AA12" s="195" t="str">
        <f t="shared" si="0"/>
        <v/>
      </c>
      <c r="AB12" s="187"/>
      <c r="AC12" s="187"/>
      <c r="AD12" s="188" t="str">
        <f t="shared" ref="AD12:AD13" si="5">IF(AND(AB12="Preventivo",AC12="Automático"),"50%",IF(AND(AB12="Preventivo",AC12="Manual"),"40%",IF(AND(AB12="Detectivo",AC12="Automático"),"40%",IF(AND(AB12="Detectivo",AC12="Manual"),"30%",IF(AND(AB12="Correctivo",AC12="Automático"),"35%",IF(AND(AB12="Correctivo",AC12="Manual"),"25%",""))))))</f>
        <v/>
      </c>
      <c r="AE12" s="187"/>
      <c r="AF12" s="187"/>
      <c r="AG12" s="187"/>
      <c r="AH12" s="189" t="str">
        <f>IFERROR(IF(AND(AA11="Probabilidad",AA12="Probabilidad"),(AJ11-(+AJ11*AD12)),IF(AA12="Probabilidad",(M11-(+M11*AD12)),IF(AA12="Impacto",AJ11,""))),"")</f>
        <v/>
      </c>
      <c r="AI12" s="190" t="str">
        <f t="shared" ref="AI12:AI58" si="6">IFERROR(IF(AH12="","",IF(AH12&lt;=0.2,"Muy Baja",IF(AH12&lt;=0.4,"Baja",IF(AH12&lt;=0.6,"Media",IF(AH12&lt;=0.8,"Alta","Muy Alta"))))),"")</f>
        <v/>
      </c>
      <c r="AJ12" s="191" t="str">
        <f t="shared" ref="AJ12:AJ13" si="7">+AH12</f>
        <v/>
      </c>
      <c r="AK12" s="190" t="str">
        <f t="shared" ref="AK12:AK58" si="8">IFERROR(IF(AL12="","",IF(AL12&lt;=0.2,"Leve",IF(AL12&lt;=0.4,"Menor",IF(AL12&lt;=0.6,"Moderado",IF(AL12&lt;=0.8,"Mayor","Catastrófico"))))),"")</f>
        <v/>
      </c>
      <c r="AL12" s="191" t="str">
        <f>IFERROR(IF(AND(AA11="Impacto",AA12="Impacto"),(AL11-(+AL11*AD12)),IF(AA12="Impacto",(Q11-(+Q11*AD12)),IF(AA12="Probabilidad",AL11,""))),"")</f>
        <v/>
      </c>
      <c r="AM12" s="192" t="str">
        <f t="shared" ref="AM12:AM13" si="9">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
      </c>
      <c r="AN12" s="193"/>
      <c r="AO12" s="150">
        <v>4</v>
      </c>
      <c r="AP12" s="152" t="str">
        <f>+IF(AO12=5,"CASI SEGURO",(IF(AO12=4,"PROBABLE",(IF(AO12=3,"POSIBLE",(IF(AO12=2,"RARA VEZ",(IF(AO12=1,"IMPROBABLE","")))))))))</f>
        <v>PROBABLE</v>
      </c>
      <c r="AQ12" s="150">
        <v>5</v>
      </c>
      <c r="AR12" s="152" t="str">
        <f>+IF(AQ12=5,"ALTO",(IF(AQ12=3,"MEDIO",(IF(AQ12=1,"BAJO",IF(OR(AQ12=2,AQ12=4),"NO APLICA",""))))))</f>
        <v>ALTO</v>
      </c>
      <c r="AS12" s="150">
        <f>IF(AND(AO12&lt;&gt;"",AQ12&lt;&gt;"",AR12&lt;&gt;"NO APLICA"),AO12*AQ12,"")</f>
        <v>20</v>
      </c>
      <c r="AT12" s="152" t="str">
        <f>IF(AND(AS12&lt;4,AS12&gt;0),"BAJA",IF(AND(AS12&gt;9,AS12&lt;26),"ALTA",IF(AND(AS12&gt;3,AS12&lt;10),"MEDIA","")))</f>
        <v>ALTA</v>
      </c>
      <c r="AU12" s="149" t="s">
        <v>134</v>
      </c>
      <c r="AV12" s="142" t="s">
        <v>135</v>
      </c>
      <c r="AW12" s="143">
        <v>45662</v>
      </c>
      <c r="AX12" s="143">
        <v>45930</v>
      </c>
      <c r="AY12" s="149" t="s">
        <v>303</v>
      </c>
      <c r="AZ12" s="143" t="s">
        <v>132</v>
      </c>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151.5" customHeight="1" x14ac:dyDescent="0.3">
      <c r="A13" s="251"/>
      <c r="B13" s="269"/>
      <c r="C13" s="254"/>
      <c r="D13" s="129"/>
      <c r="E13" s="254"/>
      <c r="F13" s="254"/>
      <c r="G13" s="257"/>
      <c r="H13" s="132"/>
      <c r="I13" s="132"/>
      <c r="J13" s="254"/>
      <c r="K13" s="260"/>
      <c r="L13" s="263"/>
      <c r="M13" s="210"/>
      <c r="N13" s="212"/>
      <c r="O13" s="210">
        <f>IF(NOT(ISERROR(MATCH(N13,_xlfn.ANCHORARRAY(G18),0))),#REF!&amp;"Por favor no seleccionar los criterios de impacto",N13)</f>
        <v>0</v>
      </c>
      <c r="P13" s="214"/>
      <c r="Q13" s="216"/>
      <c r="R13" s="208"/>
      <c r="S13" s="150"/>
      <c r="T13" s="150" t="str">
        <f t="shared" si="1"/>
        <v/>
      </c>
      <c r="U13" s="150"/>
      <c r="V13" s="150" t="str">
        <f t="shared" si="2"/>
        <v/>
      </c>
      <c r="W13" s="150" t="str">
        <f t="shared" si="3"/>
        <v/>
      </c>
      <c r="X13" s="150" t="str">
        <f t="shared" si="4"/>
        <v/>
      </c>
      <c r="Y13" s="6">
        <v>3</v>
      </c>
      <c r="Z13" s="124"/>
      <c r="AA13" s="195" t="str">
        <f t="shared" si="0"/>
        <v/>
      </c>
      <c r="AB13" s="187"/>
      <c r="AC13" s="187"/>
      <c r="AD13" s="188" t="str">
        <f t="shared" si="5"/>
        <v/>
      </c>
      <c r="AE13" s="187"/>
      <c r="AF13" s="187"/>
      <c r="AG13" s="187"/>
      <c r="AH13" s="189" t="str">
        <f>IFERROR(IF(AND(AA12="Probabilidad",AA13="Probabilidad"),(AJ12-(+AJ12*AD13)),IF(AND(AA12="Impacto",AA13="Probabilidad"),(AJ11-(+AJ11*AD13)),IF(AA13="Impacto",AJ12,""))),"")</f>
        <v/>
      </c>
      <c r="AI13" s="190" t="str">
        <f t="shared" si="6"/>
        <v/>
      </c>
      <c r="AJ13" s="191" t="str">
        <f t="shared" si="7"/>
        <v/>
      </c>
      <c r="AK13" s="190" t="str">
        <f t="shared" si="8"/>
        <v/>
      </c>
      <c r="AL13" s="191" t="str">
        <f>IFERROR(IF(AND(AA12="Impacto",AA13="Impacto"),(AL12-(+AL12*AD13)),IF(AND(AA12="Probabilidad",AA13="Impacto"),(AL11-(+AL11*AD13)),IF(AA13="Probabilidad",AL12,""))),"")</f>
        <v/>
      </c>
      <c r="AM13" s="192" t="str">
        <f t="shared" si="9"/>
        <v/>
      </c>
      <c r="AN13" s="193"/>
      <c r="AO13" s="150"/>
      <c r="AP13" s="152" t="str">
        <f t="shared" ref="AP13:AP30" si="10">+IF(AO13=5,"CASI SEGURO",(IF(AO13=4,"PROBABLE",(IF(AO13=3,"POSIBLE",(IF(AO13=2,"RARA VEZ",(IF(AO13=1,"IMPROBABLE","")))))))))</f>
        <v/>
      </c>
      <c r="AQ13" s="150"/>
      <c r="AR13" s="152" t="str">
        <f t="shared" ref="AR13:AR30" si="11">+IF(AQ13=5,"ALTO",(IF(AQ13=3,"MEDIO",(IF(AQ13=1,"BAJO",IF(OR(AQ13=2,AQ13=4),"NO APLICA",""))))))</f>
        <v/>
      </c>
      <c r="AS13" s="150" t="str">
        <f t="shared" ref="AS13:AS30" si="12">IF(AND(AO13&lt;&gt;"",AQ13&lt;&gt;"",AR13&lt;&gt;"NO APLICA"),AO13*AQ13,"")</f>
        <v/>
      </c>
      <c r="AT13" s="152" t="str">
        <f t="shared" ref="AT13:AT30" si="13">IF(AND(AS13&lt;4,AS13&gt;0),"BAJA",IF(AND(AS13&gt;9,AS13&lt;26),"ALTA",IF(AND(AS13&gt;3,AS13&lt;10),"MEDIA","")))</f>
        <v/>
      </c>
      <c r="AU13" s="149"/>
      <c r="AV13" s="122"/>
      <c r="AW13" s="123"/>
      <c r="AX13" s="123"/>
      <c r="AY13" s="121"/>
      <c r="AZ13" s="122"/>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151.5" customHeight="1" x14ac:dyDescent="0.3">
      <c r="A14" s="250">
        <v>2</v>
      </c>
      <c r="B14" s="269"/>
      <c r="C14" s="253" t="s">
        <v>137</v>
      </c>
      <c r="D14" s="128" t="s">
        <v>138</v>
      </c>
      <c r="E14" s="253" t="s">
        <v>139</v>
      </c>
      <c r="F14" s="253" t="s">
        <v>140</v>
      </c>
      <c r="G14" s="256" t="s">
        <v>141</v>
      </c>
      <c r="H14" s="131"/>
      <c r="I14" s="131" t="s">
        <v>142</v>
      </c>
      <c r="J14" s="253" t="s">
        <v>143</v>
      </c>
      <c r="K14" s="259">
        <v>4</v>
      </c>
      <c r="L14" s="262" t="str">
        <f>IF(K14&lt;=0,"",IF(K14&lt;=2,"Muy Baja",IF(K14&lt;=24,"Baja",IF(K14&lt;=500,"Media",IF(K14&lt;=5000,"Alta","Muy Alta")))))</f>
        <v>Baja</v>
      </c>
      <c r="M14" s="209">
        <f>IF(L14="","",IF(L14="Muy Baja",0.2,IF(L14="Baja",0.4,IF(L14="Media",0.6,IF(L14="Alta",0.8,IF(L14="Muy Alta",1,))))))</f>
        <v>0.4</v>
      </c>
      <c r="N14" s="211" t="s">
        <v>121</v>
      </c>
      <c r="O14" s="209" t="str">
        <f>IF(NOT(ISERROR(MATCH(N14,'Tabla Impacto'!$B$221:$B$223,0))),'Tabla Impacto'!$F$223&amp;"Por favor no seleccionar los criterios de impacto(Afectación Económica o presupuestal y Pérdida Reputacional)",N14)</f>
        <v xml:space="preserve">     El riesgo afecta la imagen de la entidad con algunos usuarios de relevancia frente al logro de los objetivos</v>
      </c>
      <c r="P14" s="213" t="str">
        <f>IF(OR(O14='Tabla Impacto'!$C$11,O14='Tabla Impacto'!$D$11),"Leve",IF(OR(O14='Tabla Impacto'!$C$12,O14='Tabla Impacto'!$D$12),"Menor",IF(OR(O14='Tabla Impacto'!$C$13,O14='Tabla Impacto'!$D$13),"Moderado",IF(OR(O14='Tabla Impacto'!$C$14,O14='Tabla Impacto'!$D$14),"Mayor",IF(OR(O14='Tabla Impacto'!$C$15,O14='Tabla Impacto'!$D$15),"Catastrófico","")))))</f>
        <v>Moderado</v>
      </c>
      <c r="Q14" s="215">
        <f>IF(P14="","",IF(P14="Leve",0.2,IF(P14="Menor",0.4,IF(P14="Moderado",0.6,IF(P14="Mayor",0.8,IF(P14="Catastrófico",1,))))))</f>
        <v>0.6</v>
      </c>
      <c r="R14" s="207" t="str">
        <f>IF(OR(AND(L14="Muy Baja",P14="Leve"),AND(L14="Muy Baja",P14="Menor"),AND(L14="Baja",P14="Leve")),"Bajo",IF(OR(AND(L14="Muy baja",P14="Moderado"),AND(L14="Baja",P14="Menor"),AND(L14="Baja",P14="Moderado"),AND(L14="Media",P14="Leve"),AND(L14="Media",P14="Menor"),AND(L14="Media",P14="Moderado"),AND(L14="Alta",P14="Leve"),AND(L14="Alta",P14="Menor")),"Moderado",IF(OR(AND(L14="Muy Baja",P14="Mayor"),AND(L14="Baja",P14="Mayor"),AND(L14="Media",P14="Mayor"),AND(L14="Alta",P14="Moderado"),AND(L14="Alta",P14="Mayor"),AND(L14="Muy Alta",P14="Leve"),AND(L14="Muy Alta",P14="Menor"),AND(L14="Muy Alta",P14="Moderado"),AND(L14="Muy Alta",P14="Mayor")),"Alto",IF(OR(AND(L14="Muy Baja",P14="Catastrófico"),AND(L14="Baja",P14="Catastrófico"),AND(L14="Media",P14="Catastrófico"),AND(L14="Alta",P14="Catastrófico"),AND(L14="Muy Alta",P14="Catastrófico")),"Extremo",""))))</f>
        <v>Moderado</v>
      </c>
      <c r="S14" s="150"/>
      <c r="T14" s="150"/>
      <c r="U14" s="150"/>
      <c r="V14" s="150"/>
      <c r="W14" s="150"/>
      <c r="X14" s="150"/>
      <c r="Y14" s="6">
        <v>1</v>
      </c>
      <c r="Z14" s="120" t="s">
        <v>144</v>
      </c>
      <c r="AA14" s="195" t="str">
        <f t="shared" si="0"/>
        <v>Probabilidad</v>
      </c>
      <c r="AB14" s="187" t="s">
        <v>123</v>
      </c>
      <c r="AC14" s="187" t="s">
        <v>145</v>
      </c>
      <c r="AD14" s="188" t="str">
        <f>IF(AND(AB14="Preventivo",AC14="Automático"),"50%",IF(AND(AB14="Preventivo",AC14="Manual"),"40%",IF(AND(AB14="Detectivo",AC14="Automático"),"40%",IF(AND(AB14="Detectivo",AC14="Manual"),"30%",IF(AND(AB14="Correctivo",AC14="Automático"),"35%",IF(AND(AB14="Correctivo",AC14="Manual"),"25%",""))))))</f>
        <v>50%</v>
      </c>
      <c r="AE14" s="187" t="s">
        <v>125</v>
      </c>
      <c r="AF14" s="187" t="s">
        <v>126</v>
      </c>
      <c r="AG14" s="187" t="s">
        <v>127</v>
      </c>
      <c r="AH14" s="189">
        <f>IFERROR(IF(AA14="Probabilidad",(M14-(+M14*AD14)),IF(AA14="Impacto",M14,"")),"")</f>
        <v>0.2</v>
      </c>
      <c r="AI14" s="190" t="str">
        <f>IFERROR(IF(AH14="","",IF(AH14&lt;=0.2,"Muy Baja",IF(AH14&lt;=0.4,"Baja",IF(AH14&lt;=0.6,"Media",IF(AH14&lt;=0.8,"Alta","Muy Alta"))))),"")</f>
        <v>Muy Baja</v>
      </c>
      <c r="AJ14" s="191">
        <f>+AH14</f>
        <v>0.2</v>
      </c>
      <c r="AK14" s="190" t="str">
        <f>IFERROR(IF(AL14="","",IF(AL14&lt;=0.2,"Leve",IF(AL14&lt;=0.4,"Menor",IF(AL14&lt;=0.6,"Moderado",IF(AL14&lt;=0.8,"Mayor","Catastrófico"))))),"")</f>
        <v>Moderado</v>
      </c>
      <c r="AL14" s="191">
        <f>IFERROR(IF(AA14="Impacto",(Q14-(+Q14*AD14)),IF(AA14="Probabilidad",Q14,"")),"")</f>
        <v>0.6</v>
      </c>
      <c r="AM14" s="192"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Moderado</v>
      </c>
      <c r="AN14" s="193" t="s">
        <v>128</v>
      </c>
      <c r="AO14" s="150">
        <v>4</v>
      </c>
      <c r="AP14" s="152" t="str">
        <f t="shared" si="10"/>
        <v>PROBABLE</v>
      </c>
      <c r="AQ14" s="150">
        <v>5</v>
      </c>
      <c r="AR14" s="152" t="str">
        <f t="shared" si="11"/>
        <v>ALTO</v>
      </c>
      <c r="AS14" s="150">
        <f t="shared" si="12"/>
        <v>20</v>
      </c>
      <c r="AT14" s="152" t="str">
        <f t="shared" si="13"/>
        <v>ALTA</v>
      </c>
      <c r="AU14" s="149" t="s">
        <v>146</v>
      </c>
      <c r="AV14" s="142" t="s">
        <v>130</v>
      </c>
      <c r="AW14" s="143" t="s">
        <v>131</v>
      </c>
      <c r="AX14" s="143" t="s">
        <v>131</v>
      </c>
      <c r="AY14" s="149" t="s">
        <v>304</v>
      </c>
      <c r="AZ14" s="144" t="s">
        <v>132</v>
      </c>
      <c r="BA14" s="14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151.5" customHeight="1" x14ac:dyDescent="0.3">
      <c r="A15" s="251"/>
      <c r="B15" s="269"/>
      <c r="C15" s="254"/>
      <c r="D15" s="129" t="s">
        <v>147</v>
      </c>
      <c r="E15" s="254"/>
      <c r="F15" s="254"/>
      <c r="G15" s="257"/>
      <c r="H15" s="132"/>
      <c r="I15" s="132"/>
      <c r="J15" s="254"/>
      <c r="K15" s="260"/>
      <c r="L15" s="263"/>
      <c r="M15" s="210"/>
      <c r="N15" s="212"/>
      <c r="O15" s="210">
        <f>IF(NOT(ISERROR(MATCH(N15,_xlfn.ANCHORARRAY(G20),0))),M22&amp;"Por favor no seleccionar los criterios de impacto",N15)</f>
        <v>0</v>
      </c>
      <c r="P15" s="214"/>
      <c r="Q15" s="216"/>
      <c r="R15" s="208"/>
      <c r="S15" s="150"/>
      <c r="T15" s="150" t="str">
        <f t="shared" si="1"/>
        <v/>
      </c>
      <c r="U15" s="150"/>
      <c r="V15" s="150" t="str">
        <f t="shared" si="2"/>
        <v/>
      </c>
      <c r="W15" s="150" t="str">
        <f t="shared" si="3"/>
        <v/>
      </c>
      <c r="X15" s="150" t="str">
        <f t="shared" si="4"/>
        <v/>
      </c>
      <c r="Y15" s="6">
        <v>2</v>
      </c>
      <c r="Z15" s="120"/>
      <c r="AA15" s="195" t="str">
        <f t="shared" si="0"/>
        <v/>
      </c>
      <c r="AB15" s="187"/>
      <c r="AC15" s="187"/>
      <c r="AD15" s="188" t="str">
        <f t="shared" ref="AD15:AD16" si="14">IF(AND(AB15="Preventivo",AC15="Automático"),"50%",IF(AND(AB15="Preventivo",AC15="Manual"),"40%",IF(AND(AB15="Detectivo",AC15="Automático"),"40%",IF(AND(AB15="Detectivo",AC15="Manual"),"30%",IF(AND(AB15="Correctivo",AC15="Automático"),"35%",IF(AND(AB15="Correctivo",AC15="Manual"),"25%",""))))))</f>
        <v/>
      </c>
      <c r="AE15" s="187"/>
      <c r="AF15" s="187"/>
      <c r="AG15" s="187"/>
      <c r="AH15" s="189" t="str">
        <f>IFERROR(IF(AND(AA14="Probabilidad",AA15="Probabilidad"),(AJ14-(+AJ14*AD15)),IF(AA15="Probabilidad",(M14-(+M14*AD15)),IF(AA15="Impacto",AJ14,""))),"")</f>
        <v/>
      </c>
      <c r="AI15" s="190" t="str">
        <f t="shared" si="6"/>
        <v/>
      </c>
      <c r="AJ15" s="191" t="str">
        <f t="shared" ref="AJ15:AJ16" si="15">+AH15</f>
        <v/>
      </c>
      <c r="AK15" s="190" t="str">
        <f t="shared" si="8"/>
        <v/>
      </c>
      <c r="AL15" s="191" t="str">
        <f>IFERROR(IF(AND(AA14="Impacto",AA15="Impacto"),(AL14-(+AL14*AD15)),IF(AA15="Impacto",(Q14-(+Q14*AD15)),IF(AA15="Probabilidad",AL14,""))),"")</f>
        <v/>
      </c>
      <c r="AM15" s="192" t="str">
        <f t="shared" ref="AM15:AM16" si="16">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
      </c>
      <c r="AN15" s="193"/>
      <c r="AO15" s="150"/>
      <c r="AP15" s="152" t="str">
        <f t="shared" si="10"/>
        <v/>
      </c>
      <c r="AQ15" s="150"/>
      <c r="AR15" s="152" t="str">
        <f t="shared" si="11"/>
        <v/>
      </c>
      <c r="AS15" s="150" t="str">
        <f t="shared" si="12"/>
        <v/>
      </c>
      <c r="AT15" s="152" t="str">
        <f t="shared" si="13"/>
        <v/>
      </c>
      <c r="AU15" s="149"/>
      <c r="AV15" s="122"/>
      <c r="AW15" s="123"/>
      <c r="AX15" s="123"/>
      <c r="AY15" s="121"/>
      <c r="AZ15" s="122"/>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151.5" customHeight="1" x14ac:dyDescent="0.3">
      <c r="A16" s="251"/>
      <c r="B16" s="269"/>
      <c r="C16" s="254"/>
      <c r="D16" s="129"/>
      <c r="E16" s="254"/>
      <c r="F16" s="254"/>
      <c r="G16" s="257"/>
      <c r="H16" s="132"/>
      <c r="I16" s="132"/>
      <c r="J16" s="254"/>
      <c r="K16" s="260"/>
      <c r="L16" s="263"/>
      <c r="M16" s="210"/>
      <c r="N16" s="212"/>
      <c r="O16" s="210">
        <f>IF(NOT(ISERROR(MATCH(N16,_xlfn.ANCHORARRAY(G21),0))),#REF!&amp;"Por favor no seleccionar los criterios de impacto",N16)</f>
        <v>0</v>
      </c>
      <c r="P16" s="214"/>
      <c r="Q16" s="216"/>
      <c r="R16" s="208"/>
      <c r="S16" s="150"/>
      <c r="T16" s="150" t="str">
        <f t="shared" si="1"/>
        <v/>
      </c>
      <c r="U16" s="150"/>
      <c r="V16" s="150" t="str">
        <f t="shared" si="2"/>
        <v/>
      </c>
      <c r="W16" s="150" t="str">
        <f t="shared" si="3"/>
        <v/>
      </c>
      <c r="X16" s="150" t="str">
        <f t="shared" si="4"/>
        <v/>
      </c>
      <c r="Y16" s="6">
        <v>3</v>
      </c>
      <c r="Z16" s="124"/>
      <c r="AA16" s="195" t="str">
        <f t="shared" si="0"/>
        <v/>
      </c>
      <c r="AB16" s="187"/>
      <c r="AC16" s="187"/>
      <c r="AD16" s="188" t="str">
        <f t="shared" si="14"/>
        <v/>
      </c>
      <c r="AE16" s="187"/>
      <c r="AF16" s="187"/>
      <c r="AG16" s="187"/>
      <c r="AH16" s="189" t="str">
        <f>IFERROR(IF(AND(AA15="Probabilidad",AA16="Probabilidad"),(AJ15-(+AJ15*AD16)),IF(AND(AA15="Impacto",AA16="Probabilidad"),(AJ14-(+AJ14*AD16)),IF(AA16="Impacto",AJ15,""))),"")</f>
        <v/>
      </c>
      <c r="AI16" s="190" t="str">
        <f t="shared" si="6"/>
        <v/>
      </c>
      <c r="AJ16" s="191" t="str">
        <f t="shared" si="15"/>
        <v/>
      </c>
      <c r="AK16" s="190" t="str">
        <f t="shared" si="8"/>
        <v/>
      </c>
      <c r="AL16" s="191" t="str">
        <f>IFERROR(IF(AND(AA15="Impacto",AA16="Impacto"),(AL15-(+AL15*AD16)),IF(AND(AA15="Probabilidad",AA16="Impacto"),(AL14-(+AL14*AD16)),IF(AA16="Probabilidad",AL15,""))),"")</f>
        <v/>
      </c>
      <c r="AM16" s="192" t="str">
        <f t="shared" si="16"/>
        <v/>
      </c>
      <c r="AN16" s="193"/>
      <c r="AO16" s="150"/>
      <c r="AP16" s="152" t="str">
        <f t="shared" si="10"/>
        <v/>
      </c>
      <c r="AQ16" s="150"/>
      <c r="AR16" s="152" t="str">
        <f t="shared" si="11"/>
        <v/>
      </c>
      <c r="AS16" s="150" t="str">
        <f t="shared" si="12"/>
        <v/>
      </c>
      <c r="AT16" s="152" t="str">
        <f t="shared" si="13"/>
        <v/>
      </c>
      <c r="AU16" s="149"/>
      <c r="AV16" s="122"/>
      <c r="AW16" s="123"/>
      <c r="AX16" s="123"/>
      <c r="AY16" s="121"/>
      <c r="AZ16" s="122"/>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51.5" customHeight="1" x14ac:dyDescent="0.3">
      <c r="A17" s="250">
        <v>3</v>
      </c>
      <c r="B17" s="269"/>
      <c r="C17" s="253" t="s">
        <v>113</v>
      </c>
      <c r="D17" s="128" t="s">
        <v>147</v>
      </c>
      <c r="E17" s="253" t="s">
        <v>148</v>
      </c>
      <c r="F17" s="253" t="s">
        <v>149</v>
      </c>
      <c r="G17" s="256" t="s">
        <v>150</v>
      </c>
      <c r="H17" s="131"/>
      <c r="I17" s="131" t="s">
        <v>151</v>
      </c>
      <c r="J17" s="253" t="s">
        <v>143</v>
      </c>
      <c r="K17" s="259">
        <v>215</v>
      </c>
      <c r="L17" s="262" t="str">
        <f>IF(K17&lt;=0,"",IF(K17&lt;=2,"Muy Baja",IF(K17&lt;=24,"Baja",IF(K17&lt;=500,"Media",IF(K17&lt;=5000,"Alta","Muy Alta")))))</f>
        <v>Media</v>
      </c>
      <c r="M17" s="209">
        <f>IF(L17="","",IF(L17="Muy Baja",0.2,IF(L17="Baja",0.4,IF(L17="Media",0.6,IF(L17="Alta",0.8,IF(L17="Muy Alta",1,))))))</f>
        <v>0.6</v>
      </c>
      <c r="N17" s="211" t="s">
        <v>152</v>
      </c>
      <c r="O17" s="209" t="str">
        <f>IF(NOT(ISERROR(MATCH(N17,'Tabla Impacto'!$B$221:$B$223,0))),'Tabla Impacto'!$F$223&amp;"Por favor no seleccionar los criterios de impacto(Afectación Económica o presupuestal y Pérdida Reputacional)",N17)</f>
        <v xml:space="preserve">     El riesgo afecta la imagen de la entidad internamente, de conocimiento general, nivel interno, de junta dircetiva y accionistas y/o de provedores</v>
      </c>
      <c r="P17" s="213" t="str">
        <f>IF(OR(O17='Tabla Impacto'!$C$11,O17='Tabla Impacto'!$D$11),"Leve",IF(OR(O17='Tabla Impacto'!$C$12,O17='Tabla Impacto'!$D$12),"Menor",IF(OR(O17='Tabla Impacto'!$C$13,O17='Tabla Impacto'!$D$13),"Moderado",IF(OR(O17='Tabla Impacto'!$C$14,O17='Tabla Impacto'!$D$14),"Mayor",IF(OR(O17='Tabla Impacto'!$C$15,O17='Tabla Impacto'!$D$15),"Catastrófico","")))))</f>
        <v>Menor</v>
      </c>
      <c r="Q17" s="215">
        <f>IF(P17="","",IF(P17="Leve",0.2,IF(P17="Menor",0.4,IF(P17="Moderado",0.6,IF(P17="Mayor",0.8,IF(P17="Catastrófico",1,))))))</f>
        <v>0.4</v>
      </c>
      <c r="R17" s="207" t="str">
        <f>IF(OR(AND(L17="Muy Baja",P17="Leve"),AND(L17="Muy Baja",P17="Menor"),AND(L17="Baja",P17="Leve")),"Bajo",IF(OR(AND(L17="Muy baja",P17="Moderado"),AND(L17="Baja",P17="Menor"),AND(L17="Baja",P17="Moderado"),AND(L17="Media",P17="Leve"),AND(L17="Media",P17="Menor"),AND(L17="Media",P17="Moderado"),AND(L17="Alta",P17="Leve"),AND(L17="Alta",P17="Menor")),"Moderado",IF(OR(AND(L17="Muy Baja",P17="Mayor"),AND(L17="Baja",P17="Mayor"),AND(L17="Media",P17="Mayor"),AND(L17="Alta",P17="Moderado"),AND(L17="Alta",P17="Mayor"),AND(L17="Muy Alta",P17="Leve"),AND(L17="Muy Alta",P17="Menor"),AND(L17="Muy Alta",P17="Moderado"),AND(L17="Muy Alta",P17="Mayor")),"Alto",IF(OR(AND(L17="Muy Baja",P17="Catastrófico"),AND(L17="Baja",P17="Catastrófico"),AND(L17="Media",P17="Catastrófico"),AND(L17="Alta",P17="Catastrófico"),AND(L17="Muy Alta",P17="Catastrófico")),"Extremo",""))))</f>
        <v>Moderado</v>
      </c>
      <c r="S17" s="150"/>
      <c r="T17" s="150" t="str">
        <f t="shared" si="1"/>
        <v/>
      </c>
      <c r="U17" s="150"/>
      <c r="V17" s="150" t="str">
        <f t="shared" si="2"/>
        <v/>
      </c>
      <c r="W17" s="150" t="str">
        <f t="shared" si="3"/>
        <v/>
      </c>
      <c r="X17" s="150" t="str">
        <f t="shared" si="4"/>
        <v/>
      </c>
      <c r="Y17" s="6">
        <v>1</v>
      </c>
      <c r="Z17" s="120" t="s">
        <v>153</v>
      </c>
      <c r="AA17" s="195" t="str">
        <f t="shared" si="0"/>
        <v>Probabilidad</v>
      </c>
      <c r="AB17" s="187" t="s">
        <v>123</v>
      </c>
      <c r="AC17" s="187" t="s">
        <v>124</v>
      </c>
      <c r="AD17" s="188" t="str">
        <f>IF(AND(AB17="Preventivo",AC17="Automático"),"50%",IF(AND(AB17="Preventivo",AC17="Manual"),"40%",IF(AND(AB17="Detectivo",AC17="Automático"),"40%",IF(AND(AB17="Detectivo",AC17="Manual"),"30%",IF(AND(AB17="Correctivo",AC17="Automático"),"35%",IF(AND(AB17="Correctivo",AC17="Manual"),"25%",""))))))</f>
        <v>40%</v>
      </c>
      <c r="AE17" s="187" t="s">
        <v>125</v>
      </c>
      <c r="AF17" s="187" t="s">
        <v>126</v>
      </c>
      <c r="AG17" s="187" t="s">
        <v>127</v>
      </c>
      <c r="AH17" s="189">
        <f>IFERROR(IF(AA17="Probabilidad",(M17-(+M17*AD17)),IF(AA17="Impacto",M17,"")),"")</f>
        <v>0.36</v>
      </c>
      <c r="AI17" s="190" t="str">
        <f>IFERROR(IF(AH17="","",IF(AH17&lt;=0.2,"Muy Baja",IF(AH17&lt;=0.4,"Baja",IF(AH17&lt;=0.6,"Media",IF(AH17&lt;=0.8,"Alta","Muy Alta"))))),"")</f>
        <v>Baja</v>
      </c>
      <c r="AJ17" s="191">
        <f>+AH17</f>
        <v>0.36</v>
      </c>
      <c r="AK17" s="190" t="str">
        <f>IFERROR(IF(AL17="","",IF(AL17&lt;=0.2,"Leve",IF(AL17&lt;=0.4,"Menor",IF(AL17&lt;=0.6,"Moderado",IF(AL17&lt;=0.8,"Mayor","Catastrófico"))))),"")</f>
        <v>Menor</v>
      </c>
      <c r="AL17" s="191">
        <f>IFERROR(IF(AA17="Impacto",(Q17-(+Q17*AD17)),IF(AA17="Probabilidad",Q17,"")),"")</f>
        <v>0.4</v>
      </c>
      <c r="AM17" s="192" t="str">
        <f>IFERROR(IF(OR(AND(AI17="Muy Baja",AK17="Leve"),AND(AI17="Muy Baja",AK17="Menor"),AND(AI17="Baja",AK17="Leve")),"Bajo",IF(OR(AND(AI17="Muy baja",AK17="Moderado"),AND(AI17="Baja",AK17="Menor"),AND(AI17="Baja",AK17="Moderado"),AND(AI17="Media",AK17="Leve"),AND(AI17="Media",AK17="Menor"),AND(AI17="Media",AK17="Moderado"),AND(AI17="Alta",AK17="Leve"),AND(AI17="Alta",AK17="Menor")),"Moderado",IF(OR(AND(AI17="Muy Baja",AK17="Mayor"),AND(AI17="Baja",AK17="Mayor"),AND(AI17="Media",AK17="Mayor"),AND(AI17="Alta",AK17="Moderado"),AND(AI17="Alta",AK17="Mayor"),AND(AI17="Muy Alta",AK17="Leve"),AND(AI17="Muy Alta",AK17="Menor"),AND(AI17="Muy Alta",AK17="Moderado"),AND(AI17="Muy Alta",AK17="Mayor")),"Alto",IF(OR(AND(AI17="Muy Baja",AK17="Catastrófico"),AND(AI17="Baja",AK17="Catastrófico"),AND(AI17="Media",AK17="Catastrófico"),AND(AI17="Alta",AK17="Catastrófico"),AND(AI17="Muy Alta",AK17="Catastrófico")),"Extremo","")))),"")</f>
        <v>Moderado</v>
      </c>
      <c r="AN17" s="193" t="s">
        <v>128</v>
      </c>
      <c r="AO17" s="150"/>
      <c r="AP17" s="152" t="str">
        <f t="shared" si="10"/>
        <v/>
      </c>
      <c r="AQ17" s="150"/>
      <c r="AR17" s="152" t="str">
        <f t="shared" si="11"/>
        <v/>
      </c>
      <c r="AS17" s="150" t="str">
        <f t="shared" si="12"/>
        <v/>
      </c>
      <c r="AT17" s="152" t="str">
        <f t="shared" si="13"/>
        <v/>
      </c>
      <c r="AU17" s="149" t="s">
        <v>154</v>
      </c>
      <c r="AV17" s="142" t="s">
        <v>130</v>
      </c>
      <c r="AW17" s="143" t="s">
        <v>131</v>
      </c>
      <c r="AX17" s="143" t="s">
        <v>131</v>
      </c>
      <c r="AY17" s="204" t="s">
        <v>305</v>
      </c>
      <c r="AZ17" s="144" t="s">
        <v>132</v>
      </c>
      <c r="BA17" s="201"/>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1.5" customHeight="1" x14ac:dyDescent="0.3">
      <c r="A18" s="251"/>
      <c r="B18" s="269"/>
      <c r="C18" s="254"/>
      <c r="D18" s="129"/>
      <c r="E18" s="254"/>
      <c r="F18" s="254"/>
      <c r="G18" s="257"/>
      <c r="H18" s="132"/>
      <c r="I18" s="132"/>
      <c r="J18" s="254"/>
      <c r="K18" s="260"/>
      <c r="L18" s="263"/>
      <c r="M18" s="210"/>
      <c r="N18" s="212"/>
      <c r="O18" s="210">
        <f>IF(NOT(ISERROR(MATCH(N18,_xlfn.ANCHORARRAY(G23),0))),M25&amp;"Por favor no seleccionar los criterios de impacto",N18)</f>
        <v>0</v>
      </c>
      <c r="P18" s="214"/>
      <c r="Q18" s="216"/>
      <c r="R18" s="208"/>
      <c r="S18" s="150"/>
      <c r="T18" s="150" t="str">
        <f t="shared" si="1"/>
        <v/>
      </c>
      <c r="U18" s="150"/>
      <c r="V18" s="150" t="str">
        <f t="shared" si="2"/>
        <v/>
      </c>
      <c r="W18" s="150" t="str">
        <f t="shared" si="3"/>
        <v/>
      </c>
      <c r="X18" s="150" t="str">
        <f t="shared" si="4"/>
        <v/>
      </c>
      <c r="Y18" s="6">
        <v>2</v>
      </c>
      <c r="Z18" s="120" t="s">
        <v>155</v>
      </c>
      <c r="AA18" s="195" t="str">
        <f t="shared" si="0"/>
        <v>Probabilidad</v>
      </c>
      <c r="AB18" s="187" t="s">
        <v>123</v>
      </c>
      <c r="AC18" s="187" t="s">
        <v>124</v>
      </c>
      <c r="AD18" s="188" t="str">
        <f t="shared" ref="AD18:AD19" si="17">IF(AND(AB18="Preventivo",AC18="Automático"),"50%",IF(AND(AB18="Preventivo",AC18="Manual"),"40%",IF(AND(AB18="Detectivo",AC18="Automático"),"40%",IF(AND(AB18="Detectivo",AC18="Manual"),"30%",IF(AND(AB18="Correctivo",AC18="Automático"),"35%",IF(AND(AB18="Correctivo",AC18="Manual"),"25%",""))))))</f>
        <v>40%</v>
      </c>
      <c r="AE18" s="187" t="s">
        <v>125</v>
      </c>
      <c r="AF18" s="187" t="s">
        <v>126</v>
      </c>
      <c r="AG18" s="187" t="s">
        <v>127</v>
      </c>
      <c r="AH18" s="194">
        <f>IFERROR(IF(AND(AA17="Probabilidad",AA18="Probabilidad"),(AJ17-(+AJ17*AD18)),IF(AA18="Probabilidad",(M17-(+M17*AD18)),IF(AA18="Impacto",AJ17,""))),"")</f>
        <v>0.216</v>
      </c>
      <c r="AI18" s="190" t="str">
        <f t="shared" si="6"/>
        <v>Baja</v>
      </c>
      <c r="AJ18" s="191">
        <f t="shared" ref="AJ18:AJ19" si="18">+AH18</f>
        <v>0.216</v>
      </c>
      <c r="AK18" s="190" t="str">
        <f t="shared" si="8"/>
        <v>Menor</v>
      </c>
      <c r="AL18" s="191">
        <f>IFERROR(IF(AND(AA17="Impacto",AA18="Impacto"),(AL17-(+AL17*AD18)),IF(AA18="Impacto",(Q17-(+Q17*AD18)),IF(AA18="Probabilidad",AL17,""))),"")</f>
        <v>0.4</v>
      </c>
      <c r="AM18" s="192" t="str">
        <f t="shared" ref="AM18:AM19" si="19">IFERROR(IF(OR(AND(AI18="Muy Baja",AK18="Leve"),AND(AI18="Muy Baja",AK18="Menor"),AND(AI18="Baja",AK18="Leve")),"Bajo",IF(OR(AND(AI18="Muy baja",AK18="Moderado"),AND(AI18="Baja",AK18="Menor"),AND(AI18="Baja",AK18="Moderado"),AND(AI18="Media",AK18="Leve"),AND(AI18="Media",AK18="Menor"),AND(AI18="Media",AK18="Moderado"),AND(AI18="Alta",AK18="Leve"),AND(AI18="Alta",AK18="Menor")),"Moderado",IF(OR(AND(AI18="Muy Baja",AK18="Mayor"),AND(AI18="Baja",AK18="Mayor"),AND(AI18="Media",AK18="Mayor"),AND(AI18="Alta",AK18="Moderado"),AND(AI18="Alta",AK18="Mayor"),AND(AI18="Muy Alta",AK18="Leve"),AND(AI18="Muy Alta",AK18="Menor"),AND(AI18="Muy Alta",AK18="Moderado"),AND(AI18="Muy Alta",AK18="Mayor")),"Alto",IF(OR(AND(AI18="Muy Baja",AK18="Catastrófico"),AND(AI18="Baja",AK18="Catastrófico"),AND(AI18="Media",AK18="Catastrófico"),AND(AI18="Alta",AK18="Catastrófico"),AND(AI18="Muy Alta",AK18="Catastrófico")),"Extremo","")))),"")</f>
        <v>Moderado</v>
      </c>
      <c r="AN18" s="193" t="s">
        <v>128</v>
      </c>
      <c r="AO18" s="150"/>
      <c r="AP18" s="152" t="str">
        <f t="shared" si="10"/>
        <v/>
      </c>
      <c r="AQ18" s="150"/>
      <c r="AR18" s="152" t="str">
        <f t="shared" si="11"/>
        <v/>
      </c>
      <c r="AS18" s="150" t="str">
        <f t="shared" si="12"/>
        <v/>
      </c>
      <c r="AT18" s="152" t="str">
        <f t="shared" si="13"/>
        <v/>
      </c>
      <c r="AU18" s="149" t="s">
        <v>156</v>
      </c>
      <c r="AV18" s="142" t="s">
        <v>130</v>
      </c>
      <c r="AW18" s="143" t="s">
        <v>131</v>
      </c>
      <c r="AX18" s="203" t="s">
        <v>131</v>
      </c>
      <c r="AY18" s="205" t="s">
        <v>301</v>
      </c>
      <c r="AZ18" s="144" t="s">
        <v>132</v>
      </c>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251"/>
      <c r="B19" s="269"/>
      <c r="C19" s="254"/>
      <c r="D19" s="129"/>
      <c r="E19" s="254"/>
      <c r="F19" s="254"/>
      <c r="G19" s="257"/>
      <c r="H19" s="132"/>
      <c r="I19" s="132"/>
      <c r="J19" s="254"/>
      <c r="K19" s="260"/>
      <c r="L19" s="263"/>
      <c r="M19" s="210"/>
      <c r="N19" s="212"/>
      <c r="O19" s="210">
        <f>IF(NOT(ISERROR(MATCH(N19,_xlfn.ANCHORARRAY(G24),0))),M26&amp;"Por favor no seleccionar los criterios de impacto",N19)</f>
        <v>0</v>
      </c>
      <c r="P19" s="214"/>
      <c r="Q19" s="216"/>
      <c r="R19" s="208"/>
      <c r="S19" s="150"/>
      <c r="T19" s="150" t="str">
        <f t="shared" si="1"/>
        <v/>
      </c>
      <c r="U19" s="150"/>
      <c r="V19" s="150" t="str">
        <f t="shared" si="2"/>
        <v/>
      </c>
      <c r="W19" s="150" t="str">
        <f t="shared" si="3"/>
        <v/>
      </c>
      <c r="X19" s="150" t="str">
        <f t="shared" si="4"/>
        <v/>
      </c>
      <c r="Y19" s="6">
        <v>3</v>
      </c>
      <c r="Z19" s="124"/>
      <c r="AA19" s="195" t="str">
        <f t="shared" si="0"/>
        <v/>
      </c>
      <c r="AB19" s="187"/>
      <c r="AC19" s="187"/>
      <c r="AD19" s="188" t="str">
        <f t="shared" si="17"/>
        <v/>
      </c>
      <c r="AE19" s="187"/>
      <c r="AF19" s="187"/>
      <c r="AG19" s="187"/>
      <c r="AH19" s="189" t="str">
        <f>IFERROR(IF(AND(AA18="Probabilidad",AA19="Probabilidad"),(AJ18-(+AJ18*AD19)),IF(AND(AA18="Impacto",AA19="Probabilidad"),(AJ17-(+AJ17*AD19)),IF(AA19="Impacto",AJ18,""))),"")</f>
        <v/>
      </c>
      <c r="AI19" s="190" t="str">
        <f t="shared" si="6"/>
        <v/>
      </c>
      <c r="AJ19" s="191" t="str">
        <f t="shared" si="18"/>
        <v/>
      </c>
      <c r="AK19" s="190" t="str">
        <f t="shared" si="8"/>
        <v/>
      </c>
      <c r="AL19" s="191" t="str">
        <f>IFERROR(IF(AND(AA18="Impacto",AA19="Impacto"),(AL18-(+AL18*AD19)),IF(AND(AA18="Probabilidad",AA19="Impacto"),(AL17-(+AL17*AD19)),IF(AA19="Probabilidad",AL18,""))),"")</f>
        <v/>
      </c>
      <c r="AM19" s="192" t="str">
        <f t="shared" si="19"/>
        <v/>
      </c>
      <c r="AN19" s="193"/>
      <c r="AO19" s="150"/>
      <c r="AP19" s="152" t="str">
        <f t="shared" si="10"/>
        <v/>
      </c>
      <c r="AQ19" s="150"/>
      <c r="AR19" s="152" t="str">
        <f t="shared" si="11"/>
        <v/>
      </c>
      <c r="AS19" s="150" t="str">
        <f t="shared" si="12"/>
        <v/>
      </c>
      <c r="AT19" s="152" t="str">
        <f t="shared" si="13"/>
        <v/>
      </c>
      <c r="AU19" s="149"/>
      <c r="AV19" s="122"/>
      <c r="AW19" s="123"/>
      <c r="AX19" s="123"/>
      <c r="AY19" s="145"/>
      <c r="AZ19" s="144"/>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250">
        <v>4</v>
      </c>
      <c r="B20" s="269"/>
      <c r="C20" s="253" t="s">
        <v>137</v>
      </c>
      <c r="D20" s="128" t="s">
        <v>157</v>
      </c>
      <c r="E20" s="253" t="s">
        <v>158</v>
      </c>
      <c r="F20" s="253" t="s">
        <v>159</v>
      </c>
      <c r="G20" s="256" t="s">
        <v>160</v>
      </c>
      <c r="H20" s="131"/>
      <c r="I20" s="131" t="s">
        <v>161</v>
      </c>
      <c r="J20" s="253" t="s">
        <v>143</v>
      </c>
      <c r="K20" s="259">
        <v>3</v>
      </c>
      <c r="L20" s="262" t="str">
        <f>IF(K20&lt;=0,"",IF(K20&lt;=2,"Muy Baja",IF(K20&lt;=24,"Baja",IF(K20&lt;=500,"Media",IF(K20&lt;=5000,"Alta","Muy Alta")))))</f>
        <v>Baja</v>
      </c>
      <c r="M20" s="209">
        <f>IF(L20="","",IF(L20="Muy Baja",0.2,IF(L20="Baja",0.4,IF(L20="Media",0.6,IF(L20="Alta",0.8,IF(L20="Muy Alta",1,))))))</f>
        <v>0.4</v>
      </c>
      <c r="N20" s="211" t="s">
        <v>121</v>
      </c>
      <c r="O20" s="209" t="str">
        <f>IF(NOT(ISERROR(MATCH(N20,'Tabla Impacto'!$B$221:$B$223,0))),'Tabla Impacto'!$F$223&amp;"Por favor no seleccionar los criterios de impacto(Afectación Económica o presupuestal y Pérdida Reputacional)",N20)</f>
        <v xml:space="preserve">     El riesgo afecta la imagen de la entidad con algunos usuarios de relevancia frente al logro de los objetivos</v>
      </c>
      <c r="P20" s="213" t="str">
        <f>IF(OR(O20='Tabla Impacto'!$C$11,O20='Tabla Impacto'!$D$11),"Leve",IF(OR(O20='Tabla Impacto'!$C$12,O20='Tabla Impacto'!$D$12),"Menor",IF(OR(O20='Tabla Impacto'!$C$13,O20='Tabla Impacto'!$D$13),"Moderado",IF(OR(O20='Tabla Impacto'!$C$14,O20='Tabla Impacto'!$D$14),"Mayor",IF(OR(O20='Tabla Impacto'!$C$15,O20='Tabla Impacto'!$D$15),"Catastrófico","")))))</f>
        <v>Moderado</v>
      </c>
      <c r="Q20" s="215">
        <f>IF(P20="","",IF(P20="Leve",0.2,IF(P20="Menor",0.4,IF(P20="Moderado",0.6,IF(P20="Mayor",0.8,IF(P20="Catastrófico",1,))))))</f>
        <v>0.6</v>
      </c>
      <c r="R20" s="207" t="str">
        <f>IF(OR(AND(L20="Muy Baja",P20="Leve"),AND(L20="Muy Baja",P20="Menor"),AND(L20="Baja",P20="Leve")),"Bajo",IF(OR(AND(L20="Muy baja",P20="Moderado"),AND(L20="Baja",P20="Menor"),AND(L20="Baja",P20="Moderado"),AND(L20="Media",P20="Leve"),AND(L20="Media",P20="Menor"),AND(L20="Media",P20="Moderado"),AND(L20="Alta",P20="Leve"),AND(L20="Alta",P20="Menor")),"Moderado",IF(OR(AND(L20="Muy Baja",P20="Mayor"),AND(L20="Baja",P20="Mayor"),AND(L20="Media",P20="Mayor"),AND(L20="Alta",P20="Moderado"),AND(L20="Alta",P20="Mayor"),AND(L20="Muy Alta",P20="Leve"),AND(L20="Muy Alta",P20="Menor"),AND(L20="Muy Alta",P20="Moderado"),AND(L20="Muy Alta",P20="Mayor")),"Alto",IF(OR(AND(L20="Muy Baja",P20="Catastrófico"),AND(L20="Baja",P20="Catastrófico"),AND(L20="Media",P20="Catastrófico"),AND(L20="Alta",P20="Catastrófico"),AND(L20="Muy Alta",P20="Catastrófico")),"Extremo",""))))</f>
        <v>Moderado</v>
      </c>
      <c r="S20" s="150"/>
      <c r="T20" s="150" t="str">
        <f t="shared" si="1"/>
        <v/>
      </c>
      <c r="U20" s="150"/>
      <c r="V20" s="150" t="str">
        <f t="shared" si="2"/>
        <v/>
      </c>
      <c r="W20" s="150" t="str">
        <f t="shared" si="3"/>
        <v/>
      </c>
      <c r="X20" s="150" t="str">
        <f t="shared" si="4"/>
        <v/>
      </c>
      <c r="Y20" s="6">
        <v>1</v>
      </c>
      <c r="Z20" s="120" t="s">
        <v>162</v>
      </c>
      <c r="AA20" s="195" t="str">
        <f t="shared" si="0"/>
        <v>Probabilidad</v>
      </c>
      <c r="AB20" s="187" t="s">
        <v>123</v>
      </c>
      <c r="AC20" s="187" t="s">
        <v>124</v>
      </c>
      <c r="AD20" s="188" t="str">
        <f>IF(AND(AB20="Preventivo",AC20="Automático"),"50%",IF(AND(AB20="Preventivo",AC20="Manual"),"40%",IF(AND(AB20="Detectivo",AC20="Automático"),"40%",IF(AND(AB20="Detectivo",AC20="Manual"),"30%",IF(AND(AB20="Correctivo",AC20="Automático"),"35%",IF(AND(AB20="Correctivo",AC20="Manual"),"25%",""))))))</f>
        <v>40%</v>
      </c>
      <c r="AE20" s="187" t="s">
        <v>125</v>
      </c>
      <c r="AF20" s="187" t="s">
        <v>126</v>
      </c>
      <c r="AG20" s="187" t="s">
        <v>127</v>
      </c>
      <c r="AH20" s="189">
        <f>IFERROR(IF(AA20="Probabilidad",(M20-(+M20*AD20)),IF(AA20="Impacto",M20,"")),"")</f>
        <v>0.24</v>
      </c>
      <c r="AI20" s="190" t="str">
        <f>IFERROR(IF(AH20="","",IF(AH20&lt;=0.2,"Muy Baja",IF(AH20&lt;=0.4,"Baja",IF(AH20&lt;=0.6,"Media",IF(AH20&lt;=0.8,"Alta","Muy Alta"))))),"")</f>
        <v>Baja</v>
      </c>
      <c r="AJ20" s="191">
        <f>+AH20</f>
        <v>0.24</v>
      </c>
      <c r="AK20" s="190" t="str">
        <f>IFERROR(IF(AL20="","",IF(AL20&lt;=0.2,"Leve",IF(AL20&lt;=0.4,"Menor",IF(AL20&lt;=0.6,"Moderado",IF(AL20&lt;=0.8,"Mayor","Catastrófico"))))),"")</f>
        <v>Moderado</v>
      </c>
      <c r="AL20" s="191">
        <f>IFERROR(IF(AA20="Impacto",(Q20-(+Q20*AD20)),IF(AA20="Probabilidad",Q20,"")),"")</f>
        <v>0.6</v>
      </c>
      <c r="AM20" s="192" t="str">
        <f>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Moderado</v>
      </c>
      <c r="AN20" s="193" t="s">
        <v>128</v>
      </c>
      <c r="AO20" s="150"/>
      <c r="AP20" s="152" t="str">
        <f t="shared" si="10"/>
        <v/>
      </c>
      <c r="AQ20" s="150"/>
      <c r="AR20" s="152" t="str">
        <f t="shared" si="11"/>
        <v/>
      </c>
      <c r="AS20" s="150" t="str">
        <f t="shared" si="12"/>
        <v/>
      </c>
      <c r="AT20" s="152" t="str">
        <f t="shared" si="13"/>
        <v/>
      </c>
      <c r="AU20" s="149" t="s">
        <v>163</v>
      </c>
      <c r="AV20" s="142" t="s">
        <v>130</v>
      </c>
      <c r="AW20" s="143" t="s">
        <v>131</v>
      </c>
      <c r="AX20" s="143" t="s">
        <v>131</v>
      </c>
      <c r="AY20" s="206" t="s">
        <v>164</v>
      </c>
      <c r="AZ20" s="144" t="s">
        <v>132</v>
      </c>
      <c r="BA20" s="202"/>
      <c r="BB20" s="8"/>
      <c r="BC20" s="202"/>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251"/>
      <c r="B21" s="269"/>
      <c r="C21" s="254"/>
      <c r="D21" s="129"/>
      <c r="E21" s="254"/>
      <c r="F21" s="254"/>
      <c r="G21" s="257"/>
      <c r="H21" s="132"/>
      <c r="I21" s="132"/>
      <c r="J21" s="254"/>
      <c r="K21" s="260"/>
      <c r="L21" s="263"/>
      <c r="M21" s="210"/>
      <c r="N21" s="212"/>
      <c r="O21" s="210">
        <f>IF(NOT(ISERROR(MATCH(N21,_xlfn.ANCHORARRAY(G29),0))),M31&amp;"Por favor no seleccionar los criterios de impacto",N21)</f>
        <v>0</v>
      </c>
      <c r="P21" s="214"/>
      <c r="Q21" s="216"/>
      <c r="R21" s="208"/>
      <c r="S21" s="150"/>
      <c r="T21" s="150" t="str">
        <f t="shared" si="1"/>
        <v/>
      </c>
      <c r="U21" s="150"/>
      <c r="V21" s="150" t="str">
        <f t="shared" si="2"/>
        <v/>
      </c>
      <c r="W21" s="150" t="str">
        <f t="shared" si="3"/>
        <v/>
      </c>
      <c r="X21" s="150" t="str">
        <f t="shared" si="4"/>
        <v/>
      </c>
      <c r="Y21" s="6">
        <v>2</v>
      </c>
      <c r="Z21" s="120"/>
      <c r="AA21" s="195" t="str">
        <f t="shared" si="0"/>
        <v/>
      </c>
      <c r="AB21" s="187"/>
      <c r="AC21" s="187"/>
      <c r="AD21" s="188" t="str">
        <f t="shared" ref="AD21:AD22" si="20">IF(AND(AB21="Preventivo",AC21="Automático"),"50%",IF(AND(AB21="Preventivo",AC21="Manual"),"40%",IF(AND(AB21="Detectivo",AC21="Automático"),"40%",IF(AND(AB21="Detectivo",AC21="Manual"),"30%",IF(AND(AB21="Correctivo",AC21="Automático"),"35%",IF(AND(AB21="Correctivo",AC21="Manual"),"25%",""))))))</f>
        <v/>
      </c>
      <c r="AE21" s="187"/>
      <c r="AF21" s="187"/>
      <c r="AG21" s="187"/>
      <c r="AH21" s="189" t="str">
        <f>IFERROR(IF(AND(AA20="Probabilidad",AA21="Probabilidad"),(AJ20-(+AJ20*AD21)),IF(AA21="Probabilidad",(M20-(+M20*AD21)),IF(AA21="Impacto",AJ20,""))),"")</f>
        <v/>
      </c>
      <c r="AI21" s="190" t="str">
        <f t="shared" si="6"/>
        <v/>
      </c>
      <c r="AJ21" s="191" t="str">
        <f t="shared" ref="AJ21:AJ22" si="21">+AH21</f>
        <v/>
      </c>
      <c r="AK21" s="190" t="str">
        <f t="shared" si="8"/>
        <v/>
      </c>
      <c r="AL21" s="191" t="str">
        <f>IFERROR(IF(AND(AA20="Impacto",AA21="Impacto"),(AL20-(+AL20*AD21)),IF(AA21="Impacto",(Q20-(+Q20*AD21)),IF(AA21="Probabilidad",AL20,""))),"")</f>
        <v/>
      </c>
      <c r="AM21" s="192" t="str">
        <f t="shared" ref="AM21:AM22" si="22">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93"/>
      <c r="AO21" s="150"/>
      <c r="AP21" s="152" t="str">
        <f t="shared" si="10"/>
        <v/>
      </c>
      <c r="AQ21" s="150"/>
      <c r="AR21" s="152" t="str">
        <f t="shared" si="11"/>
        <v/>
      </c>
      <c r="AS21" s="150" t="str">
        <f t="shared" si="12"/>
        <v/>
      </c>
      <c r="AT21" s="152" t="str">
        <f t="shared" si="13"/>
        <v/>
      </c>
      <c r="AV21" s="122"/>
      <c r="AW21" s="123"/>
      <c r="AX21" s="123"/>
      <c r="AY21" s="121"/>
      <c r="AZ21" s="122"/>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251"/>
      <c r="B22" s="270"/>
      <c r="C22" s="254"/>
      <c r="D22" s="129"/>
      <c r="E22" s="254"/>
      <c r="F22" s="254"/>
      <c r="G22" s="257"/>
      <c r="H22" s="132"/>
      <c r="I22" s="132"/>
      <c r="J22" s="254"/>
      <c r="K22" s="260"/>
      <c r="L22" s="263"/>
      <c r="M22" s="210"/>
      <c r="N22" s="212"/>
      <c r="O22" s="210">
        <f>IF(NOT(ISERROR(MATCH(N22,_xlfn.ANCHORARRAY(G30),0))),M32&amp;"Por favor no seleccionar los criterios de impacto",N22)</f>
        <v>0</v>
      </c>
      <c r="P22" s="214"/>
      <c r="Q22" s="216"/>
      <c r="R22" s="208"/>
      <c r="S22" s="150"/>
      <c r="T22" s="150" t="str">
        <f t="shared" si="1"/>
        <v/>
      </c>
      <c r="U22" s="150"/>
      <c r="V22" s="150" t="str">
        <f t="shared" si="2"/>
        <v/>
      </c>
      <c r="W22" s="150" t="str">
        <f t="shared" si="3"/>
        <v/>
      </c>
      <c r="X22" s="150" t="str">
        <f t="shared" si="4"/>
        <v/>
      </c>
      <c r="Y22" s="6">
        <v>3</v>
      </c>
      <c r="Z22" s="124"/>
      <c r="AA22" s="195" t="str">
        <f t="shared" si="0"/>
        <v/>
      </c>
      <c r="AB22" s="187"/>
      <c r="AC22" s="187"/>
      <c r="AD22" s="188" t="str">
        <f t="shared" si="20"/>
        <v/>
      </c>
      <c r="AE22" s="187"/>
      <c r="AF22" s="187"/>
      <c r="AG22" s="187"/>
      <c r="AH22" s="189" t="str">
        <f>IFERROR(IF(AND(AA21="Probabilidad",AA22="Probabilidad"),(AJ21-(+AJ21*AD22)),IF(AND(AA21="Impacto",AA22="Probabilidad"),(AJ20-(+AJ20*AD22)),IF(AA22="Impacto",AJ21,""))),"")</f>
        <v/>
      </c>
      <c r="AI22" s="190" t="str">
        <f t="shared" si="6"/>
        <v/>
      </c>
      <c r="AJ22" s="191" t="str">
        <f t="shared" si="21"/>
        <v/>
      </c>
      <c r="AK22" s="190" t="str">
        <f t="shared" si="8"/>
        <v/>
      </c>
      <c r="AL22" s="191" t="str">
        <f>IFERROR(IF(AND(AA21="Impacto",AA22="Impacto"),(AL21-(+AL21*AD22)),IF(AND(AA21="Probabilidad",AA22="Impacto"),(AL20-(+AL20*AD22)),IF(AA22="Probabilidad",AL21,""))),"")</f>
        <v/>
      </c>
      <c r="AM22" s="192" t="str">
        <f t="shared" si="22"/>
        <v/>
      </c>
      <c r="AN22" s="193"/>
      <c r="AO22" s="150"/>
      <c r="AP22" s="152" t="str">
        <f t="shared" si="10"/>
        <v/>
      </c>
      <c r="AQ22" s="150"/>
      <c r="AR22" s="152" t="str">
        <f t="shared" si="11"/>
        <v/>
      </c>
      <c r="AS22" s="150" t="str">
        <f t="shared" si="12"/>
        <v/>
      </c>
      <c r="AT22" s="152" t="str">
        <f t="shared" si="13"/>
        <v/>
      </c>
      <c r="AU22" s="121"/>
      <c r="AV22" s="122"/>
      <c r="AW22" s="123"/>
      <c r="AX22" s="123"/>
      <c r="AY22" s="121"/>
      <c r="AZ22" s="122"/>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250">
        <v>5</v>
      </c>
      <c r="B23" s="125"/>
      <c r="C23" s="253"/>
      <c r="D23" s="128"/>
      <c r="E23" s="253"/>
      <c r="F23" s="253"/>
      <c r="G23" s="256"/>
      <c r="H23" s="131"/>
      <c r="I23" s="131"/>
      <c r="J23" s="253"/>
      <c r="K23" s="259"/>
      <c r="L23" s="262" t="str">
        <f>IF(K23&lt;=0,"",IF(K23&lt;=2,"Muy Baja",IF(K23&lt;=24,"Baja",IF(K23&lt;=500,"Media",IF(K23&lt;=5000,"Alta","Muy Alta")))))</f>
        <v/>
      </c>
      <c r="M23" s="209" t="str">
        <f>IF(L23="","",IF(L23="Muy Baja",0.2,IF(L23="Baja",0.4,IF(L23="Media",0.6,IF(L23="Alta",0.8,IF(L23="Muy Alta",1,))))))</f>
        <v/>
      </c>
      <c r="N23" s="211"/>
      <c r="O23" s="209">
        <f>IF(NOT(ISERROR(MATCH(N23,'Tabla Impacto'!$B$221:$B$223,0))),'Tabla Impacto'!$F$223&amp;"Por favor no seleccionar los criterios de impacto(Afectación Económica o presupuestal y Pérdida Reputacional)",N23)</f>
        <v>0</v>
      </c>
      <c r="P23" s="213" t="str">
        <f>IF(OR(O23='Tabla Impacto'!$C$11,O23='Tabla Impacto'!$D$11),"Leve",IF(OR(O23='Tabla Impacto'!$C$12,O23='Tabla Impacto'!$D$12),"Menor",IF(OR(O23='Tabla Impacto'!$C$13,O23='Tabla Impacto'!$D$13),"Moderado",IF(OR(O23='Tabla Impacto'!$C$14,O23='Tabla Impacto'!$D$14),"Mayor",IF(OR(O23='Tabla Impacto'!$C$15,O23='Tabla Impacto'!$D$15),"Catastrófico","")))))</f>
        <v/>
      </c>
      <c r="Q23" s="215" t="str">
        <f>IF(P23="","",IF(P23="Leve",0.2,IF(P23="Menor",0.4,IF(P23="Moderado",0.6,IF(P23="Mayor",0.8,IF(P23="Catastrófico",1,))))))</f>
        <v/>
      </c>
      <c r="R23" s="207" t="str">
        <f>IF(OR(AND(L23="Muy Baja",P23="Leve"),AND(L23="Muy Baja",P23="Menor"),AND(L23="Baja",P23="Leve")),"Bajo",IF(OR(AND(L23="Muy baja",P23="Moderado"),AND(L23="Baja",P23="Menor"),AND(L23="Baja",P23="Moderado"),AND(L23="Media",P23="Leve"),AND(L23="Media",P23="Menor"),AND(L23="Media",P23="Moderado"),AND(L23="Alta",P23="Leve"),AND(L23="Alta",P23="Menor")),"Moderado",IF(OR(AND(L23="Muy Baja",P23="Mayor"),AND(L23="Baja",P23="Mayor"),AND(L23="Media",P23="Mayor"),AND(L23="Alta",P23="Moderado"),AND(L23="Alta",P23="Mayor"),AND(L23="Muy Alta",P23="Leve"),AND(L23="Muy Alta",P23="Menor"),AND(L23="Muy Alta",P23="Moderado"),AND(L23="Muy Alta",P23="Mayor")),"Alto",IF(OR(AND(L23="Muy Baja",P23="Catastrófico"),AND(L23="Baja",P23="Catastrófico"),AND(L23="Media",P23="Catastrófico"),AND(L23="Alta",P23="Catastrófico"),AND(L23="Muy Alta",P23="Catastrófico")),"Extremo",""))))</f>
        <v/>
      </c>
      <c r="S23" s="150"/>
      <c r="T23" s="150" t="str">
        <f t="shared" si="1"/>
        <v/>
      </c>
      <c r="U23" s="150"/>
      <c r="V23" s="150" t="str">
        <f t="shared" si="2"/>
        <v/>
      </c>
      <c r="W23" s="150" t="str">
        <f t="shared" si="3"/>
        <v/>
      </c>
      <c r="X23" s="150" t="str">
        <f t="shared" si="4"/>
        <v/>
      </c>
      <c r="Y23" s="6">
        <v>1</v>
      </c>
      <c r="Z23" s="120"/>
      <c r="AA23" s="195" t="str">
        <f t="shared" si="0"/>
        <v/>
      </c>
      <c r="AB23" s="187"/>
      <c r="AC23" s="187"/>
      <c r="AD23" s="188" t="str">
        <f>IF(AND(AB23="Preventivo",AC23="Automático"),"50%",IF(AND(AB23="Preventivo",AC23="Manual"),"40%",IF(AND(AB23="Detectivo",AC23="Automático"),"40%",IF(AND(AB23="Detectivo",AC23="Manual"),"30%",IF(AND(AB23="Correctivo",AC23="Automático"),"35%",IF(AND(AB23="Correctivo",AC23="Manual"),"25%",""))))))</f>
        <v/>
      </c>
      <c r="AE23" s="187"/>
      <c r="AF23" s="187"/>
      <c r="AG23" s="187"/>
      <c r="AH23" s="189" t="str">
        <f>IFERROR(IF(AA23="Probabilidad",(M23-(+M23*AD23)),IF(AA23="Impacto",M23,"")),"")</f>
        <v/>
      </c>
      <c r="AI23" s="190" t="str">
        <f>IFERROR(IF(AH23="","",IF(AH23&lt;=0.2,"Muy Baja",IF(AH23&lt;=0.4,"Baja",IF(AH23&lt;=0.6,"Media",IF(AH23&lt;=0.8,"Alta","Muy Alta"))))),"")</f>
        <v/>
      </c>
      <c r="AJ23" s="191" t="str">
        <f>+AH23</f>
        <v/>
      </c>
      <c r="AK23" s="190" t="str">
        <f>IFERROR(IF(AL23="","",IF(AL23&lt;=0.2,"Leve",IF(AL23&lt;=0.4,"Menor",IF(AL23&lt;=0.6,"Moderado",IF(AL23&lt;=0.8,"Mayor","Catastrófico"))))),"")</f>
        <v/>
      </c>
      <c r="AL23" s="191" t="str">
        <f>IFERROR(IF(AA23="Impacto",(Q23-(+Q23*AD23)),IF(AA23="Probabilidad",Q23,"")),"")</f>
        <v/>
      </c>
      <c r="AM23" s="192" t="str">
        <f>IFERROR(IF(OR(AND(AI23="Muy Baja",AK23="Leve"),AND(AI23="Muy Baja",AK23="Menor"),AND(AI23="Baja",AK23="Leve")),"Bajo",IF(OR(AND(AI23="Muy baja",AK23="Moderado"),AND(AI23="Baja",AK23="Menor"),AND(AI23="Baja",AK23="Moderado"),AND(AI23="Media",AK23="Leve"),AND(AI23="Media",AK23="Menor"),AND(AI23="Media",AK23="Moderado"),AND(AI23="Alta",AK23="Leve"),AND(AI23="Alta",AK23="Menor")),"Moderado",IF(OR(AND(AI23="Muy Baja",AK23="Mayor"),AND(AI23="Baja",AK23="Mayor"),AND(AI23="Media",AK23="Mayor"),AND(AI23="Alta",AK23="Moderado"),AND(AI23="Alta",AK23="Mayor"),AND(AI23="Muy Alta",AK23="Leve"),AND(AI23="Muy Alta",AK23="Menor"),AND(AI23="Muy Alta",AK23="Moderado"),AND(AI23="Muy Alta",AK23="Mayor")),"Alto",IF(OR(AND(AI23="Muy Baja",AK23="Catastrófico"),AND(AI23="Baja",AK23="Catastrófico"),AND(AI23="Media",AK23="Catastrófico"),AND(AI23="Alta",AK23="Catastrófico"),AND(AI23="Muy Alta",AK23="Catastrófico")),"Extremo","")))),"")</f>
        <v/>
      </c>
      <c r="AN23" s="193"/>
      <c r="AO23" s="150"/>
      <c r="AP23" s="152" t="str">
        <f t="shared" si="10"/>
        <v/>
      </c>
      <c r="AQ23" s="150"/>
      <c r="AR23" s="152" t="str">
        <f t="shared" si="11"/>
        <v/>
      </c>
      <c r="AS23" s="150" t="str">
        <f t="shared" si="12"/>
        <v/>
      </c>
      <c r="AT23" s="152" t="str">
        <f t="shared" si="13"/>
        <v/>
      </c>
      <c r="AU23" s="142"/>
      <c r="AV23" s="142"/>
      <c r="AW23" s="143"/>
      <c r="AX23" s="143"/>
      <c r="AY23" s="142"/>
      <c r="AZ23" s="144"/>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251"/>
      <c r="B24" s="126"/>
      <c r="C24" s="254"/>
      <c r="D24" s="129"/>
      <c r="E24" s="254"/>
      <c r="F24" s="254"/>
      <c r="G24" s="257"/>
      <c r="H24" s="132"/>
      <c r="I24" s="132"/>
      <c r="J24" s="254"/>
      <c r="K24" s="260"/>
      <c r="L24" s="263"/>
      <c r="M24" s="210"/>
      <c r="N24" s="212"/>
      <c r="O24" s="210">
        <f t="shared" ref="O24:O28" si="23">IF(NOT(ISERROR(MATCH(N24,_xlfn.ANCHORARRAY(G35),0))),M37&amp;"Por favor no seleccionar los criterios de impacto",N24)</f>
        <v>0</v>
      </c>
      <c r="P24" s="214"/>
      <c r="Q24" s="216"/>
      <c r="R24" s="208"/>
      <c r="S24" s="150"/>
      <c r="T24" s="150" t="str">
        <f t="shared" si="1"/>
        <v/>
      </c>
      <c r="U24" s="150"/>
      <c r="V24" s="150" t="str">
        <f t="shared" si="2"/>
        <v/>
      </c>
      <c r="W24" s="150" t="str">
        <f t="shared" si="3"/>
        <v/>
      </c>
      <c r="X24" s="150" t="str">
        <f t="shared" si="4"/>
        <v/>
      </c>
      <c r="Y24" s="6">
        <v>2</v>
      </c>
      <c r="Z24" s="120"/>
      <c r="AA24" s="195" t="str">
        <f t="shared" si="0"/>
        <v/>
      </c>
      <c r="AB24" s="187"/>
      <c r="AC24" s="187"/>
      <c r="AD24" s="188" t="str">
        <f t="shared" ref="AD24:AD28" si="24">IF(AND(AB24="Preventivo",AC24="Automático"),"50%",IF(AND(AB24="Preventivo",AC24="Manual"),"40%",IF(AND(AB24="Detectivo",AC24="Automático"),"40%",IF(AND(AB24="Detectivo",AC24="Manual"),"30%",IF(AND(AB24="Correctivo",AC24="Automático"),"35%",IF(AND(AB24="Correctivo",AC24="Manual"),"25%",""))))))</f>
        <v/>
      </c>
      <c r="AE24" s="187"/>
      <c r="AF24" s="187"/>
      <c r="AG24" s="187"/>
      <c r="AH24" s="189" t="str">
        <f>IFERROR(IF(AND(AA23="Probabilidad",AA24="Probabilidad"),(AJ23-(+AJ23*AD24)),IF(AA24="Probabilidad",(M23-(+M23*AD24)),IF(AA24="Impacto",AJ23,""))),"")</f>
        <v/>
      </c>
      <c r="AI24" s="190" t="str">
        <f t="shared" si="6"/>
        <v/>
      </c>
      <c r="AJ24" s="191" t="str">
        <f t="shared" ref="AJ24:AJ28" si="25">+AH24</f>
        <v/>
      </c>
      <c r="AK24" s="190" t="str">
        <f t="shared" si="8"/>
        <v/>
      </c>
      <c r="AL24" s="191" t="str">
        <f>IFERROR(IF(AND(AA23="Impacto",AA24="Impacto"),(AL23-(+AL23*AD24)),IF(AA24="Impacto",(Q23-(+Q23*AD24)),IF(AA24="Probabilidad",AL23,""))),"")</f>
        <v/>
      </c>
      <c r="AM24" s="192" t="str">
        <f t="shared" ref="AM24:AM25" si="26">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93"/>
      <c r="AO24" s="150"/>
      <c r="AP24" s="152" t="str">
        <f t="shared" si="10"/>
        <v/>
      </c>
      <c r="AQ24" s="150"/>
      <c r="AR24" s="152" t="str">
        <f t="shared" si="11"/>
        <v/>
      </c>
      <c r="AS24" s="150" t="str">
        <f t="shared" si="12"/>
        <v/>
      </c>
      <c r="AT24" s="152" t="str">
        <f t="shared" si="13"/>
        <v/>
      </c>
      <c r="AU24" s="121"/>
      <c r="AV24" s="122"/>
      <c r="AW24" s="123"/>
      <c r="AX24" s="123"/>
      <c r="AY24" s="121"/>
      <c r="AZ24" s="122"/>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251"/>
      <c r="B25" s="126"/>
      <c r="C25" s="254"/>
      <c r="D25" s="129"/>
      <c r="E25" s="254"/>
      <c r="F25" s="254"/>
      <c r="G25" s="257"/>
      <c r="H25" s="132"/>
      <c r="I25" s="132"/>
      <c r="J25" s="254"/>
      <c r="K25" s="260"/>
      <c r="L25" s="263"/>
      <c r="M25" s="210"/>
      <c r="N25" s="212"/>
      <c r="O25" s="210">
        <f t="shared" si="23"/>
        <v>0</v>
      </c>
      <c r="P25" s="214"/>
      <c r="Q25" s="216"/>
      <c r="R25" s="208"/>
      <c r="S25" s="150"/>
      <c r="T25" s="150" t="str">
        <f t="shared" si="1"/>
        <v/>
      </c>
      <c r="U25" s="150"/>
      <c r="V25" s="150" t="str">
        <f t="shared" si="2"/>
        <v/>
      </c>
      <c r="W25" s="150" t="str">
        <f t="shared" si="3"/>
        <v/>
      </c>
      <c r="X25" s="150" t="str">
        <f t="shared" si="4"/>
        <v/>
      </c>
      <c r="Y25" s="6">
        <v>3</v>
      </c>
      <c r="Z25" s="124"/>
      <c r="AA25" s="195" t="str">
        <f t="shared" si="0"/>
        <v/>
      </c>
      <c r="AB25" s="187"/>
      <c r="AC25" s="187"/>
      <c r="AD25" s="188" t="str">
        <f t="shared" si="24"/>
        <v/>
      </c>
      <c r="AE25" s="187"/>
      <c r="AF25" s="187"/>
      <c r="AG25" s="187"/>
      <c r="AH25" s="189" t="str">
        <f>IFERROR(IF(AND(AA24="Probabilidad",AA25="Probabilidad"),(AJ24-(+AJ24*AD25)),IF(AND(AA24="Impacto",AA25="Probabilidad"),(AJ23-(+AJ23*AD25)),IF(AA25="Impacto",AJ24,""))),"")</f>
        <v/>
      </c>
      <c r="AI25" s="190" t="str">
        <f t="shared" si="6"/>
        <v/>
      </c>
      <c r="AJ25" s="191" t="str">
        <f t="shared" si="25"/>
        <v/>
      </c>
      <c r="AK25" s="190" t="str">
        <f t="shared" si="8"/>
        <v/>
      </c>
      <c r="AL25" s="191" t="str">
        <f>IFERROR(IF(AND(AA24="Impacto",AA25="Impacto"),(AL24-(+AL24*AD25)),IF(AND(AA24="Probabilidad",AA25="Impacto"),(AL23-(+AL23*AD25)),IF(AA25="Probabilidad",AL24,""))),"")</f>
        <v/>
      </c>
      <c r="AM25" s="192" t="str">
        <f t="shared" si="26"/>
        <v/>
      </c>
      <c r="AN25" s="193"/>
      <c r="AO25" s="150"/>
      <c r="AP25" s="152" t="str">
        <f t="shared" si="10"/>
        <v/>
      </c>
      <c r="AQ25" s="150"/>
      <c r="AR25" s="152" t="str">
        <f t="shared" si="11"/>
        <v/>
      </c>
      <c r="AS25" s="150" t="str">
        <f t="shared" si="12"/>
        <v/>
      </c>
      <c r="AT25" s="152" t="str">
        <f t="shared" si="13"/>
        <v/>
      </c>
      <c r="AU25" s="121"/>
      <c r="AV25" s="122"/>
      <c r="AW25" s="123"/>
      <c r="AX25" s="123"/>
      <c r="AY25" s="121"/>
      <c r="AZ25" s="122"/>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251"/>
      <c r="B26" s="126"/>
      <c r="C26" s="254"/>
      <c r="D26" s="129"/>
      <c r="E26" s="254"/>
      <c r="F26" s="254"/>
      <c r="G26" s="257"/>
      <c r="H26" s="132"/>
      <c r="I26" s="132"/>
      <c r="J26" s="254"/>
      <c r="K26" s="260"/>
      <c r="L26" s="263"/>
      <c r="M26" s="210"/>
      <c r="N26" s="212"/>
      <c r="O26" s="210">
        <f t="shared" si="23"/>
        <v>0</v>
      </c>
      <c r="P26" s="214"/>
      <c r="Q26" s="216"/>
      <c r="R26" s="208"/>
      <c r="S26" s="150"/>
      <c r="T26" s="150" t="str">
        <f t="shared" si="1"/>
        <v/>
      </c>
      <c r="U26" s="150"/>
      <c r="V26" s="150" t="str">
        <f t="shared" si="2"/>
        <v/>
      </c>
      <c r="W26" s="150" t="str">
        <f t="shared" si="3"/>
        <v/>
      </c>
      <c r="X26" s="150" t="str">
        <f t="shared" si="4"/>
        <v/>
      </c>
      <c r="Y26" s="6">
        <v>4</v>
      </c>
      <c r="Z26" s="120"/>
      <c r="AA26" s="195" t="str">
        <f t="shared" ref="AA26:AA28" si="27">IF(OR(AB26="Preventivo",AB26="Detectivo"),"Probabilidad",IF(AB26="Correctivo","Impacto",""))</f>
        <v/>
      </c>
      <c r="AB26" s="187"/>
      <c r="AC26" s="187"/>
      <c r="AD26" s="188" t="str">
        <f t="shared" si="24"/>
        <v/>
      </c>
      <c r="AE26" s="187"/>
      <c r="AF26" s="187"/>
      <c r="AG26" s="187"/>
      <c r="AH26" s="189" t="str">
        <f t="shared" ref="AH26:AH28" si="28">IFERROR(IF(AND(AA25="Probabilidad",AA26="Probabilidad"),(AJ25-(+AJ25*AD26)),IF(AND(AA25="Impacto",AA26="Probabilidad"),(AJ24-(+AJ24*AD26)),IF(AA26="Impacto",AJ25,""))),"")</f>
        <v/>
      </c>
      <c r="AI26" s="190" t="str">
        <f t="shared" si="6"/>
        <v/>
      </c>
      <c r="AJ26" s="191" t="str">
        <f t="shared" si="25"/>
        <v/>
      </c>
      <c r="AK26" s="190" t="str">
        <f t="shared" si="8"/>
        <v/>
      </c>
      <c r="AL26" s="191" t="str">
        <f t="shared" ref="AL26:AL28" si="29">IFERROR(IF(AND(AA25="Impacto",AA26="Impacto"),(AL25-(+AL25*AD26)),IF(AND(AA25="Probabilidad",AA26="Impacto"),(AL24-(+AL24*AD26)),IF(AA26="Probabilidad",AL25,""))),"")</f>
        <v/>
      </c>
      <c r="AM26" s="192" t="str">
        <f>IFERROR(IF(OR(AND(AI26="Muy Baja",AK26="Leve"),AND(AI26="Muy Baja",AK26="Menor"),AND(AI26="Baja",AK26="Leve")),"Bajo",IF(OR(AND(AI26="Muy baja",AK26="Moderado"),AND(AI26="Baja",AK26="Menor"),AND(AI26="Baja",AK26="Moderado"),AND(AI26="Media",AK26="Leve"),AND(AI26="Media",AK26="Menor"),AND(AI26="Media",AK26="Moderado"),AND(AI26="Alta",AK26="Leve"),AND(AI26="Alta",AK26="Menor")),"Moderado",IF(OR(AND(AI26="Muy Baja",AK26="Mayor"),AND(AI26="Baja",AK26="Mayor"),AND(AI26="Media",AK26="Mayor"),AND(AI26="Alta",AK26="Moderado"),AND(AI26="Alta",AK26="Mayor"),AND(AI26="Muy Alta",AK26="Leve"),AND(AI26="Muy Alta",AK26="Menor"),AND(AI26="Muy Alta",AK26="Moderado"),AND(AI26="Muy Alta",AK26="Mayor")),"Alto",IF(OR(AND(AI26="Muy Baja",AK26="Catastrófico"),AND(AI26="Baja",AK26="Catastrófico"),AND(AI26="Media",AK26="Catastrófico"),AND(AI26="Alta",AK26="Catastrófico"),AND(AI26="Muy Alta",AK26="Catastrófico")),"Extremo","")))),"")</f>
        <v/>
      </c>
      <c r="AN26" s="193"/>
      <c r="AO26" s="150"/>
      <c r="AP26" s="152" t="str">
        <f t="shared" si="10"/>
        <v/>
      </c>
      <c r="AQ26" s="150"/>
      <c r="AR26" s="152" t="str">
        <f t="shared" si="11"/>
        <v/>
      </c>
      <c r="AS26" s="150" t="str">
        <f t="shared" si="12"/>
        <v/>
      </c>
      <c r="AT26" s="152" t="str">
        <f t="shared" si="13"/>
        <v/>
      </c>
      <c r="AU26" s="121"/>
      <c r="AV26" s="122"/>
      <c r="AW26" s="123"/>
      <c r="AX26" s="123"/>
      <c r="AY26" s="121"/>
      <c r="AZ26" s="122"/>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251"/>
      <c r="B27" s="126"/>
      <c r="C27" s="254"/>
      <c r="D27" s="129"/>
      <c r="E27" s="254"/>
      <c r="F27" s="254"/>
      <c r="G27" s="257"/>
      <c r="H27" s="132"/>
      <c r="I27" s="132"/>
      <c r="J27" s="254"/>
      <c r="K27" s="260"/>
      <c r="L27" s="263"/>
      <c r="M27" s="210"/>
      <c r="N27" s="212"/>
      <c r="O27" s="210">
        <f t="shared" si="23"/>
        <v>0</v>
      </c>
      <c r="P27" s="214"/>
      <c r="Q27" s="216"/>
      <c r="R27" s="208"/>
      <c r="S27" s="150"/>
      <c r="T27" s="150" t="str">
        <f t="shared" si="1"/>
        <v/>
      </c>
      <c r="U27" s="150"/>
      <c r="V27" s="150" t="str">
        <f t="shared" si="2"/>
        <v/>
      </c>
      <c r="W27" s="150" t="str">
        <f t="shared" si="3"/>
        <v/>
      </c>
      <c r="X27" s="150" t="str">
        <f t="shared" si="4"/>
        <v/>
      </c>
      <c r="Y27" s="6">
        <v>5</v>
      </c>
      <c r="Z27" s="120"/>
      <c r="AA27" s="195" t="str">
        <f t="shared" si="27"/>
        <v/>
      </c>
      <c r="AB27" s="187"/>
      <c r="AC27" s="187"/>
      <c r="AD27" s="188" t="str">
        <f t="shared" si="24"/>
        <v/>
      </c>
      <c r="AE27" s="187"/>
      <c r="AF27" s="187"/>
      <c r="AG27" s="187"/>
      <c r="AH27" s="189" t="str">
        <f t="shared" si="28"/>
        <v/>
      </c>
      <c r="AI27" s="190" t="str">
        <f t="shared" si="6"/>
        <v/>
      </c>
      <c r="AJ27" s="191" t="str">
        <f t="shared" si="25"/>
        <v/>
      </c>
      <c r="AK27" s="190" t="str">
        <f t="shared" si="8"/>
        <v/>
      </c>
      <c r="AL27" s="191" t="str">
        <f t="shared" si="29"/>
        <v/>
      </c>
      <c r="AM27" s="192" t="str">
        <f t="shared" ref="AM27:AM28" si="30">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93"/>
      <c r="AO27" s="150"/>
      <c r="AP27" s="152" t="str">
        <f t="shared" si="10"/>
        <v/>
      </c>
      <c r="AQ27" s="150"/>
      <c r="AR27" s="152" t="str">
        <f t="shared" si="11"/>
        <v/>
      </c>
      <c r="AS27" s="150" t="str">
        <f t="shared" si="12"/>
        <v/>
      </c>
      <c r="AT27" s="152" t="str">
        <f t="shared" si="13"/>
        <v/>
      </c>
      <c r="AU27" s="121"/>
      <c r="AV27" s="122"/>
      <c r="AW27" s="123"/>
      <c r="AX27" s="123"/>
      <c r="AY27" s="121"/>
      <c r="AZ27" s="122"/>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252"/>
      <c r="B28" s="127"/>
      <c r="C28" s="255"/>
      <c r="D28" s="130"/>
      <c r="E28" s="255"/>
      <c r="F28" s="255"/>
      <c r="G28" s="258"/>
      <c r="H28" s="133"/>
      <c r="I28" s="133"/>
      <c r="J28" s="255"/>
      <c r="K28" s="261"/>
      <c r="L28" s="264"/>
      <c r="M28" s="265"/>
      <c r="N28" s="266"/>
      <c r="O28" s="265">
        <f t="shared" si="23"/>
        <v>0</v>
      </c>
      <c r="P28" s="267"/>
      <c r="Q28" s="248"/>
      <c r="R28" s="249"/>
      <c r="S28" s="150"/>
      <c r="T28" s="150" t="str">
        <f t="shared" si="1"/>
        <v/>
      </c>
      <c r="U28" s="150"/>
      <c r="V28" s="150" t="str">
        <f t="shared" si="2"/>
        <v/>
      </c>
      <c r="W28" s="150" t="str">
        <f t="shared" si="3"/>
        <v/>
      </c>
      <c r="X28" s="150" t="str">
        <f t="shared" si="4"/>
        <v/>
      </c>
      <c r="Y28" s="6">
        <v>6</v>
      </c>
      <c r="Z28" s="120"/>
      <c r="AA28" s="195" t="str">
        <f t="shared" si="27"/>
        <v/>
      </c>
      <c r="AB28" s="187"/>
      <c r="AC28" s="187"/>
      <c r="AD28" s="188" t="str">
        <f t="shared" si="24"/>
        <v/>
      </c>
      <c r="AE28" s="187"/>
      <c r="AF28" s="187"/>
      <c r="AG28" s="187"/>
      <c r="AH28" s="189" t="str">
        <f t="shared" si="28"/>
        <v/>
      </c>
      <c r="AI28" s="190" t="str">
        <f t="shared" si="6"/>
        <v/>
      </c>
      <c r="AJ28" s="191" t="str">
        <f t="shared" si="25"/>
        <v/>
      </c>
      <c r="AK28" s="190" t="str">
        <f t="shared" si="8"/>
        <v/>
      </c>
      <c r="AL28" s="191" t="str">
        <f t="shared" si="29"/>
        <v/>
      </c>
      <c r="AM28" s="192" t="str">
        <f t="shared" si="30"/>
        <v/>
      </c>
      <c r="AN28" s="193"/>
      <c r="AO28" s="150"/>
      <c r="AP28" s="152" t="str">
        <f t="shared" si="10"/>
        <v/>
      </c>
      <c r="AQ28" s="150"/>
      <c r="AR28" s="152" t="str">
        <f t="shared" si="11"/>
        <v/>
      </c>
      <c r="AS28" s="150" t="str">
        <f t="shared" si="12"/>
        <v/>
      </c>
      <c r="AT28" s="152" t="str">
        <f t="shared" si="13"/>
        <v/>
      </c>
      <c r="AU28" s="121"/>
      <c r="AV28" s="122"/>
      <c r="AW28" s="123"/>
      <c r="AX28" s="123"/>
      <c r="AY28" s="121"/>
      <c r="AZ28" s="122"/>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250">
        <v>6</v>
      </c>
      <c r="B29" s="125"/>
      <c r="C29" s="253"/>
      <c r="D29" s="128"/>
      <c r="E29" s="253"/>
      <c r="F29" s="253"/>
      <c r="G29" s="256"/>
      <c r="H29" s="131"/>
      <c r="I29" s="131"/>
      <c r="J29" s="253"/>
      <c r="K29" s="259"/>
      <c r="L29" s="262" t="str">
        <f>IF(K29&lt;=0,"",IF(K29&lt;=2,"Muy Baja",IF(K29&lt;=24,"Baja",IF(K29&lt;=500,"Media",IF(K29&lt;=5000,"Alta","Muy Alta")))))</f>
        <v/>
      </c>
      <c r="M29" s="209" t="str">
        <f>IF(L29="","",IF(L29="Muy Baja",0.2,IF(L29="Baja",0.4,IF(L29="Media",0.6,IF(L29="Alta",0.8,IF(L29="Muy Alta",1,))))))</f>
        <v/>
      </c>
      <c r="N29" s="211"/>
      <c r="O29" s="209">
        <f>IF(NOT(ISERROR(MATCH(N29,'Tabla Impacto'!$B$221:$B$223,0))),'Tabla Impacto'!$F$223&amp;"Por favor no seleccionar los criterios de impacto(Afectación Económica o presupuestal y Pérdida Reputacional)",N29)</f>
        <v>0</v>
      </c>
      <c r="P29" s="213" t="str">
        <f>IF(OR(O29='Tabla Impacto'!$C$11,O29='Tabla Impacto'!$D$11),"Leve",IF(OR(O29='Tabla Impacto'!$C$12,O29='Tabla Impacto'!$D$12),"Menor",IF(OR(O29='Tabla Impacto'!$C$13,O29='Tabla Impacto'!$D$13),"Moderado",IF(OR(O29='Tabla Impacto'!$C$14,O29='Tabla Impacto'!$D$14),"Mayor",IF(OR(O29='Tabla Impacto'!$C$15,O29='Tabla Impacto'!$D$15),"Catastrófico","")))))</f>
        <v/>
      </c>
      <c r="Q29" s="215" t="str">
        <f>IF(P29="","",IF(P29="Leve",0.2,IF(P29="Menor",0.4,IF(P29="Moderado",0.6,IF(P29="Mayor",0.8,IF(P29="Catastrófico",1,))))))</f>
        <v/>
      </c>
      <c r="R29" s="207" t="str">
        <f>IF(OR(AND(L29="Muy Baja",P29="Leve"),AND(L29="Muy Baja",P29="Menor"),AND(L29="Baja",P29="Leve")),"Bajo",IF(OR(AND(L29="Muy baja",P29="Moderado"),AND(L29="Baja",P29="Menor"),AND(L29="Baja",P29="Moderado"),AND(L29="Media",P29="Leve"),AND(L29="Media",P29="Menor"),AND(L29="Media",P29="Moderado"),AND(L29="Alta",P29="Leve"),AND(L29="Alta",P29="Menor")),"Moderado",IF(OR(AND(L29="Muy Baja",P29="Mayor"),AND(L29="Baja",P29="Mayor"),AND(L29="Media",P29="Mayor"),AND(L29="Alta",P29="Moderado"),AND(L29="Alta",P29="Mayor"),AND(L29="Muy Alta",P29="Leve"),AND(L29="Muy Alta",P29="Menor"),AND(L29="Muy Alta",P29="Moderado"),AND(L29="Muy Alta",P29="Mayor")),"Alto",IF(OR(AND(L29="Muy Baja",P29="Catastrófico"),AND(L29="Baja",P29="Catastrófico"),AND(L29="Media",P29="Catastrófico"),AND(L29="Alta",P29="Catastrófico"),AND(L29="Muy Alta",P29="Catastrófico")),"Extremo",""))))</f>
        <v/>
      </c>
      <c r="S29" s="150"/>
      <c r="T29" s="150" t="str">
        <f t="shared" si="1"/>
        <v/>
      </c>
      <c r="U29" s="150"/>
      <c r="V29" s="150" t="str">
        <f t="shared" si="2"/>
        <v/>
      </c>
      <c r="W29" s="150" t="str">
        <f t="shared" si="3"/>
        <v/>
      </c>
      <c r="X29" s="150" t="str">
        <f t="shared" si="4"/>
        <v/>
      </c>
      <c r="Y29" s="6">
        <v>1</v>
      </c>
      <c r="Z29" s="120"/>
      <c r="AA29" s="195" t="str">
        <f>IF(OR(AB29="Preventivo",AB29="Detectivo"),"Probabilidad",IF(AB29="Correctivo","Impacto",""))</f>
        <v/>
      </c>
      <c r="AB29" s="187"/>
      <c r="AC29" s="187"/>
      <c r="AD29" s="188" t="str">
        <f>IF(AND(AB29="Preventivo",AC29="Automático"),"50%",IF(AND(AB29="Preventivo",AC29="Manual"),"40%",IF(AND(AB29="Detectivo",AC29="Automático"),"40%",IF(AND(AB29="Detectivo",AC29="Manual"),"30%",IF(AND(AB29="Correctivo",AC29="Automático"),"35%",IF(AND(AB29="Correctivo",AC29="Manual"),"25%",""))))))</f>
        <v/>
      </c>
      <c r="AE29" s="187"/>
      <c r="AF29" s="187"/>
      <c r="AG29" s="187"/>
      <c r="AH29" s="189" t="str">
        <f>IFERROR(IF(AA29="Probabilidad",(M29-(+M29*AD29)),IF(AA29="Impacto",M29,"")),"")</f>
        <v/>
      </c>
      <c r="AI29" s="190" t="str">
        <f>IFERROR(IF(AH29="","",IF(AH29&lt;=0.2,"Muy Baja",IF(AH29&lt;=0.4,"Baja",IF(AH29&lt;=0.6,"Media",IF(AH29&lt;=0.8,"Alta","Muy Alta"))))),"")</f>
        <v/>
      </c>
      <c r="AJ29" s="191" t="str">
        <f>+AH29</f>
        <v/>
      </c>
      <c r="AK29" s="190" t="str">
        <f>IFERROR(IF(AL29="","",IF(AL29&lt;=0.2,"Leve",IF(AL29&lt;=0.4,"Menor",IF(AL29&lt;=0.6,"Moderado",IF(AL29&lt;=0.8,"Mayor","Catastrófico"))))),"")</f>
        <v/>
      </c>
      <c r="AL29" s="191" t="str">
        <f>IFERROR(IF(AA29="Impacto",(Q29-(+Q29*AD29)),IF(AA29="Probabilidad",Q29,"")),"")</f>
        <v/>
      </c>
      <c r="AM29" s="192" t="str">
        <f>IFERROR(IF(OR(AND(AI29="Muy Baja",AK29="Leve"),AND(AI29="Muy Baja",AK29="Menor"),AND(AI29="Baja",AK29="Leve")),"Bajo",IF(OR(AND(AI29="Muy baja",AK29="Moderado"),AND(AI29="Baja",AK29="Menor"),AND(AI29="Baja",AK29="Moderado"),AND(AI29="Media",AK29="Leve"),AND(AI29="Media",AK29="Menor"),AND(AI29="Media",AK29="Moderado"),AND(AI29="Alta",AK29="Leve"),AND(AI29="Alta",AK29="Menor")),"Moderado",IF(OR(AND(AI29="Muy Baja",AK29="Mayor"),AND(AI29="Baja",AK29="Mayor"),AND(AI29="Media",AK29="Mayor"),AND(AI29="Alta",AK29="Moderado"),AND(AI29="Alta",AK29="Mayor"),AND(AI29="Muy Alta",AK29="Leve"),AND(AI29="Muy Alta",AK29="Menor"),AND(AI29="Muy Alta",AK29="Moderado"),AND(AI29="Muy Alta",AK29="Mayor")),"Alto",IF(OR(AND(AI29="Muy Baja",AK29="Catastrófico"),AND(AI29="Baja",AK29="Catastrófico"),AND(AI29="Media",AK29="Catastrófico"),AND(AI29="Alta",AK29="Catastrófico"),AND(AI29="Muy Alta",AK29="Catastrófico")),"Extremo","")))),"")</f>
        <v/>
      </c>
      <c r="AN29" s="193"/>
      <c r="AO29" s="150"/>
      <c r="AP29" s="152" t="str">
        <f t="shared" si="10"/>
        <v/>
      </c>
      <c r="AQ29" s="150"/>
      <c r="AR29" s="152" t="str">
        <f t="shared" si="11"/>
        <v/>
      </c>
      <c r="AS29" s="150" t="str">
        <f t="shared" si="12"/>
        <v/>
      </c>
      <c r="AT29" s="152" t="str">
        <f t="shared" si="13"/>
        <v/>
      </c>
      <c r="AU29" s="121"/>
      <c r="AV29" s="122"/>
      <c r="AW29" s="123"/>
      <c r="AX29" s="123"/>
      <c r="AY29" s="121"/>
      <c r="AZ29" s="122"/>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251"/>
      <c r="B30" s="126"/>
      <c r="C30" s="254"/>
      <c r="D30" s="129"/>
      <c r="E30" s="254"/>
      <c r="F30" s="254"/>
      <c r="G30" s="257"/>
      <c r="H30" s="132"/>
      <c r="I30" s="132"/>
      <c r="J30" s="254"/>
      <c r="K30" s="260"/>
      <c r="L30" s="263"/>
      <c r="M30" s="210"/>
      <c r="N30" s="212"/>
      <c r="O30" s="210">
        <f t="shared" ref="O30:O34" si="31">IF(NOT(ISERROR(MATCH(N30,_xlfn.ANCHORARRAY(G41),0))),M43&amp;"Por favor no seleccionar los criterios de impacto",N30)</f>
        <v>0</v>
      </c>
      <c r="P30" s="214"/>
      <c r="Q30" s="216"/>
      <c r="R30" s="208"/>
      <c r="S30" s="150"/>
      <c r="T30" s="150" t="str">
        <f t="shared" si="1"/>
        <v/>
      </c>
      <c r="U30" s="150"/>
      <c r="V30" s="150" t="str">
        <f t="shared" si="2"/>
        <v/>
      </c>
      <c r="W30" s="150" t="str">
        <f t="shared" si="3"/>
        <v/>
      </c>
      <c r="X30" s="150" t="str">
        <f t="shared" si="4"/>
        <v/>
      </c>
      <c r="Y30" s="6">
        <v>2</v>
      </c>
      <c r="Z30" s="120"/>
      <c r="AA30" s="195" t="str">
        <f>IF(OR(AB30="Preventivo",AB30="Detectivo"),"Probabilidad",IF(AB30="Correctivo","Impacto",""))</f>
        <v/>
      </c>
      <c r="AB30" s="187"/>
      <c r="AC30" s="187"/>
      <c r="AD30" s="188" t="str">
        <f t="shared" ref="AD30:AD34" si="32">IF(AND(AB30="Preventivo",AC30="Automático"),"50%",IF(AND(AB30="Preventivo",AC30="Manual"),"40%",IF(AND(AB30="Detectivo",AC30="Automático"),"40%",IF(AND(AB30="Detectivo",AC30="Manual"),"30%",IF(AND(AB30="Correctivo",AC30="Automático"),"35%",IF(AND(AB30="Correctivo",AC30="Manual"),"25%",""))))))</f>
        <v/>
      </c>
      <c r="AE30" s="187"/>
      <c r="AF30" s="187"/>
      <c r="AG30" s="187"/>
      <c r="AH30" s="189" t="str">
        <f>IFERROR(IF(AND(AA29="Probabilidad",AA30="Probabilidad"),(AJ29-(+AJ29*AD30)),IF(AA30="Probabilidad",(M29-(+M29*AD30)),IF(AA30="Impacto",AJ29,""))),"")</f>
        <v/>
      </c>
      <c r="AI30" s="190" t="str">
        <f t="shared" si="6"/>
        <v/>
      </c>
      <c r="AJ30" s="191" t="str">
        <f t="shared" ref="AJ30:AJ34" si="33">+AH30</f>
        <v/>
      </c>
      <c r="AK30" s="190" t="str">
        <f t="shared" si="8"/>
        <v/>
      </c>
      <c r="AL30" s="191" t="str">
        <f>IFERROR(IF(AND(AA29="Impacto",AA30="Impacto"),(AL29-(+AL29*AD30)),IF(AA30="Impacto",(Q29-(+Q29*AD30)),IF(AA30="Probabilidad",AL29,""))),"")</f>
        <v/>
      </c>
      <c r="AM30" s="192" t="str">
        <f t="shared" ref="AM30:AM31" si="34">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93"/>
      <c r="AO30" s="150"/>
      <c r="AP30" s="152" t="str">
        <f t="shared" si="10"/>
        <v/>
      </c>
      <c r="AQ30" s="150"/>
      <c r="AR30" s="152" t="str">
        <f t="shared" si="11"/>
        <v/>
      </c>
      <c r="AS30" s="150" t="str">
        <f t="shared" si="12"/>
        <v/>
      </c>
      <c r="AT30" s="152" t="str">
        <f t="shared" si="13"/>
        <v/>
      </c>
      <c r="AU30" s="121"/>
      <c r="AV30" s="122"/>
      <c r="AW30" s="123"/>
      <c r="AX30" s="123"/>
      <c r="AY30" s="121"/>
      <c r="AZ30" s="122"/>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251"/>
      <c r="B31" s="126"/>
      <c r="C31" s="254"/>
      <c r="D31" s="129"/>
      <c r="E31" s="254"/>
      <c r="F31" s="254"/>
      <c r="G31" s="257"/>
      <c r="H31" s="132"/>
      <c r="I31" s="132"/>
      <c r="J31" s="254"/>
      <c r="K31" s="260"/>
      <c r="L31" s="263"/>
      <c r="M31" s="210"/>
      <c r="N31" s="212"/>
      <c r="O31" s="210">
        <f t="shared" si="31"/>
        <v>0</v>
      </c>
      <c r="P31" s="214"/>
      <c r="Q31" s="216"/>
      <c r="R31" s="208"/>
      <c r="S31" s="150"/>
      <c r="T31" s="150" t="str">
        <f t="shared" si="1"/>
        <v/>
      </c>
      <c r="U31" s="150"/>
      <c r="V31" s="150" t="str">
        <f t="shared" si="2"/>
        <v/>
      </c>
      <c r="W31" s="150" t="str">
        <f t="shared" si="3"/>
        <v/>
      </c>
      <c r="X31" s="150" t="str">
        <f t="shared" si="4"/>
        <v/>
      </c>
      <c r="Y31" s="6">
        <v>3</v>
      </c>
      <c r="Z31" s="124"/>
      <c r="AA31" s="195" t="str">
        <f>IF(OR(AB31="Preventivo",AB31="Detectivo"),"Probabilidad",IF(AB31="Correctivo","Impacto",""))</f>
        <v/>
      </c>
      <c r="AB31" s="187"/>
      <c r="AC31" s="187"/>
      <c r="AD31" s="188" t="str">
        <f t="shared" si="32"/>
        <v/>
      </c>
      <c r="AE31" s="187"/>
      <c r="AF31" s="187"/>
      <c r="AG31" s="187"/>
      <c r="AH31" s="189" t="str">
        <f>IFERROR(IF(AND(AA30="Probabilidad",AA31="Probabilidad"),(AJ30-(+AJ30*AD31)),IF(AND(AA30="Impacto",AA31="Probabilidad"),(AJ29-(+AJ29*AD31)),IF(AA31="Impacto",AJ30,""))),"")</f>
        <v/>
      </c>
      <c r="AI31" s="190" t="str">
        <f t="shared" si="6"/>
        <v/>
      </c>
      <c r="AJ31" s="191" t="str">
        <f t="shared" si="33"/>
        <v/>
      </c>
      <c r="AK31" s="190" t="str">
        <f t="shared" si="8"/>
        <v/>
      </c>
      <c r="AL31" s="191" t="str">
        <f>IFERROR(IF(AND(AA30="Impacto",AA31="Impacto"),(AL30-(+AL30*AD31)),IF(AND(AA30="Probabilidad",AA31="Impacto"),(AL29-(+AL29*AD31)),IF(AA31="Probabilidad",AL30,""))),"")</f>
        <v/>
      </c>
      <c r="AM31" s="192" t="str">
        <f t="shared" si="34"/>
        <v/>
      </c>
      <c r="AN31" s="193"/>
      <c r="AO31" s="193"/>
      <c r="AP31" s="193"/>
      <c r="AQ31" s="193"/>
      <c r="AR31" s="193"/>
      <c r="AS31" s="193"/>
      <c r="AT31" s="193"/>
      <c r="AU31" s="121"/>
      <c r="AV31" s="122"/>
      <c r="AW31" s="123"/>
      <c r="AX31" s="123"/>
      <c r="AY31" s="121"/>
      <c r="AZ31" s="122"/>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251"/>
      <c r="B32" s="126"/>
      <c r="C32" s="254"/>
      <c r="D32" s="129"/>
      <c r="E32" s="254"/>
      <c r="F32" s="254"/>
      <c r="G32" s="257"/>
      <c r="H32" s="132"/>
      <c r="I32" s="132"/>
      <c r="J32" s="254"/>
      <c r="K32" s="260"/>
      <c r="L32" s="263"/>
      <c r="M32" s="210"/>
      <c r="N32" s="212"/>
      <c r="O32" s="210">
        <f t="shared" si="31"/>
        <v>0</v>
      </c>
      <c r="P32" s="214"/>
      <c r="Q32" s="216"/>
      <c r="R32" s="208"/>
      <c r="S32" s="150"/>
      <c r="T32" s="150" t="str">
        <f t="shared" si="1"/>
        <v/>
      </c>
      <c r="U32" s="150"/>
      <c r="V32" s="150" t="str">
        <f t="shared" si="2"/>
        <v/>
      </c>
      <c r="W32" s="150" t="str">
        <f t="shared" si="3"/>
        <v/>
      </c>
      <c r="X32" s="150" t="str">
        <f t="shared" si="4"/>
        <v/>
      </c>
      <c r="Y32" s="6">
        <v>4</v>
      </c>
      <c r="Z32" s="120"/>
      <c r="AA32" s="195" t="str">
        <f t="shared" ref="AA32:AA34" si="35">IF(OR(AB32="Preventivo",AB32="Detectivo"),"Probabilidad",IF(AB32="Correctivo","Impacto",""))</f>
        <v/>
      </c>
      <c r="AB32" s="187"/>
      <c r="AC32" s="187"/>
      <c r="AD32" s="188" t="str">
        <f t="shared" si="32"/>
        <v/>
      </c>
      <c r="AE32" s="187"/>
      <c r="AF32" s="187"/>
      <c r="AG32" s="187"/>
      <c r="AH32" s="189" t="str">
        <f t="shared" ref="AH32:AH34" si="36">IFERROR(IF(AND(AA31="Probabilidad",AA32="Probabilidad"),(AJ31-(+AJ31*AD32)),IF(AND(AA31="Impacto",AA32="Probabilidad"),(AJ30-(+AJ30*AD32)),IF(AA32="Impacto",AJ31,""))),"")</f>
        <v/>
      </c>
      <c r="AI32" s="190" t="str">
        <f t="shared" si="6"/>
        <v/>
      </c>
      <c r="AJ32" s="191" t="str">
        <f t="shared" si="33"/>
        <v/>
      </c>
      <c r="AK32" s="190" t="str">
        <f t="shared" si="8"/>
        <v/>
      </c>
      <c r="AL32" s="191" t="str">
        <f t="shared" ref="AL32:AL34" si="37">IFERROR(IF(AND(AA31="Impacto",AA32="Impacto"),(AL31-(+AL31*AD32)),IF(AND(AA31="Probabilidad",AA32="Impacto"),(AL30-(+AL30*AD32)),IF(AA32="Probabilidad",AL31,""))),"")</f>
        <v/>
      </c>
      <c r="AM32" s="192" t="str">
        <f>IFERROR(IF(OR(AND(AI32="Muy Baja",AK32="Leve"),AND(AI32="Muy Baja",AK32="Menor"),AND(AI32="Baja",AK32="Leve")),"Bajo",IF(OR(AND(AI32="Muy baja",AK32="Moderado"),AND(AI32="Baja",AK32="Menor"),AND(AI32="Baja",AK32="Moderado"),AND(AI32="Media",AK32="Leve"),AND(AI32="Media",AK32="Menor"),AND(AI32="Media",AK32="Moderado"),AND(AI32="Alta",AK32="Leve"),AND(AI32="Alta",AK32="Menor")),"Moderado",IF(OR(AND(AI32="Muy Baja",AK32="Mayor"),AND(AI32="Baja",AK32="Mayor"),AND(AI32="Media",AK32="Mayor"),AND(AI32="Alta",AK32="Moderado"),AND(AI32="Alta",AK32="Mayor"),AND(AI32="Muy Alta",AK32="Leve"),AND(AI32="Muy Alta",AK32="Menor"),AND(AI32="Muy Alta",AK32="Moderado"),AND(AI32="Muy Alta",AK32="Mayor")),"Alto",IF(OR(AND(AI32="Muy Baja",AK32="Catastrófico"),AND(AI32="Baja",AK32="Catastrófico"),AND(AI32="Media",AK32="Catastrófico"),AND(AI32="Alta",AK32="Catastrófico"),AND(AI32="Muy Alta",AK32="Catastrófico")),"Extremo","")))),"")</f>
        <v/>
      </c>
      <c r="AN32" s="193"/>
      <c r="AO32" s="193"/>
      <c r="AP32" s="193"/>
      <c r="AQ32" s="193"/>
      <c r="AR32" s="193"/>
      <c r="AS32" s="193"/>
      <c r="AT32" s="193"/>
      <c r="AU32" s="121"/>
      <c r="AV32" s="122"/>
      <c r="AW32" s="123"/>
      <c r="AX32" s="123"/>
      <c r="AY32" s="121"/>
      <c r="AZ32" s="122"/>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251"/>
      <c r="B33" s="126"/>
      <c r="C33" s="254"/>
      <c r="D33" s="129"/>
      <c r="E33" s="254"/>
      <c r="F33" s="254"/>
      <c r="G33" s="257"/>
      <c r="H33" s="132"/>
      <c r="I33" s="132"/>
      <c r="J33" s="254"/>
      <c r="K33" s="260"/>
      <c r="L33" s="263"/>
      <c r="M33" s="210"/>
      <c r="N33" s="212"/>
      <c r="O33" s="210">
        <f t="shared" si="31"/>
        <v>0</v>
      </c>
      <c r="P33" s="214"/>
      <c r="Q33" s="216"/>
      <c r="R33" s="208"/>
      <c r="S33" s="150"/>
      <c r="T33" s="150" t="str">
        <f t="shared" si="1"/>
        <v/>
      </c>
      <c r="U33" s="150"/>
      <c r="V33" s="150" t="str">
        <f t="shared" si="2"/>
        <v/>
      </c>
      <c r="W33" s="150" t="str">
        <f t="shared" si="3"/>
        <v/>
      </c>
      <c r="X33" s="150" t="str">
        <f t="shared" si="4"/>
        <v/>
      </c>
      <c r="Y33" s="6">
        <v>5</v>
      </c>
      <c r="Z33" s="120"/>
      <c r="AA33" s="195" t="str">
        <f t="shared" si="35"/>
        <v/>
      </c>
      <c r="AB33" s="187"/>
      <c r="AC33" s="187"/>
      <c r="AD33" s="188" t="str">
        <f t="shared" si="32"/>
        <v/>
      </c>
      <c r="AE33" s="187"/>
      <c r="AF33" s="187"/>
      <c r="AG33" s="187"/>
      <c r="AH33" s="189" t="str">
        <f t="shared" si="36"/>
        <v/>
      </c>
      <c r="AI33" s="190" t="str">
        <f t="shared" si="6"/>
        <v/>
      </c>
      <c r="AJ33" s="191" t="str">
        <f t="shared" si="33"/>
        <v/>
      </c>
      <c r="AK33" s="190" t="str">
        <f t="shared" si="8"/>
        <v/>
      </c>
      <c r="AL33" s="191" t="str">
        <f t="shared" si="37"/>
        <v/>
      </c>
      <c r="AM33" s="192" t="str">
        <f t="shared" ref="AM33" si="38">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93"/>
      <c r="AO33" s="193"/>
      <c r="AP33" s="193"/>
      <c r="AQ33" s="193"/>
      <c r="AR33" s="193"/>
      <c r="AS33" s="193"/>
      <c r="AT33" s="193"/>
      <c r="AU33" s="121"/>
      <c r="AV33" s="122"/>
      <c r="AW33" s="123"/>
      <c r="AX33" s="123"/>
      <c r="AY33" s="121"/>
      <c r="AZ33" s="122"/>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252"/>
      <c r="B34" s="127"/>
      <c r="C34" s="255"/>
      <c r="D34" s="130"/>
      <c r="E34" s="255"/>
      <c r="F34" s="255"/>
      <c r="G34" s="258"/>
      <c r="H34" s="133"/>
      <c r="I34" s="133"/>
      <c r="J34" s="255"/>
      <c r="K34" s="261"/>
      <c r="L34" s="264"/>
      <c r="M34" s="265"/>
      <c r="N34" s="266"/>
      <c r="O34" s="265">
        <f t="shared" si="31"/>
        <v>0</v>
      </c>
      <c r="P34" s="267"/>
      <c r="Q34" s="248"/>
      <c r="R34" s="249"/>
      <c r="S34" s="150"/>
      <c r="T34" s="150" t="str">
        <f t="shared" si="1"/>
        <v/>
      </c>
      <c r="U34" s="150"/>
      <c r="V34" s="150" t="str">
        <f t="shared" si="2"/>
        <v/>
      </c>
      <c r="W34" s="150" t="str">
        <f t="shared" si="3"/>
        <v/>
      </c>
      <c r="X34" s="150" t="str">
        <f t="shared" si="4"/>
        <v/>
      </c>
      <c r="Y34" s="6">
        <v>6</v>
      </c>
      <c r="Z34" s="120"/>
      <c r="AA34" s="195" t="str">
        <f t="shared" si="35"/>
        <v/>
      </c>
      <c r="AB34" s="187"/>
      <c r="AC34" s="187"/>
      <c r="AD34" s="188" t="str">
        <f t="shared" si="32"/>
        <v/>
      </c>
      <c r="AE34" s="187"/>
      <c r="AF34" s="187"/>
      <c r="AG34" s="187"/>
      <c r="AH34" s="189" t="str">
        <f t="shared" si="36"/>
        <v/>
      </c>
      <c r="AI34" s="190" t="str">
        <f t="shared" si="6"/>
        <v/>
      </c>
      <c r="AJ34" s="191" t="str">
        <f t="shared" si="33"/>
        <v/>
      </c>
      <c r="AK34" s="190" t="str">
        <f>IFERROR(IF(AL34="","",IF(AL34&lt;=0.2,"Leve",IF(AL34&lt;=0.4,"Menor",IF(AL34&lt;=0.6,"Moderado",IF(AL34&lt;=0.8,"Mayor","Catastrófico"))))),"")</f>
        <v/>
      </c>
      <c r="AL34" s="191" t="str">
        <f t="shared" si="37"/>
        <v/>
      </c>
      <c r="AM34" s="192" t="str">
        <f>IFERROR(IF(OR(AND(AI34="Muy Baja",AK34="Leve"),AND(AI34="Muy Baja",AK34="Menor"),AND(AI34="Baja",AK34="Leve")),"Bajo",IF(OR(AND(AI34="Muy baja",AK34="Moderado"),AND(AI34="Baja",AK34="Menor"),AND(AI34="Baja",AK34="Moderado"),AND(AI34="Media",AK34="Leve"),AND(AI34="Media",AK34="Menor"),AND(AI34="Media",AK34="Moderado"),AND(AI34="Alta",AK34="Leve"),AND(AI34="Alta",AK34="Menor")),"Moderado",IF(OR(AND(AI34="Muy Baja",AK34="Mayor"),AND(AI34="Baja",AK34="Mayor"),AND(AI34="Media",AK34="Mayor"),AND(AI34="Alta",AK34="Moderado"),AND(AI34="Alta",AK34="Mayor"),AND(AI34="Muy Alta",AK34="Leve"),AND(AI34="Muy Alta",AK34="Menor"),AND(AI34="Muy Alta",AK34="Moderado"),AND(AI34="Muy Alta",AK34="Mayor")),"Alto",IF(OR(AND(AI34="Muy Baja",AK34="Catastrófico"),AND(AI34="Baja",AK34="Catastrófico"),AND(AI34="Media",AK34="Catastrófico"),AND(AI34="Alta",AK34="Catastrófico"),AND(AI34="Muy Alta",AK34="Catastrófico")),"Extremo","")))),"")</f>
        <v/>
      </c>
      <c r="AN34" s="193"/>
      <c r="AO34" s="193"/>
      <c r="AP34" s="193"/>
      <c r="AQ34" s="193"/>
      <c r="AR34" s="193"/>
      <c r="AS34" s="193"/>
      <c r="AT34" s="193"/>
      <c r="AU34" s="121"/>
      <c r="AV34" s="122"/>
      <c r="AW34" s="123"/>
      <c r="AX34" s="123"/>
      <c r="AY34" s="121"/>
      <c r="AZ34" s="122"/>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250">
        <v>7</v>
      </c>
      <c r="B35" s="125"/>
      <c r="C35" s="253"/>
      <c r="D35" s="128"/>
      <c r="E35" s="253"/>
      <c r="F35" s="253"/>
      <c r="G35" s="256"/>
      <c r="H35" s="131"/>
      <c r="I35" s="131"/>
      <c r="J35" s="253"/>
      <c r="K35" s="259"/>
      <c r="L35" s="262" t="str">
        <f>IF(K35&lt;=0,"",IF(K35&lt;=2,"Muy Baja",IF(K35&lt;=24,"Baja",IF(K35&lt;=500,"Media",IF(K35&lt;=5000,"Alta","Muy Alta")))))</f>
        <v/>
      </c>
      <c r="M35" s="209" t="str">
        <f>IF(L35="","",IF(L35="Muy Baja",0.2,IF(L35="Baja",0.4,IF(L35="Media",0.6,IF(L35="Alta",0.8,IF(L35="Muy Alta",1,))))))</f>
        <v/>
      </c>
      <c r="N35" s="211"/>
      <c r="O35" s="209">
        <f>IF(NOT(ISERROR(MATCH(N35,'Tabla Impacto'!$B$221:$B$223,0))),'Tabla Impacto'!$F$223&amp;"Por favor no seleccionar los criterios de impacto(Afectación Económica o presupuestal y Pérdida Reputacional)",N35)</f>
        <v>0</v>
      </c>
      <c r="P35" s="213" t="str">
        <f>IF(OR(O35='Tabla Impacto'!$C$11,O35='Tabla Impacto'!$D$11),"Leve",IF(OR(O35='Tabla Impacto'!$C$12,O35='Tabla Impacto'!$D$12),"Menor",IF(OR(O35='Tabla Impacto'!$C$13,O35='Tabla Impacto'!$D$13),"Moderado",IF(OR(O35='Tabla Impacto'!$C$14,O35='Tabla Impacto'!$D$14),"Mayor",IF(OR(O35='Tabla Impacto'!$C$15,O35='Tabla Impacto'!$D$15),"Catastrófico","")))))</f>
        <v/>
      </c>
      <c r="Q35" s="215" t="str">
        <f>IF(P35="","",IF(P35="Leve",0.2,IF(P35="Menor",0.4,IF(P35="Moderado",0.6,IF(P35="Mayor",0.8,IF(P35="Catastrófico",1,))))))</f>
        <v/>
      </c>
      <c r="R35" s="207" t="str">
        <f>IF(OR(AND(L35="Muy Baja",P35="Leve"),AND(L35="Muy Baja",P35="Menor"),AND(L35="Baja",P35="Leve")),"Bajo",IF(OR(AND(L35="Muy baja",P35="Moderado"),AND(L35="Baja",P35="Menor"),AND(L35="Baja",P35="Moderado"),AND(L35="Media",P35="Leve"),AND(L35="Media",P35="Menor"),AND(L35="Media",P35="Moderado"),AND(L35="Alta",P35="Leve"),AND(L35="Alta",P35="Menor")),"Moderado",IF(OR(AND(L35="Muy Baja",P35="Mayor"),AND(L35="Baja",P35="Mayor"),AND(L35="Media",P35="Mayor"),AND(L35="Alta",P35="Moderado"),AND(L35="Alta",P35="Mayor"),AND(L35="Muy Alta",P35="Leve"),AND(L35="Muy Alta",P35="Menor"),AND(L35="Muy Alta",P35="Moderado"),AND(L35="Muy Alta",P35="Mayor")),"Alto",IF(OR(AND(L35="Muy Baja",P35="Catastrófico"),AND(L35="Baja",P35="Catastrófico"),AND(L35="Media",P35="Catastrófico"),AND(L35="Alta",P35="Catastrófico"),AND(L35="Muy Alta",P35="Catastrófico")),"Extremo",""))))</f>
        <v/>
      </c>
      <c r="S35" s="150"/>
      <c r="T35" s="150" t="str">
        <f t="shared" si="1"/>
        <v/>
      </c>
      <c r="U35" s="150"/>
      <c r="V35" s="150" t="str">
        <f t="shared" si="2"/>
        <v/>
      </c>
      <c r="W35" s="150" t="str">
        <f t="shared" si="3"/>
        <v/>
      </c>
      <c r="X35" s="150" t="str">
        <f t="shared" si="4"/>
        <v/>
      </c>
      <c r="Y35" s="6">
        <v>1</v>
      </c>
      <c r="Z35" s="120"/>
      <c r="AA35" s="195" t="str">
        <f>IF(OR(AB35="Preventivo",AB35="Detectivo"),"Probabilidad",IF(AB35="Correctivo","Impacto",""))</f>
        <v/>
      </c>
      <c r="AB35" s="187"/>
      <c r="AC35" s="187"/>
      <c r="AD35" s="188" t="str">
        <f>IF(AND(AB35="Preventivo",AC35="Automático"),"50%",IF(AND(AB35="Preventivo",AC35="Manual"),"40%",IF(AND(AB35="Detectivo",AC35="Automático"),"40%",IF(AND(AB35="Detectivo",AC35="Manual"),"30%",IF(AND(AB35="Correctivo",AC35="Automático"),"35%",IF(AND(AB35="Correctivo",AC35="Manual"),"25%",""))))))</f>
        <v/>
      </c>
      <c r="AE35" s="187"/>
      <c r="AF35" s="187"/>
      <c r="AG35" s="187"/>
      <c r="AH35" s="189" t="str">
        <f>IFERROR(IF(AA35="Probabilidad",(M35-(+M35*AD35)),IF(AA35="Impacto",M35,"")),"")</f>
        <v/>
      </c>
      <c r="AI35" s="190" t="str">
        <f>IFERROR(IF(AH35="","",IF(AH35&lt;=0.2,"Muy Baja",IF(AH35&lt;=0.4,"Baja",IF(AH35&lt;=0.6,"Media",IF(AH35&lt;=0.8,"Alta","Muy Alta"))))),"")</f>
        <v/>
      </c>
      <c r="AJ35" s="191" t="str">
        <f>+AH35</f>
        <v/>
      </c>
      <c r="AK35" s="190" t="str">
        <f>IFERROR(IF(AL35="","",IF(AL35&lt;=0.2,"Leve",IF(AL35&lt;=0.4,"Menor",IF(AL35&lt;=0.6,"Moderado",IF(AL35&lt;=0.8,"Mayor","Catastrófico"))))),"")</f>
        <v/>
      </c>
      <c r="AL35" s="191" t="str">
        <f>IFERROR(IF(AA35="Impacto",(Q35-(+Q35*AD35)),IF(AA35="Probabilidad",Q35,"")),"")</f>
        <v/>
      </c>
      <c r="AM35" s="192" t="str">
        <f>IFERROR(IF(OR(AND(AI35="Muy Baja",AK35="Leve"),AND(AI35="Muy Baja",AK35="Menor"),AND(AI35="Baja",AK35="Leve")),"Bajo",IF(OR(AND(AI35="Muy baja",AK35="Moderado"),AND(AI35="Baja",AK35="Menor"),AND(AI35="Baja",AK35="Moderado"),AND(AI35="Media",AK35="Leve"),AND(AI35="Media",AK35="Menor"),AND(AI35="Media",AK35="Moderado"),AND(AI35="Alta",AK35="Leve"),AND(AI35="Alta",AK35="Menor")),"Moderado",IF(OR(AND(AI35="Muy Baja",AK35="Mayor"),AND(AI35="Baja",AK35="Mayor"),AND(AI35="Media",AK35="Mayor"),AND(AI35="Alta",AK35="Moderado"),AND(AI35="Alta",AK35="Mayor"),AND(AI35="Muy Alta",AK35="Leve"),AND(AI35="Muy Alta",AK35="Menor"),AND(AI35="Muy Alta",AK35="Moderado"),AND(AI35="Muy Alta",AK35="Mayor")),"Alto",IF(OR(AND(AI35="Muy Baja",AK35="Catastrófico"),AND(AI35="Baja",AK35="Catastrófico"),AND(AI35="Media",AK35="Catastrófico"),AND(AI35="Alta",AK35="Catastrófico"),AND(AI35="Muy Alta",AK35="Catastrófico")),"Extremo","")))),"")</f>
        <v/>
      </c>
      <c r="AN35" s="193"/>
      <c r="AO35" s="193"/>
      <c r="AP35" s="193"/>
      <c r="AQ35" s="193"/>
      <c r="AR35" s="193"/>
      <c r="AS35" s="193"/>
      <c r="AT35" s="193"/>
      <c r="AU35" s="121"/>
      <c r="AV35" s="122"/>
      <c r="AW35" s="123"/>
      <c r="AX35" s="123"/>
      <c r="AY35" s="121"/>
      <c r="AZ35" s="122"/>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251"/>
      <c r="B36" s="126"/>
      <c r="C36" s="254"/>
      <c r="D36" s="129"/>
      <c r="E36" s="254"/>
      <c r="F36" s="254"/>
      <c r="G36" s="257"/>
      <c r="H36" s="132"/>
      <c r="I36" s="132"/>
      <c r="J36" s="254"/>
      <c r="K36" s="260"/>
      <c r="L36" s="263"/>
      <c r="M36" s="210"/>
      <c r="N36" s="212"/>
      <c r="O36" s="210">
        <f t="shared" ref="O36:O40" si="39">IF(NOT(ISERROR(MATCH(N36,_xlfn.ANCHORARRAY(G47),0))),M49&amp;"Por favor no seleccionar los criterios de impacto",N36)</f>
        <v>0</v>
      </c>
      <c r="P36" s="214"/>
      <c r="Q36" s="216"/>
      <c r="R36" s="208"/>
      <c r="S36" s="150"/>
      <c r="T36" s="150" t="str">
        <f t="shared" si="1"/>
        <v/>
      </c>
      <c r="U36" s="150"/>
      <c r="V36" s="150" t="str">
        <f t="shared" si="2"/>
        <v/>
      </c>
      <c r="W36" s="150" t="str">
        <f t="shared" si="3"/>
        <v/>
      </c>
      <c r="X36" s="150" t="str">
        <f t="shared" si="4"/>
        <v/>
      </c>
      <c r="Y36" s="6">
        <v>2</v>
      </c>
      <c r="Z36" s="120"/>
      <c r="AA36" s="195" t="str">
        <f>IF(OR(AB36="Preventivo",AB36="Detectivo"),"Probabilidad",IF(AB36="Correctivo","Impacto",""))</f>
        <v/>
      </c>
      <c r="AB36" s="187"/>
      <c r="AC36" s="187"/>
      <c r="AD36" s="188" t="str">
        <f t="shared" ref="AD36:AD40" si="40">IF(AND(AB36="Preventivo",AC36="Automático"),"50%",IF(AND(AB36="Preventivo",AC36="Manual"),"40%",IF(AND(AB36="Detectivo",AC36="Automático"),"40%",IF(AND(AB36="Detectivo",AC36="Manual"),"30%",IF(AND(AB36="Correctivo",AC36="Automático"),"35%",IF(AND(AB36="Correctivo",AC36="Manual"),"25%",""))))))</f>
        <v/>
      </c>
      <c r="AE36" s="187"/>
      <c r="AF36" s="187"/>
      <c r="AG36" s="187"/>
      <c r="AH36" s="189" t="str">
        <f>IFERROR(IF(AND(AA35="Probabilidad",AA36="Probabilidad"),(AJ35-(+AJ35*AD36)),IF(AA36="Probabilidad",(M35-(+M35*AD36)),IF(AA36="Impacto",AJ35,""))),"")</f>
        <v/>
      </c>
      <c r="AI36" s="190" t="str">
        <f t="shared" si="6"/>
        <v/>
      </c>
      <c r="AJ36" s="191" t="str">
        <f t="shared" ref="AJ36:AJ40" si="41">+AH36</f>
        <v/>
      </c>
      <c r="AK36" s="190" t="str">
        <f t="shared" si="8"/>
        <v/>
      </c>
      <c r="AL36" s="191" t="str">
        <f>IFERROR(IF(AND(AA35="Impacto",AA36="Impacto"),(AL35-(+AL35*AD36)),IF(AA36="Impacto",(Q35-(+Q35*AD36)),IF(AA36="Probabilidad",AL35,""))),"")</f>
        <v/>
      </c>
      <c r="AM36" s="192" t="str">
        <f t="shared" ref="AM36:AM37" si="42">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93"/>
      <c r="AO36" s="193"/>
      <c r="AP36" s="193"/>
      <c r="AQ36" s="193"/>
      <c r="AR36" s="193"/>
      <c r="AS36" s="193"/>
      <c r="AT36" s="193"/>
      <c r="AU36" s="121"/>
      <c r="AV36" s="122"/>
      <c r="AW36" s="123"/>
      <c r="AX36" s="123"/>
      <c r="AY36" s="121"/>
      <c r="AZ36" s="122"/>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251"/>
      <c r="B37" s="126"/>
      <c r="C37" s="254"/>
      <c r="D37" s="129"/>
      <c r="E37" s="254"/>
      <c r="F37" s="254"/>
      <c r="G37" s="257"/>
      <c r="H37" s="132"/>
      <c r="I37" s="132"/>
      <c r="J37" s="254"/>
      <c r="K37" s="260"/>
      <c r="L37" s="263"/>
      <c r="M37" s="210"/>
      <c r="N37" s="212"/>
      <c r="O37" s="210">
        <f t="shared" si="39"/>
        <v>0</v>
      </c>
      <c r="P37" s="214"/>
      <c r="Q37" s="216"/>
      <c r="R37" s="208"/>
      <c r="S37" s="150"/>
      <c r="T37" s="150" t="str">
        <f t="shared" si="1"/>
        <v/>
      </c>
      <c r="U37" s="150"/>
      <c r="V37" s="150" t="str">
        <f t="shared" si="2"/>
        <v/>
      </c>
      <c r="W37" s="150" t="str">
        <f t="shared" si="3"/>
        <v/>
      </c>
      <c r="X37" s="150" t="str">
        <f t="shared" si="4"/>
        <v/>
      </c>
      <c r="Y37" s="6">
        <v>3</v>
      </c>
      <c r="Z37" s="124"/>
      <c r="AA37" s="195" t="str">
        <f>IF(OR(AB37="Preventivo",AB37="Detectivo"),"Probabilidad",IF(AB37="Correctivo","Impacto",""))</f>
        <v/>
      </c>
      <c r="AB37" s="187"/>
      <c r="AC37" s="187"/>
      <c r="AD37" s="188" t="str">
        <f t="shared" si="40"/>
        <v/>
      </c>
      <c r="AE37" s="187"/>
      <c r="AF37" s="187"/>
      <c r="AG37" s="187"/>
      <c r="AH37" s="189" t="str">
        <f>IFERROR(IF(AND(AA36="Probabilidad",AA37="Probabilidad"),(AJ36-(+AJ36*AD37)),IF(AND(AA36="Impacto",AA37="Probabilidad"),(AJ35-(+AJ35*AD37)),IF(AA37="Impacto",AJ36,""))),"")</f>
        <v/>
      </c>
      <c r="AI37" s="190" t="str">
        <f t="shared" si="6"/>
        <v/>
      </c>
      <c r="AJ37" s="191" t="str">
        <f t="shared" si="41"/>
        <v/>
      </c>
      <c r="AK37" s="190" t="str">
        <f t="shared" si="8"/>
        <v/>
      </c>
      <c r="AL37" s="191" t="str">
        <f>IFERROR(IF(AND(AA36="Impacto",AA37="Impacto"),(AL36-(+AL36*AD37)),IF(AND(AA36="Probabilidad",AA37="Impacto"),(AL35-(+AL35*AD37)),IF(AA37="Probabilidad",AL36,""))),"")</f>
        <v/>
      </c>
      <c r="AM37" s="192" t="str">
        <f t="shared" si="42"/>
        <v/>
      </c>
      <c r="AN37" s="193"/>
      <c r="AO37" s="193"/>
      <c r="AP37" s="193"/>
      <c r="AQ37" s="193"/>
      <c r="AR37" s="193"/>
      <c r="AS37" s="193"/>
      <c r="AT37" s="193"/>
      <c r="AU37" s="121"/>
      <c r="AV37" s="122"/>
      <c r="AW37" s="123"/>
      <c r="AX37" s="123"/>
      <c r="AY37" s="121"/>
      <c r="AZ37" s="122"/>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251"/>
      <c r="B38" s="126"/>
      <c r="C38" s="254"/>
      <c r="D38" s="129"/>
      <c r="E38" s="254"/>
      <c r="F38" s="254"/>
      <c r="G38" s="257"/>
      <c r="H38" s="132"/>
      <c r="I38" s="132"/>
      <c r="J38" s="254"/>
      <c r="K38" s="260"/>
      <c r="L38" s="263"/>
      <c r="M38" s="210"/>
      <c r="N38" s="212"/>
      <c r="O38" s="210">
        <f t="shared" si="39"/>
        <v>0</v>
      </c>
      <c r="P38" s="214"/>
      <c r="Q38" s="216"/>
      <c r="R38" s="208"/>
      <c r="S38" s="150"/>
      <c r="T38" s="150" t="str">
        <f t="shared" si="1"/>
        <v/>
      </c>
      <c r="U38" s="150"/>
      <c r="V38" s="150" t="str">
        <f t="shared" si="2"/>
        <v/>
      </c>
      <c r="W38" s="150" t="str">
        <f t="shared" si="3"/>
        <v/>
      </c>
      <c r="X38" s="150" t="str">
        <f t="shared" si="4"/>
        <v/>
      </c>
      <c r="Y38" s="6">
        <v>4</v>
      </c>
      <c r="Z38" s="120"/>
      <c r="AA38" s="195" t="str">
        <f t="shared" ref="AA38:AA40" si="43">IF(OR(AB38="Preventivo",AB38="Detectivo"),"Probabilidad",IF(AB38="Correctivo","Impacto",""))</f>
        <v/>
      </c>
      <c r="AB38" s="187"/>
      <c r="AC38" s="187"/>
      <c r="AD38" s="188" t="str">
        <f t="shared" si="40"/>
        <v/>
      </c>
      <c r="AE38" s="187"/>
      <c r="AF38" s="187"/>
      <c r="AG38" s="187"/>
      <c r="AH38" s="189" t="str">
        <f t="shared" ref="AH38:AH40" si="44">IFERROR(IF(AND(AA37="Probabilidad",AA38="Probabilidad"),(AJ37-(+AJ37*AD38)),IF(AND(AA37="Impacto",AA38="Probabilidad"),(AJ36-(+AJ36*AD38)),IF(AA38="Impacto",AJ37,""))),"")</f>
        <v/>
      </c>
      <c r="AI38" s="190" t="str">
        <f t="shared" si="6"/>
        <v/>
      </c>
      <c r="AJ38" s="191" t="str">
        <f t="shared" si="41"/>
        <v/>
      </c>
      <c r="AK38" s="190" t="str">
        <f t="shared" si="8"/>
        <v/>
      </c>
      <c r="AL38" s="191" t="str">
        <f t="shared" ref="AL38:AL40" si="45">IFERROR(IF(AND(AA37="Impacto",AA38="Impacto"),(AL37-(+AL37*AD38)),IF(AND(AA37="Probabilidad",AA38="Impacto"),(AL36-(+AL36*AD38)),IF(AA38="Probabilidad",AL37,""))),"")</f>
        <v/>
      </c>
      <c r="AM38" s="192" t="str">
        <f>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93"/>
      <c r="AO38" s="193"/>
      <c r="AP38" s="193"/>
      <c r="AQ38" s="193"/>
      <c r="AR38" s="193"/>
      <c r="AS38" s="193"/>
      <c r="AT38" s="193"/>
      <c r="AU38" s="121"/>
      <c r="AV38" s="122"/>
      <c r="AW38" s="123"/>
      <c r="AX38" s="123"/>
      <c r="AY38" s="121"/>
      <c r="AZ38" s="122"/>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251"/>
      <c r="B39" s="126"/>
      <c r="C39" s="254"/>
      <c r="D39" s="129"/>
      <c r="E39" s="254"/>
      <c r="F39" s="254"/>
      <c r="G39" s="257"/>
      <c r="H39" s="132"/>
      <c r="I39" s="132"/>
      <c r="J39" s="254"/>
      <c r="K39" s="260"/>
      <c r="L39" s="263"/>
      <c r="M39" s="210"/>
      <c r="N39" s="212"/>
      <c r="O39" s="210">
        <f t="shared" si="39"/>
        <v>0</v>
      </c>
      <c r="P39" s="214"/>
      <c r="Q39" s="216"/>
      <c r="R39" s="208"/>
      <c r="S39" s="150"/>
      <c r="T39" s="150" t="str">
        <f t="shared" si="1"/>
        <v/>
      </c>
      <c r="U39" s="150"/>
      <c r="V39" s="150" t="str">
        <f t="shared" si="2"/>
        <v/>
      </c>
      <c r="W39" s="150" t="str">
        <f t="shared" si="3"/>
        <v/>
      </c>
      <c r="X39" s="150" t="str">
        <f t="shared" si="4"/>
        <v/>
      </c>
      <c r="Y39" s="6">
        <v>5</v>
      </c>
      <c r="Z39" s="120"/>
      <c r="AA39" s="195" t="str">
        <f t="shared" si="43"/>
        <v/>
      </c>
      <c r="AB39" s="187"/>
      <c r="AC39" s="187"/>
      <c r="AD39" s="188" t="str">
        <f t="shared" si="40"/>
        <v/>
      </c>
      <c r="AE39" s="187"/>
      <c r="AF39" s="187"/>
      <c r="AG39" s="187"/>
      <c r="AH39" s="189" t="str">
        <f t="shared" si="44"/>
        <v/>
      </c>
      <c r="AI39" s="190" t="str">
        <f t="shared" si="6"/>
        <v/>
      </c>
      <c r="AJ39" s="191" t="str">
        <f t="shared" si="41"/>
        <v/>
      </c>
      <c r="AK39" s="190" t="str">
        <f t="shared" si="8"/>
        <v/>
      </c>
      <c r="AL39" s="191" t="str">
        <f t="shared" si="45"/>
        <v/>
      </c>
      <c r="AM39" s="192" t="str">
        <f t="shared" ref="AM39:AM40" si="46">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93"/>
      <c r="AO39" s="193"/>
      <c r="AP39" s="193"/>
      <c r="AQ39" s="193"/>
      <c r="AR39" s="193"/>
      <c r="AS39" s="193"/>
      <c r="AT39" s="193"/>
      <c r="AU39" s="121"/>
      <c r="AV39" s="122"/>
      <c r="AW39" s="123"/>
      <c r="AX39" s="123"/>
      <c r="AY39" s="121"/>
      <c r="AZ39" s="122"/>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252"/>
      <c r="B40" s="127"/>
      <c r="C40" s="255"/>
      <c r="D40" s="130"/>
      <c r="E40" s="255"/>
      <c r="F40" s="255"/>
      <c r="G40" s="258"/>
      <c r="H40" s="133"/>
      <c r="I40" s="133"/>
      <c r="J40" s="255"/>
      <c r="K40" s="261"/>
      <c r="L40" s="264"/>
      <c r="M40" s="265"/>
      <c r="N40" s="266"/>
      <c r="O40" s="265">
        <f t="shared" si="39"/>
        <v>0</v>
      </c>
      <c r="P40" s="267"/>
      <c r="Q40" s="248"/>
      <c r="R40" s="249"/>
      <c r="S40" s="150"/>
      <c r="T40" s="150" t="str">
        <f t="shared" si="1"/>
        <v/>
      </c>
      <c r="U40" s="150"/>
      <c r="V40" s="150" t="str">
        <f t="shared" si="2"/>
        <v/>
      </c>
      <c r="W40" s="150" t="str">
        <f t="shared" si="3"/>
        <v/>
      </c>
      <c r="X40" s="150" t="str">
        <f t="shared" si="4"/>
        <v/>
      </c>
      <c r="Y40" s="6">
        <v>6</v>
      </c>
      <c r="Z40" s="120"/>
      <c r="AA40" s="195" t="str">
        <f t="shared" si="43"/>
        <v/>
      </c>
      <c r="AB40" s="187"/>
      <c r="AC40" s="187"/>
      <c r="AD40" s="188" t="str">
        <f t="shared" si="40"/>
        <v/>
      </c>
      <c r="AE40" s="187"/>
      <c r="AF40" s="187"/>
      <c r="AG40" s="187"/>
      <c r="AH40" s="189" t="str">
        <f t="shared" si="44"/>
        <v/>
      </c>
      <c r="AI40" s="190" t="str">
        <f t="shared" si="6"/>
        <v/>
      </c>
      <c r="AJ40" s="191" t="str">
        <f t="shared" si="41"/>
        <v/>
      </c>
      <c r="AK40" s="190" t="str">
        <f t="shared" si="8"/>
        <v/>
      </c>
      <c r="AL40" s="191" t="str">
        <f t="shared" si="45"/>
        <v/>
      </c>
      <c r="AM40" s="192" t="str">
        <f t="shared" si="46"/>
        <v/>
      </c>
      <c r="AN40" s="193"/>
      <c r="AO40" s="193"/>
      <c r="AP40" s="193"/>
      <c r="AQ40" s="193"/>
      <c r="AR40" s="193"/>
      <c r="AS40" s="193"/>
      <c r="AT40" s="193"/>
      <c r="AU40" s="121"/>
      <c r="AV40" s="122"/>
      <c r="AW40" s="123"/>
      <c r="AX40" s="123"/>
      <c r="AY40" s="121"/>
      <c r="AZ40" s="122"/>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250">
        <v>8</v>
      </c>
      <c r="B41" s="125"/>
      <c r="C41" s="253"/>
      <c r="D41" s="128"/>
      <c r="E41" s="253"/>
      <c r="F41" s="253"/>
      <c r="G41" s="256"/>
      <c r="H41" s="131"/>
      <c r="I41" s="131"/>
      <c r="J41" s="253"/>
      <c r="K41" s="259"/>
      <c r="L41" s="262" t="str">
        <f>IF(K41&lt;=0,"",IF(K41&lt;=2,"Muy Baja",IF(K41&lt;=24,"Baja",IF(K41&lt;=500,"Media",IF(K41&lt;=5000,"Alta","Muy Alta")))))</f>
        <v/>
      </c>
      <c r="M41" s="209" t="str">
        <f>IF(L41="","",IF(L41="Muy Baja",0.2,IF(L41="Baja",0.4,IF(L41="Media",0.6,IF(L41="Alta",0.8,IF(L41="Muy Alta",1,))))))</f>
        <v/>
      </c>
      <c r="N41" s="211"/>
      <c r="O41" s="209">
        <f>IF(NOT(ISERROR(MATCH(N41,'Tabla Impacto'!$B$221:$B$223,0))),'Tabla Impacto'!$F$223&amp;"Por favor no seleccionar los criterios de impacto(Afectación Económica o presupuestal y Pérdida Reputacional)",N41)</f>
        <v>0</v>
      </c>
      <c r="P41" s="213" t="str">
        <f>IF(OR(O41='Tabla Impacto'!$C$11,O41='Tabla Impacto'!$D$11),"Leve",IF(OR(O41='Tabla Impacto'!$C$12,O41='Tabla Impacto'!$D$12),"Menor",IF(OR(O41='Tabla Impacto'!$C$13,O41='Tabla Impacto'!$D$13),"Moderado",IF(OR(O41='Tabla Impacto'!$C$14,O41='Tabla Impacto'!$D$14),"Mayor",IF(OR(O41='Tabla Impacto'!$C$15,O41='Tabla Impacto'!$D$15),"Catastrófico","")))))</f>
        <v/>
      </c>
      <c r="Q41" s="215" t="str">
        <f>IF(P41="","",IF(P41="Leve",0.2,IF(P41="Menor",0.4,IF(P41="Moderado",0.6,IF(P41="Mayor",0.8,IF(P41="Catastrófico",1,))))))</f>
        <v/>
      </c>
      <c r="R41" s="207" t="str">
        <f>IF(OR(AND(L41="Muy Baja",P41="Leve"),AND(L41="Muy Baja",P41="Menor"),AND(L41="Baja",P41="Leve")),"Bajo",IF(OR(AND(L41="Muy baja",P41="Moderado"),AND(L41="Baja",P41="Menor"),AND(L41="Baja",P41="Moderado"),AND(L41="Media",P41="Leve"),AND(L41="Media",P41="Menor"),AND(L41="Media",P41="Moderado"),AND(L41="Alta",P41="Leve"),AND(L41="Alta",P41="Menor")),"Moderado",IF(OR(AND(L41="Muy Baja",P41="Mayor"),AND(L41="Baja",P41="Mayor"),AND(L41="Media",P41="Mayor"),AND(L41="Alta",P41="Moderado"),AND(L41="Alta",P41="Mayor"),AND(L41="Muy Alta",P41="Leve"),AND(L41="Muy Alta",P41="Menor"),AND(L41="Muy Alta",P41="Moderado"),AND(L41="Muy Alta",P41="Mayor")),"Alto",IF(OR(AND(L41="Muy Baja",P41="Catastrófico"),AND(L41="Baja",P41="Catastrófico"),AND(L41="Media",P41="Catastrófico"),AND(L41="Alta",P41="Catastrófico"),AND(L41="Muy Alta",P41="Catastrófico")),"Extremo",""))))</f>
        <v/>
      </c>
      <c r="S41" s="150"/>
      <c r="T41" s="150" t="str">
        <f t="shared" si="1"/>
        <v/>
      </c>
      <c r="U41" s="150"/>
      <c r="V41" s="150" t="str">
        <f t="shared" si="2"/>
        <v/>
      </c>
      <c r="W41" s="150" t="str">
        <f t="shared" si="3"/>
        <v/>
      </c>
      <c r="X41" s="150" t="str">
        <f t="shared" si="4"/>
        <v/>
      </c>
      <c r="Y41" s="6">
        <v>1</v>
      </c>
      <c r="Z41" s="120"/>
      <c r="AA41" s="195" t="str">
        <f>IF(OR(AB41="Preventivo",AB41="Detectivo"),"Probabilidad",IF(AB41="Correctivo","Impacto",""))</f>
        <v/>
      </c>
      <c r="AB41" s="187"/>
      <c r="AC41" s="187"/>
      <c r="AD41" s="188" t="str">
        <f>IF(AND(AB41="Preventivo",AC41="Automático"),"50%",IF(AND(AB41="Preventivo",AC41="Manual"),"40%",IF(AND(AB41="Detectivo",AC41="Automático"),"40%",IF(AND(AB41="Detectivo",AC41="Manual"),"30%",IF(AND(AB41="Correctivo",AC41="Automático"),"35%",IF(AND(AB41="Correctivo",AC41="Manual"),"25%",""))))))</f>
        <v/>
      </c>
      <c r="AE41" s="187"/>
      <c r="AF41" s="187"/>
      <c r="AG41" s="187"/>
      <c r="AH41" s="189" t="str">
        <f>IFERROR(IF(AA41="Probabilidad",(M41-(+M41*AD41)),IF(AA41="Impacto",M41,"")),"")</f>
        <v/>
      </c>
      <c r="AI41" s="190" t="str">
        <f>IFERROR(IF(AH41="","",IF(AH41&lt;=0.2,"Muy Baja",IF(AH41&lt;=0.4,"Baja",IF(AH41&lt;=0.6,"Media",IF(AH41&lt;=0.8,"Alta","Muy Alta"))))),"")</f>
        <v/>
      </c>
      <c r="AJ41" s="191" t="str">
        <f>+AH41</f>
        <v/>
      </c>
      <c r="AK41" s="190" t="str">
        <f>IFERROR(IF(AL41="","",IF(AL41&lt;=0.2,"Leve",IF(AL41&lt;=0.4,"Menor",IF(AL41&lt;=0.6,"Moderado",IF(AL41&lt;=0.8,"Mayor","Catastrófico"))))),"")</f>
        <v/>
      </c>
      <c r="AL41" s="191" t="str">
        <f>IFERROR(IF(AA41="Impacto",(Q41-(+Q41*AD41)),IF(AA41="Probabilidad",Q41,"")),"")</f>
        <v/>
      </c>
      <c r="AM41" s="192" t="str">
        <f>IFERROR(IF(OR(AND(AI41="Muy Baja",AK41="Leve"),AND(AI41="Muy Baja",AK41="Menor"),AND(AI41="Baja",AK41="Leve")),"Bajo",IF(OR(AND(AI41="Muy baja",AK41="Moderado"),AND(AI41="Baja",AK41="Menor"),AND(AI41="Baja",AK41="Moderado"),AND(AI41="Media",AK41="Leve"),AND(AI41="Media",AK41="Menor"),AND(AI41="Media",AK41="Moderado"),AND(AI41="Alta",AK41="Leve"),AND(AI41="Alta",AK41="Menor")),"Moderado",IF(OR(AND(AI41="Muy Baja",AK41="Mayor"),AND(AI41="Baja",AK41="Mayor"),AND(AI41="Media",AK41="Mayor"),AND(AI41="Alta",AK41="Moderado"),AND(AI41="Alta",AK41="Mayor"),AND(AI41="Muy Alta",AK41="Leve"),AND(AI41="Muy Alta",AK41="Menor"),AND(AI41="Muy Alta",AK41="Moderado"),AND(AI41="Muy Alta",AK41="Mayor")),"Alto",IF(OR(AND(AI41="Muy Baja",AK41="Catastrófico"),AND(AI41="Baja",AK41="Catastrófico"),AND(AI41="Media",AK41="Catastrófico"),AND(AI41="Alta",AK41="Catastrófico"),AND(AI41="Muy Alta",AK41="Catastrófico")),"Extremo","")))),"")</f>
        <v/>
      </c>
      <c r="AN41" s="193"/>
      <c r="AO41" s="193"/>
      <c r="AP41" s="193"/>
      <c r="AQ41" s="193"/>
      <c r="AR41" s="193"/>
      <c r="AS41" s="193"/>
      <c r="AT41" s="193"/>
      <c r="AU41" s="121"/>
      <c r="AV41" s="122"/>
      <c r="AW41" s="123"/>
      <c r="AX41" s="123"/>
      <c r="AY41" s="121"/>
      <c r="AZ41" s="122"/>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251"/>
      <c r="B42" s="126"/>
      <c r="C42" s="254"/>
      <c r="D42" s="129"/>
      <c r="E42" s="254"/>
      <c r="F42" s="254"/>
      <c r="G42" s="257"/>
      <c r="H42" s="132"/>
      <c r="I42" s="132"/>
      <c r="J42" s="254"/>
      <c r="K42" s="260"/>
      <c r="L42" s="263"/>
      <c r="M42" s="210"/>
      <c r="N42" s="212"/>
      <c r="O42" s="210">
        <f>IF(NOT(ISERROR(MATCH(N42,_xlfn.ANCHORARRAY(G53),0))),M55&amp;"Por favor no seleccionar los criterios de impacto",N42)</f>
        <v>0</v>
      </c>
      <c r="P42" s="214"/>
      <c r="Q42" s="216"/>
      <c r="R42" s="208"/>
      <c r="S42" s="150"/>
      <c r="T42" s="150" t="str">
        <f t="shared" si="1"/>
        <v/>
      </c>
      <c r="U42" s="150"/>
      <c r="V42" s="150" t="str">
        <f t="shared" si="2"/>
        <v/>
      </c>
      <c r="W42" s="150" t="str">
        <f t="shared" si="3"/>
        <v/>
      </c>
      <c r="X42" s="150" t="str">
        <f t="shared" si="4"/>
        <v/>
      </c>
      <c r="Y42" s="6">
        <v>2</v>
      </c>
      <c r="Z42" s="120"/>
      <c r="AA42" s="195" t="str">
        <f>IF(OR(AB42="Preventivo",AB42="Detectivo"),"Probabilidad",IF(AB42="Correctivo","Impacto",""))</f>
        <v/>
      </c>
      <c r="AB42" s="187"/>
      <c r="AC42" s="187"/>
      <c r="AD42" s="188" t="str">
        <f t="shared" ref="AD42:AD46" si="47">IF(AND(AB42="Preventivo",AC42="Automático"),"50%",IF(AND(AB42="Preventivo",AC42="Manual"),"40%",IF(AND(AB42="Detectivo",AC42="Automático"),"40%",IF(AND(AB42="Detectivo",AC42="Manual"),"30%",IF(AND(AB42="Correctivo",AC42="Automático"),"35%",IF(AND(AB42="Correctivo",AC42="Manual"),"25%",""))))))</f>
        <v/>
      </c>
      <c r="AE42" s="187"/>
      <c r="AF42" s="187"/>
      <c r="AG42" s="187"/>
      <c r="AH42" s="189" t="str">
        <f>IFERROR(IF(AND(AA41="Probabilidad",AA42="Probabilidad"),(AJ41-(+AJ41*AD42)),IF(AA42="Probabilidad",(M41-(+M41*AD42)),IF(AA42="Impacto",AJ41,""))),"")</f>
        <v/>
      </c>
      <c r="AI42" s="190" t="str">
        <f t="shared" si="6"/>
        <v/>
      </c>
      <c r="AJ42" s="191" t="str">
        <f t="shared" ref="AJ42:AJ46" si="48">+AH42</f>
        <v/>
      </c>
      <c r="AK42" s="190" t="str">
        <f t="shared" si="8"/>
        <v/>
      </c>
      <c r="AL42" s="191" t="str">
        <f>IFERROR(IF(AND(AA41="Impacto",AA42="Impacto"),(AL41-(+AL41*AD42)),IF(AA42="Impacto",(Q41-(+Q41*AD42)),IF(AA42="Probabilidad",AL41,""))),"")</f>
        <v/>
      </c>
      <c r="AM42" s="192" t="str">
        <f t="shared" ref="AM42:AM43" si="49">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93"/>
      <c r="AO42" s="193"/>
      <c r="AP42" s="193"/>
      <c r="AQ42" s="193"/>
      <c r="AR42" s="193"/>
      <c r="AS42" s="193"/>
      <c r="AT42" s="193"/>
      <c r="AU42" s="121"/>
      <c r="AV42" s="122"/>
      <c r="AW42" s="123"/>
      <c r="AX42" s="123"/>
      <c r="AY42" s="121"/>
      <c r="AZ42" s="122"/>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251"/>
      <c r="B43" s="126"/>
      <c r="C43" s="254"/>
      <c r="D43" s="129"/>
      <c r="E43" s="254"/>
      <c r="F43" s="254"/>
      <c r="G43" s="257"/>
      <c r="H43" s="132"/>
      <c r="I43" s="132"/>
      <c r="J43" s="254"/>
      <c r="K43" s="260"/>
      <c r="L43" s="263"/>
      <c r="M43" s="210"/>
      <c r="N43" s="212"/>
      <c r="O43" s="210">
        <f>IF(NOT(ISERROR(MATCH(N43,_xlfn.ANCHORARRAY(G54),0))),M56&amp;"Por favor no seleccionar los criterios de impacto",N43)</f>
        <v>0</v>
      </c>
      <c r="P43" s="214"/>
      <c r="Q43" s="216"/>
      <c r="R43" s="208"/>
      <c r="S43" s="150"/>
      <c r="T43" s="150" t="str">
        <f t="shared" si="1"/>
        <v/>
      </c>
      <c r="U43" s="150"/>
      <c r="V43" s="150" t="str">
        <f t="shared" si="2"/>
        <v/>
      </c>
      <c r="W43" s="150" t="str">
        <f t="shared" si="3"/>
        <v/>
      </c>
      <c r="X43" s="150" t="str">
        <f t="shared" si="4"/>
        <v/>
      </c>
      <c r="Y43" s="6">
        <v>3</v>
      </c>
      <c r="Z43" s="124"/>
      <c r="AA43" s="195" t="str">
        <f>IF(OR(AB43="Preventivo",AB43="Detectivo"),"Probabilidad",IF(AB43="Correctivo","Impacto",""))</f>
        <v/>
      </c>
      <c r="AB43" s="187"/>
      <c r="AC43" s="187"/>
      <c r="AD43" s="188" t="str">
        <f t="shared" si="47"/>
        <v/>
      </c>
      <c r="AE43" s="187"/>
      <c r="AF43" s="187"/>
      <c r="AG43" s="187"/>
      <c r="AH43" s="189" t="str">
        <f>IFERROR(IF(AND(AA42="Probabilidad",AA43="Probabilidad"),(AJ42-(+AJ42*AD43)),IF(AND(AA42="Impacto",AA43="Probabilidad"),(AJ41-(+AJ41*AD43)),IF(AA43="Impacto",AJ42,""))),"")</f>
        <v/>
      </c>
      <c r="AI43" s="190" t="str">
        <f t="shared" si="6"/>
        <v/>
      </c>
      <c r="AJ43" s="191" t="str">
        <f t="shared" si="48"/>
        <v/>
      </c>
      <c r="AK43" s="190" t="str">
        <f t="shared" si="8"/>
        <v/>
      </c>
      <c r="AL43" s="191" t="str">
        <f>IFERROR(IF(AND(AA42="Impacto",AA43="Impacto"),(AL42-(+AL42*AD43)),IF(AND(AA42="Probabilidad",AA43="Impacto"),(AL41-(+AL41*AD43)),IF(AA43="Probabilidad",AL42,""))),"")</f>
        <v/>
      </c>
      <c r="AM43" s="192" t="str">
        <f t="shared" si="49"/>
        <v/>
      </c>
      <c r="AN43" s="193"/>
      <c r="AO43" s="193"/>
      <c r="AP43" s="193"/>
      <c r="AQ43" s="193"/>
      <c r="AR43" s="193"/>
      <c r="AS43" s="193"/>
      <c r="AT43" s="193"/>
      <c r="AU43" s="121"/>
      <c r="AV43" s="122"/>
      <c r="AW43" s="123"/>
      <c r="AX43" s="123"/>
      <c r="AY43" s="121"/>
      <c r="AZ43" s="122"/>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251"/>
      <c r="B44" s="126"/>
      <c r="C44" s="254"/>
      <c r="D44" s="129"/>
      <c r="E44" s="254"/>
      <c r="F44" s="254"/>
      <c r="G44" s="257"/>
      <c r="H44" s="132"/>
      <c r="I44" s="132"/>
      <c r="J44" s="254"/>
      <c r="K44" s="260"/>
      <c r="L44" s="263"/>
      <c r="M44" s="210"/>
      <c r="N44" s="212"/>
      <c r="O44" s="210">
        <f>IF(NOT(ISERROR(MATCH(N44,_xlfn.ANCHORARRAY(G55),0))),M57&amp;"Por favor no seleccionar los criterios de impacto",N44)</f>
        <v>0</v>
      </c>
      <c r="P44" s="214"/>
      <c r="Q44" s="216"/>
      <c r="R44" s="208"/>
      <c r="S44" s="150"/>
      <c r="T44" s="150" t="str">
        <f t="shared" si="1"/>
        <v/>
      </c>
      <c r="U44" s="150"/>
      <c r="V44" s="150" t="str">
        <f t="shared" si="2"/>
        <v/>
      </c>
      <c r="W44" s="150" t="str">
        <f t="shared" si="3"/>
        <v/>
      </c>
      <c r="X44" s="150" t="str">
        <f t="shared" si="4"/>
        <v/>
      </c>
      <c r="Y44" s="6">
        <v>4</v>
      </c>
      <c r="Z44" s="120"/>
      <c r="AA44" s="195" t="str">
        <f t="shared" ref="AA44:AA46" si="50">IF(OR(AB44="Preventivo",AB44="Detectivo"),"Probabilidad",IF(AB44="Correctivo","Impacto",""))</f>
        <v/>
      </c>
      <c r="AB44" s="187"/>
      <c r="AC44" s="187"/>
      <c r="AD44" s="188" t="str">
        <f t="shared" si="47"/>
        <v/>
      </c>
      <c r="AE44" s="187"/>
      <c r="AF44" s="187"/>
      <c r="AG44" s="187"/>
      <c r="AH44" s="189" t="str">
        <f t="shared" ref="AH44:AH46" si="51">IFERROR(IF(AND(AA43="Probabilidad",AA44="Probabilidad"),(AJ43-(+AJ43*AD44)),IF(AND(AA43="Impacto",AA44="Probabilidad"),(AJ42-(+AJ42*AD44)),IF(AA44="Impacto",AJ43,""))),"")</f>
        <v/>
      </c>
      <c r="AI44" s="190" t="str">
        <f t="shared" si="6"/>
        <v/>
      </c>
      <c r="AJ44" s="191" t="str">
        <f t="shared" si="48"/>
        <v/>
      </c>
      <c r="AK44" s="190" t="str">
        <f t="shared" si="8"/>
        <v/>
      </c>
      <c r="AL44" s="191" t="str">
        <f t="shared" ref="AL44:AL46" si="52">IFERROR(IF(AND(AA43="Impacto",AA44="Impacto"),(AL43-(+AL43*AD44)),IF(AND(AA43="Probabilidad",AA44="Impacto"),(AL42-(+AL42*AD44)),IF(AA44="Probabilidad",AL43,""))),"")</f>
        <v/>
      </c>
      <c r="AM44" s="192" t="str">
        <f>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93"/>
      <c r="AO44" s="193"/>
      <c r="AP44" s="193"/>
      <c r="AQ44" s="193"/>
      <c r="AR44" s="193"/>
      <c r="AS44" s="193"/>
      <c r="AT44" s="193"/>
      <c r="AU44" s="121"/>
      <c r="AV44" s="122"/>
      <c r="AW44" s="123"/>
      <c r="AX44" s="123"/>
      <c r="AY44" s="121"/>
      <c r="AZ44" s="122"/>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251"/>
      <c r="B45" s="126"/>
      <c r="C45" s="254"/>
      <c r="D45" s="129"/>
      <c r="E45" s="254"/>
      <c r="F45" s="254"/>
      <c r="G45" s="257"/>
      <c r="H45" s="132"/>
      <c r="I45" s="132"/>
      <c r="J45" s="254"/>
      <c r="K45" s="260"/>
      <c r="L45" s="263"/>
      <c r="M45" s="210"/>
      <c r="N45" s="212"/>
      <c r="O45" s="210">
        <f>IF(NOT(ISERROR(MATCH(N45,_xlfn.ANCHORARRAY(G56),0))),M58&amp;"Por favor no seleccionar los criterios de impacto",N45)</f>
        <v>0</v>
      </c>
      <c r="P45" s="214"/>
      <c r="Q45" s="216"/>
      <c r="R45" s="208"/>
      <c r="S45" s="150"/>
      <c r="T45" s="150" t="str">
        <f t="shared" si="1"/>
        <v/>
      </c>
      <c r="U45" s="150"/>
      <c r="V45" s="150" t="str">
        <f t="shared" si="2"/>
        <v/>
      </c>
      <c r="W45" s="150" t="str">
        <f t="shared" si="3"/>
        <v/>
      </c>
      <c r="X45" s="150" t="str">
        <f t="shared" si="4"/>
        <v/>
      </c>
      <c r="Y45" s="6">
        <v>5</v>
      </c>
      <c r="Z45" s="120"/>
      <c r="AA45" s="195" t="str">
        <f t="shared" si="50"/>
        <v/>
      </c>
      <c r="AB45" s="187"/>
      <c r="AC45" s="187"/>
      <c r="AD45" s="188" t="str">
        <f t="shared" si="47"/>
        <v/>
      </c>
      <c r="AE45" s="187"/>
      <c r="AF45" s="187"/>
      <c r="AG45" s="187"/>
      <c r="AH45" s="189" t="str">
        <f t="shared" si="51"/>
        <v/>
      </c>
      <c r="AI45" s="190" t="str">
        <f t="shared" si="6"/>
        <v/>
      </c>
      <c r="AJ45" s="191" t="str">
        <f t="shared" si="48"/>
        <v/>
      </c>
      <c r="AK45" s="190" t="str">
        <f t="shared" si="8"/>
        <v/>
      </c>
      <c r="AL45" s="191" t="str">
        <f t="shared" si="52"/>
        <v/>
      </c>
      <c r="AM45" s="192" t="str">
        <f t="shared" ref="AM45:AM46" si="53">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93"/>
      <c r="AO45" s="193"/>
      <c r="AP45" s="193"/>
      <c r="AQ45" s="193"/>
      <c r="AR45" s="193"/>
      <c r="AS45" s="193"/>
      <c r="AT45" s="193"/>
      <c r="AU45" s="121"/>
      <c r="AV45" s="122"/>
      <c r="AW45" s="123"/>
      <c r="AX45" s="123"/>
      <c r="AY45" s="121"/>
      <c r="AZ45" s="122"/>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252"/>
      <c r="B46" s="127"/>
      <c r="C46" s="255"/>
      <c r="D46" s="130"/>
      <c r="E46" s="255"/>
      <c r="F46" s="255"/>
      <c r="G46" s="258"/>
      <c r="H46" s="133"/>
      <c r="I46" s="133"/>
      <c r="J46" s="255"/>
      <c r="K46" s="261"/>
      <c r="L46" s="264"/>
      <c r="M46" s="265"/>
      <c r="N46" s="266"/>
      <c r="O46" s="265">
        <f>IF(NOT(ISERROR(MATCH(N46,_xlfn.ANCHORARRAY(G57),0))),M59&amp;"Por favor no seleccionar los criterios de impacto",N46)</f>
        <v>0</v>
      </c>
      <c r="P46" s="267"/>
      <c r="Q46" s="248"/>
      <c r="R46" s="249"/>
      <c r="S46" s="150"/>
      <c r="T46" s="150" t="str">
        <f t="shared" si="1"/>
        <v/>
      </c>
      <c r="U46" s="150"/>
      <c r="V46" s="150" t="str">
        <f t="shared" si="2"/>
        <v/>
      </c>
      <c r="W46" s="150" t="str">
        <f t="shared" si="3"/>
        <v/>
      </c>
      <c r="X46" s="150" t="str">
        <f t="shared" si="4"/>
        <v/>
      </c>
      <c r="Y46" s="6">
        <v>6</v>
      </c>
      <c r="Z46" s="120"/>
      <c r="AA46" s="195" t="str">
        <f t="shared" si="50"/>
        <v/>
      </c>
      <c r="AB46" s="187"/>
      <c r="AC46" s="187"/>
      <c r="AD46" s="188" t="str">
        <f t="shared" si="47"/>
        <v/>
      </c>
      <c r="AE46" s="187"/>
      <c r="AF46" s="187"/>
      <c r="AG46" s="187"/>
      <c r="AH46" s="189" t="str">
        <f t="shared" si="51"/>
        <v/>
      </c>
      <c r="AI46" s="190" t="str">
        <f t="shared" si="6"/>
        <v/>
      </c>
      <c r="AJ46" s="191" t="str">
        <f t="shared" si="48"/>
        <v/>
      </c>
      <c r="AK46" s="190" t="str">
        <f t="shared" si="8"/>
        <v/>
      </c>
      <c r="AL46" s="191" t="str">
        <f t="shared" si="52"/>
        <v/>
      </c>
      <c r="AM46" s="192" t="str">
        <f t="shared" si="53"/>
        <v/>
      </c>
      <c r="AN46" s="193"/>
      <c r="AO46" s="193"/>
      <c r="AP46" s="193"/>
      <c r="AQ46" s="193"/>
      <c r="AR46" s="193"/>
      <c r="AS46" s="193"/>
      <c r="AT46" s="193"/>
      <c r="AU46" s="121"/>
      <c r="AV46" s="122"/>
      <c r="AW46" s="123"/>
      <c r="AX46" s="123"/>
      <c r="AY46" s="121"/>
      <c r="AZ46" s="122"/>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250">
        <v>9</v>
      </c>
      <c r="B47" s="125"/>
      <c r="C47" s="253"/>
      <c r="D47" s="128"/>
      <c r="E47" s="253"/>
      <c r="F47" s="253"/>
      <c r="G47" s="256"/>
      <c r="H47" s="131"/>
      <c r="I47" s="131"/>
      <c r="J47" s="253"/>
      <c r="K47" s="259"/>
      <c r="L47" s="262" t="str">
        <f>IF(K47&lt;=0,"",IF(K47&lt;=2,"Muy Baja",IF(K47&lt;=24,"Baja",IF(K47&lt;=500,"Media",IF(K47&lt;=5000,"Alta","Muy Alta")))))</f>
        <v/>
      </c>
      <c r="M47" s="209" t="str">
        <f>IF(L47="","",IF(L47="Muy Baja",0.2,IF(L47="Baja",0.4,IF(L47="Media",0.6,IF(L47="Alta",0.8,IF(L47="Muy Alta",1,))))))</f>
        <v/>
      </c>
      <c r="N47" s="211"/>
      <c r="O47" s="209">
        <f>IF(NOT(ISERROR(MATCH(N47,'Tabla Impacto'!$B$221:$B$223,0))),'Tabla Impacto'!$F$223&amp;"Por favor no seleccionar los criterios de impacto(Afectación Económica o presupuestal y Pérdida Reputacional)",N47)</f>
        <v>0</v>
      </c>
      <c r="P47" s="213" t="str">
        <f>IF(OR(O47='Tabla Impacto'!$C$11,O47='Tabla Impacto'!$D$11),"Leve",IF(OR(O47='Tabla Impacto'!$C$12,O47='Tabla Impacto'!$D$12),"Menor",IF(OR(O47='Tabla Impacto'!$C$13,O47='Tabla Impacto'!$D$13),"Moderado",IF(OR(O47='Tabla Impacto'!$C$14,O47='Tabla Impacto'!$D$14),"Mayor",IF(OR(O47='Tabla Impacto'!$C$15,O47='Tabla Impacto'!$D$15),"Catastrófico","")))))</f>
        <v/>
      </c>
      <c r="Q47" s="215" t="str">
        <f>IF(P47="","",IF(P47="Leve",0.2,IF(P47="Menor",0.4,IF(P47="Moderado",0.6,IF(P47="Mayor",0.8,IF(P47="Catastrófico",1,))))))</f>
        <v/>
      </c>
      <c r="R47" s="207" t="str">
        <f>IF(OR(AND(L47="Muy Baja",P47="Leve"),AND(L47="Muy Baja",P47="Menor"),AND(L47="Baja",P47="Leve")),"Bajo",IF(OR(AND(L47="Muy baja",P47="Moderado"),AND(L47="Baja",P47="Menor"),AND(L47="Baja",P47="Moderado"),AND(L47="Media",P47="Leve"),AND(L47="Media",P47="Menor"),AND(L47="Media",P47="Moderado"),AND(L47="Alta",P47="Leve"),AND(L47="Alta",P47="Menor")),"Moderado",IF(OR(AND(L47="Muy Baja",P47="Mayor"),AND(L47="Baja",P47="Mayor"),AND(L47="Media",P47="Mayor"),AND(L47="Alta",P47="Moderado"),AND(L47="Alta",P47="Mayor"),AND(L47="Muy Alta",P47="Leve"),AND(L47="Muy Alta",P47="Menor"),AND(L47="Muy Alta",P47="Moderado"),AND(L47="Muy Alta",P47="Mayor")),"Alto",IF(OR(AND(L47="Muy Baja",P47="Catastrófico"),AND(L47="Baja",P47="Catastrófico"),AND(L47="Media",P47="Catastrófico"),AND(L47="Alta",P47="Catastrófico"),AND(L47="Muy Alta",P47="Catastrófico")),"Extremo",""))))</f>
        <v/>
      </c>
      <c r="S47" s="150"/>
      <c r="T47" s="150" t="str">
        <f t="shared" si="1"/>
        <v/>
      </c>
      <c r="U47" s="150"/>
      <c r="V47" s="150" t="str">
        <f t="shared" si="2"/>
        <v/>
      </c>
      <c r="W47" s="150" t="str">
        <f t="shared" si="3"/>
        <v/>
      </c>
      <c r="X47" s="150" t="str">
        <f t="shared" si="4"/>
        <v/>
      </c>
      <c r="Y47" s="6">
        <v>1</v>
      </c>
      <c r="Z47" s="120"/>
      <c r="AA47" s="195" t="str">
        <f>IF(OR(AB47="Preventivo",AB47="Detectivo"),"Probabilidad",IF(AB47="Correctivo","Impacto",""))</f>
        <v/>
      </c>
      <c r="AB47" s="187"/>
      <c r="AC47" s="187"/>
      <c r="AD47" s="188" t="str">
        <f>IF(AND(AB47="Preventivo",AC47="Automático"),"50%",IF(AND(AB47="Preventivo",AC47="Manual"),"40%",IF(AND(AB47="Detectivo",AC47="Automático"),"40%",IF(AND(AB47="Detectivo",AC47="Manual"),"30%",IF(AND(AB47="Correctivo",AC47="Automático"),"35%",IF(AND(AB47="Correctivo",AC47="Manual"),"25%",""))))))</f>
        <v/>
      </c>
      <c r="AE47" s="187"/>
      <c r="AF47" s="187"/>
      <c r="AG47" s="187"/>
      <c r="AH47" s="189" t="str">
        <f>IFERROR(IF(AA47="Probabilidad",(M47-(+M47*AD47)),IF(AA47="Impacto",M47,"")),"")</f>
        <v/>
      </c>
      <c r="AI47" s="190" t="str">
        <f>IFERROR(IF(AH47="","",IF(AH47&lt;=0.2,"Muy Baja",IF(AH47&lt;=0.4,"Baja",IF(AH47&lt;=0.6,"Media",IF(AH47&lt;=0.8,"Alta","Muy Alta"))))),"")</f>
        <v/>
      </c>
      <c r="AJ47" s="191" t="str">
        <f>+AH47</f>
        <v/>
      </c>
      <c r="AK47" s="190" t="str">
        <f>IFERROR(IF(AL47="","",IF(AL47&lt;=0.2,"Leve",IF(AL47&lt;=0.4,"Menor",IF(AL47&lt;=0.6,"Moderado",IF(AL47&lt;=0.8,"Mayor","Catastrófico"))))),"")</f>
        <v/>
      </c>
      <c r="AL47" s="191" t="str">
        <f>IFERROR(IF(AA47="Impacto",(Q47-(+Q47*AD47)),IF(AA47="Probabilidad",Q47,"")),"")</f>
        <v/>
      </c>
      <c r="AM47" s="192" t="str">
        <f>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93"/>
      <c r="AO47" s="193"/>
      <c r="AP47" s="193"/>
      <c r="AQ47" s="193"/>
      <c r="AR47" s="193"/>
      <c r="AS47" s="193"/>
      <c r="AT47" s="193"/>
      <c r="AU47" s="121"/>
      <c r="AV47" s="122"/>
      <c r="AW47" s="123"/>
      <c r="AX47" s="123"/>
      <c r="AY47" s="121"/>
      <c r="AZ47" s="122"/>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251"/>
      <c r="B48" s="126"/>
      <c r="C48" s="254"/>
      <c r="D48" s="129"/>
      <c r="E48" s="254"/>
      <c r="F48" s="254"/>
      <c r="G48" s="257"/>
      <c r="H48" s="132"/>
      <c r="I48" s="132"/>
      <c r="J48" s="254"/>
      <c r="K48" s="260"/>
      <c r="L48" s="263"/>
      <c r="M48" s="210"/>
      <c r="N48" s="212"/>
      <c r="O48" s="210">
        <f>IF(NOT(ISERROR(MATCH(N48,_xlfn.ANCHORARRAY(G59),0))),M61&amp;"Por favor no seleccionar los criterios de impacto",N48)</f>
        <v>0</v>
      </c>
      <c r="P48" s="214"/>
      <c r="Q48" s="216"/>
      <c r="R48" s="208"/>
      <c r="S48" s="150"/>
      <c r="T48" s="150" t="str">
        <f t="shared" si="1"/>
        <v/>
      </c>
      <c r="U48" s="150"/>
      <c r="V48" s="150" t="str">
        <f t="shared" si="2"/>
        <v/>
      </c>
      <c r="W48" s="150" t="str">
        <f t="shared" si="3"/>
        <v/>
      </c>
      <c r="X48" s="150" t="str">
        <f t="shared" si="4"/>
        <v/>
      </c>
      <c r="Y48" s="6">
        <v>2</v>
      </c>
      <c r="Z48" s="120"/>
      <c r="AA48" s="195" t="str">
        <f>IF(OR(AB48="Preventivo",AB48="Detectivo"),"Probabilidad",IF(AB48="Correctivo","Impacto",""))</f>
        <v/>
      </c>
      <c r="AB48" s="187"/>
      <c r="AC48" s="187"/>
      <c r="AD48" s="188" t="str">
        <f t="shared" ref="AD48:AD52" si="54">IF(AND(AB48="Preventivo",AC48="Automático"),"50%",IF(AND(AB48="Preventivo",AC48="Manual"),"40%",IF(AND(AB48="Detectivo",AC48="Automático"),"40%",IF(AND(AB48="Detectivo",AC48="Manual"),"30%",IF(AND(AB48="Correctivo",AC48="Automático"),"35%",IF(AND(AB48="Correctivo",AC48="Manual"),"25%",""))))))</f>
        <v/>
      </c>
      <c r="AE48" s="187"/>
      <c r="AF48" s="187"/>
      <c r="AG48" s="187"/>
      <c r="AH48" s="189" t="str">
        <f>IFERROR(IF(AND(AA47="Probabilidad",AA48="Probabilidad"),(AJ47-(+AJ47*AD48)),IF(AA48="Probabilidad",(M47-(+M47*AD48)),IF(AA48="Impacto",AJ47,""))),"")</f>
        <v/>
      </c>
      <c r="AI48" s="190" t="str">
        <f t="shared" si="6"/>
        <v/>
      </c>
      <c r="AJ48" s="191" t="str">
        <f t="shared" ref="AJ48:AJ52" si="55">+AH48</f>
        <v/>
      </c>
      <c r="AK48" s="190" t="str">
        <f t="shared" si="8"/>
        <v/>
      </c>
      <c r="AL48" s="191" t="str">
        <f>IFERROR(IF(AND(AA47="Impacto",AA48="Impacto"),(AL47-(+AL47*AD48)),IF(AA48="Impacto",(Q47-(+Q47*AD48)),IF(AA48="Probabilidad",AL47,""))),"")</f>
        <v/>
      </c>
      <c r="AM48" s="192" t="str">
        <f t="shared" ref="AM48:AM49" si="56">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93"/>
      <c r="AO48" s="193"/>
      <c r="AP48" s="193"/>
      <c r="AQ48" s="193"/>
      <c r="AR48" s="193"/>
      <c r="AS48" s="193"/>
      <c r="AT48" s="193"/>
      <c r="AU48" s="121"/>
      <c r="AV48" s="122"/>
      <c r="AW48" s="123"/>
      <c r="AX48" s="123"/>
      <c r="AY48" s="121"/>
      <c r="AZ48" s="122"/>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251"/>
      <c r="B49" s="126"/>
      <c r="C49" s="254"/>
      <c r="D49" s="129"/>
      <c r="E49" s="254"/>
      <c r="F49" s="254"/>
      <c r="G49" s="257"/>
      <c r="H49" s="132"/>
      <c r="I49" s="132"/>
      <c r="J49" s="254"/>
      <c r="K49" s="260"/>
      <c r="L49" s="263"/>
      <c r="M49" s="210"/>
      <c r="N49" s="212"/>
      <c r="O49" s="210">
        <f>IF(NOT(ISERROR(MATCH(N49,_xlfn.ANCHORARRAY(G60),0))),M62&amp;"Por favor no seleccionar los criterios de impacto",N49)</f>
        <v>0</v>
      </c>
      <c r="P49" s="214"/>
      <c r="Q49" s="216"/>
      <c r="R49" s="208"/>
      <c r="S49" s="150"/>
      <c r="T49" s="150" t="str">
        <f t="shared" si="1"/>
        <v/>
      </c>
      <c r="U49" s="150"/>
      <c r="V49" s="150" t="str">
        <f t="shared" si="2"/>
        <v/>
      </c>
      <c r="W49" s="150" t="str">
        <f t="shared" si="3"/>
        <v/>
      </c>
      <c r="X49" s="150" t="str">
        <f t="shared" si="4"/>
        <v/>
      </c>
      <c r="Y49" s="6">
        <v>3</v>
      </c>
      <c r="Z49" s="124"/>
      <c r="AA49" s="195" t="str">
        <f>IF(OR(AB49="Preventivo",AB49="Detectivo"),"Probabilidad",IF(AB49="Correctivo","Impacto",""))</f>
        <v/>
      </c>
      <c r="AB49" s="187"/>
      <c r="AC49" s="187"/>
      <c r="AD49" s="188" t="str">
        <f t="shared" si="54"/>
        <v/>
      </c>
      <c r="AE49" s="187"/>
      <c r="AF49" s="187"/>
      <c r="AG49" s="187"/>
      <c r="AH49" s="189" t="str">
        <f>IFERROR(IF(AND(AA48="Probabilidad",AA49="Probabilidad"),(AJ48-(+AJ48*AD49)),IF(AND(AA48="Impacto",AA49="Probabilidad"),(AJ47-(+AJ47*AD49)),IF(AA49="Impacto",AJ48,""))),"")</f>
        <v/>
      </c>
      <c r="AI49" s="190" t="str">
        <f t="shared" si="6"/>
        <v/>
      </c>
      <c r="AJ49" s="191" t="str">
        <f t="shared" si="55"/>
        <v/>
      </c>
      <c r="AK49" s="190" t="str">
        <f t="shared" si="8"/>
        <v/>
      </c>
      <c r="AL49" s="191" t="str">
        <f>IFERROR(IF(AND(AA48="Impacto",AA49="Impacto"),(AL48-(+AL48*AD49)),IF(AND(AA48="Probabilidad",AA49="Impacto"),(AL47-(+AL47*AD49)),IF(AA49="Probabilidad",AL48,""))),"")</f>
        <v/>
      </c>
      <c r="AM49" s="192" t="str">
        <f t="shared" si="56"/>
        <v/>
      </c>
      <c r="AN49" s="193"/>
      <c r="AO49" s="193"/>
      <c r="AP49" s="193"/>
      <c r="AQ49" s="193"/>
      <c r="AR49" s="193"/>
      <c r="AS49" s="193"/>
      <c r="AT49" s="193"/>
      <c r="AU49" s="121"/>
      <c r="AV49" s="122"/>
      <c r="AW49" s="123"/>
      <c r="AX49" s="123"/>
      <c r="AY49" s="121"/>
      <c r="AZ49" s="122"/>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251"/>
      <c r="B50" s="126"/>
      <c r="C50" s="254"/>
      <c r="D50" s="129"/>
      <c r="E50" s="254"/>
      <c r="F50" s="254"/>
      <c r="G50" s="257"/>
      <c r="H50" s="132"/>
      <c r="I50" s="132"/>
      <c r="J50" s="254"/>
      <c r="K50" s="260"/>
      <c r="L50" s="263"/>
      <c r="M50" s="210"/>
      <c r="N50" s="212"/>
      <c r="O50" s="210">
        <f>IF(NOT(ISERROR(MATCH(N50,_xlfn.ANCHORARRAY(G61),0))),M63&amp;"Por favor no seleccionar los criterios de impacto",N50)</f>
        <v>0</v>
      </c>
      <c r="P50" s="214"/>
      <c r="Q50" s="216"/>
      <c r="R50" s="208"/>
      <c r="S50" s="150"/>
      <c r="T50" s="150" t="str">
        <f t="shared" si="1"/>
        <v/>
      </c>
      <c r="U50" s="150"/>
      <c r="V50" s="150" t="str">
        <f t="shared" si="2"/>
        <v/>
      </c>
      <c r="W50" s="150" t="str">
        <f t="shared" si="3"/>
        <v/>
      </c>
      <c r="X50" s="150" t="str">
        <f t="shared" si="4"/>
        <v/>
      </c>
      <c r="Y50" s="6">
        <v>4</v>
      </c>
      <c r="Z50" s="120"/>
      <c r="AA50" s="195" t="str">
        <f t="shared" ref="AA50:AA52" si="57">IF(OR(AB50="Preventivo",AB50="Detectivo"),"Probabilidad",IF(AB50="Correctivo","Impacto",""))</f>
        <v/>
      </c>
      <c r="AB50" s="187"/>
      <c r="AC50" s="187"/>
      <c r="AD50" s="188" t="str">
        <f t="shared" si="54"/>
        <v/>
      </c>
      <c r="AE50" s="187"/>
      <c r="AF50" s="187"/>
      <c r="AG50" s="187"/>
      <c r="AH50" s="189" t="str">
        <f t="shared" ref="AH50:AH52" si="58">IFERROR(IF(AND(AA49="Probabilidad",AA50="Probabilidad"),(AJ49-(+AJ49*AD50)),IF(AND(AA49="Impacto",AA50="Probabilidad"),(AJ48-(+AJ48*AD50)),IF(AA50="Impacto",AJ49,""))),"")</f>
        <v/>
      </c>
      <c r="AI50" s="190" t="str">
        <f t="shared" si="6"/>
        <v/>
      </c>
      <c r="AJ50" s="191" t="str">
        <f t="shared" si="55"/>
        <v/>
      </c>
      <c r="AK50" s="190" t="str">
        <f t="shared" si="8"/>
        <v/>
      </c>
      <c r="AL50" s="191" t="str">
        <f t="shared" ref="AL50:AL52" si="59">IFERROR(IF(AND(AA49="Impacto",AA50="Impacto"),(AL49-(+AL49*AD50)),IF(AND(AA49="Probabilidad",AA50="Impacto"),(AL48-(+AL48*AD50)),IF(AA50="Probabilidad",AL49,""))),"")</f>
        <v/>
      </c>
      <c r="AM50" s="192" t="str">
        <f>IFERROR(IF(OR(AND(AI50="Muy Baja",AK50="Leve"),AND(AI50="Muy Baja",AK50="Menor"),AND(AI50="Baja",AK50="Leve")),"Bajo",IF(OR(AND(AI50="Muy baja",AK50="Moderado"),AND(AI50="Baja",AK50="Menor"),AND(AI50="Baja",AK50="Moderado"),AND(AI50="Media",AK50="Leve"),AND(AI50="Media",AK50="Menor"),AND(AI50="Media",AK50="Moderado"),AND(AI50="Alta",AK50="Leve"),AND(AI50="Alta",AK50="Menor")),"Moderado",IF(OR(AND(AI50="Muy Baja",AK50="Mayor"),AND(AI50="Baja",AK50="Mayor"),AND(AI50="Media",AK50="Mayor"),AND(AI50="Alta",AK50="Moderado"),AND(AI50="Alta",AK50="Mayor"),AND(AI50="Muy Alta",AK50="Leve"),AND(AI50="Muy Alta",AK50="Menor"),AND(AI50="Muy Alta",AK50="Moderado"),AND(AI50="Muy Alta",AK50="Mayor")),"Alto",IF(OR(AND(AI50="Muy Baja",AK50="Catastrófico"),AND(AI50="Baja",AK50="Catastrófico"),AND(AI50="Media",AK50="Catastrófico"),AND(AI50="Alta",AK50="Catastrófico"),AND(AI50="Muy Alta",AK50="Catastrófico")),"Extremo","")))),"")</f>
        <v/>
      </c>
      <c r="AN50" s="193"/>
      <c r="AO50" s="193"/>
      <c r="AP50" s="193"/>
      <c r="AQ50" s="193"/>
      <c r="AR50" s="193"/>
      <c r="AS50" s="193"/>
      <c r="AT50" s="193"/>
      <c r="AU50" s="121"/>
      <c r="AV50" s="122"/>
      <c r="AW50" s="123"/>
      <c r="AX50" s="123"/>
      <c r="AY50" s="121"/>
      <c r="AZ50" s="122"/>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row>
    <row r="51" spans="1:84" ht="151.5" customHeight="1" x14ac:dyDescent="0.3">
      <c r="A51" s="251"/>
      <c r="B51" s="126"/>
      <c r="C51" s="254"/>
      <c r="D51" s="129"/>
      <c r="E51" s="254"/>
      <c r="F51" s="254"/>
      <c r="G51" s="257"/>
      <c r="H51" s="132"/>
      <c r="I51" s="132"/>
      <c r="J51" s="254"/>
      <c r="K51" s="260"/>
      <c r="L51" s="263"/>
      <c r="M51" s="210"/>
      <c r="N51" s="212"/>
      <c r="O51" s="210">
        <f>IF(NOT(ISERROR(MATCH(N51,_xlfn.ANCHORARRAY(G62),0))),M64&amp;"Por favor no seleccionar los criterios de impacto",N51)</f>
        <v>0</v>
      </c>
      <c r="P51" s="214"/>
      <c r="Q51" s="216"/>
      <c r="R51" s="208"/>
      <c r="S51" s="150"/>
      <c r="T51" s="150" t="str">
        <f t="shared" si="1"/>
        <v/>
      </c>
      <c r="U51" s="150"/>
      <c r="V51" s="150" t="str">
        <f t="shared" si="2"/>
        <v/>
      </c>
      <c r="W51" s="150" t="str">
        <f t="shared" si="3"/>
        <v/>
      </c>
      <c r="X51" s="150" t="str">
        <f t="shared" si="4"/>
        <v/>
      </c>
      <c r="Y51" s="6">
        <v>5</v>
      </c>
      <c r="Z51" s="120"/>
      <c r="AA51" s="195" t="str">
        <f t="shared" si="57"/>
        <v/>
      </c>
      <c r="AB51" s="187"/>
      <c r="AC51" s="187"/>
      <c r="AD51" s="188" t="str">
        <f t="shared" si="54"/>
        <v/>
      </c>
      <c r="AE51" s="187"/>
      <c r="AF51" s="187"/>
      <c r="AG51" s="187"/>
      <c r="AH51" s="189" t="str">
        <f t="shared" si="58"/>
        <v/>
      </c>
      <c r="AI51" s="190" t="str">
        <f t="shared" si="6"/>
        <v/>
      </c>
      <c r="AJ51" s="191" t="str">
        <f t="shared" si="55"/>
        <v/>
      </c>
      <c r="AK51" s="190" t="str">
        <f t="shared" si="8"/>
        <v/>
      </c>
      <c r="AL51" s="191" t="str">
        <f t="shared" si="59"/>
        <v/>
      </c>
      <c r="AM51" s="192" t="str">
        <f t="shared" ref="AM51:AM52" si="60">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93"/>
      <c r="AO51" s="193"/>
      <c r="AP51" s="193"/>
      <c r="AQ51" s="193"/>
      <c r="AR51" s="193"/>
      <c r="AS51" s="193"/>
      <c r="AT51" s="193"/>
      <c r="AU51" s="121"/>
      <c r="AV51" s="122"/>
      <c r="AW51" s="123"/>
      <c r="AX51" s="123"/>
      <c r="AY51" s="121"/>
      <c r="AZ51" s="122"/>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row>
    <row r="52" spans="1:84" ht="151.5" customHeight="1" x14ac:dyDescent="0.3">
      <c r="A52" s="252"/>
      <c r="B52" s="127"/>
      <c r="C52" s="255"/>
      <c r="D52" s="130"/>
      <c r="E52" s="255"/>
      <c r="F52" s="255"/>
      <c r="G52" s="258"/>
      <c r="H52" s="133"/>
      <c r="I52" s="133"/>
      <c r="J52" s="255"/>
      <c r="K52" s="261"/>
      <c r="L52" s="264"/>
      <c r="M52" s="265"/>
      <c r="N52" s="266"/>
      <c r="O52" s="265">
        <f>IF(NOT(ISERROR(MATCH(N52,_xlfn.ANCHORARRAY(G63),0))),M65&amp;"Por favor no seleccionar los criterios de impacto",N52)</f>
        <v>0</v>
      </c>
      <c r="P52" s="267"/>
      <c r="Q52" s="248"/>
      <c r="R52" s="249"/>
      <c r="S52" s="150"/>
      <c r="T52" s="150" t="str">
        <f t="shared" si="1"/>
        <v/>
      </c>
      <c r="U52" s="150"/>
      <c r="V52" s="150" t="str">
        <f t="shared" si="2"/>
        <v/>
      </c>
      <c r="W52" s="150" t="str">
        <f t="shared" si="3"/>
        <v/>
      </c>
      <c r="X52" s="150" t="str">
        <f t="shared" si="4"/>
        <v/>
      </c>
      <c r="Y52" s="6">
        <v>6</v>
      </c>
      <c r="Z52" s="120"/>
      <c r="AA52" s="195" t="str">
        <f t="shared" si="57"/>
        <v/>
      </c>
      <c r="AB52" s="187"/>
      <c r="AC52" s="187"/>
      <c r="AD52" s="188" t="str">
        <f t="shared" si="54"/>
        <v/>
      </c>
      <c r="AE52" s="187"/>
      <c r="AF52" s="187"/>
      <c r="AG52" s="187"/>
      <c r="AH52" s="189" t="str">
        <f t="shared" si="58"/>
        <v/>
      </c>
      <c r="AI52" s="190" t="str">
        <f t="shared" si="6"/>
        <v/>
      </c>
      <c r="AJ52" s="191" t="str">
        <f t="shared" si="55"/>
        <v/>
      </c>
      <c r="AK52" s="190" t="str">
        <f t="shared" si="8"/>
        <v/>
      </c>
      <c r="AL52" s="191" t="str">
        <f t="shared" si="59"/>
        <v/>
      </c>
      <c r="AM52" s="192" t="str">
        <f t="shared" si="60"/>
        <v/>
      </c>
      <c r="AN52" s="193"/>
      <c r="AO52" s="193"/>
      <c r="AP52" s="193"/>
      <c r="AQ52" s="193"/>
      <c r="AR52" s="193"/>
      <c r="AS52" s="193"/>
      <c r="AT52" s="193"/>
      <c r="AU52" s="121"/>
      <c r="AV52" s="122"/>
      <c r="AW52" s="123"/>
      <c r="AX52" s="123"/>
      <c r="AY52" s="121"/>
      <c r="AZ52" s="122"/>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row>
    <row r="53" spans="1:84" ht="151.5" customHeight="1" x14ac:dyDescent="0.3">
      <c r="A53" s="250">
        <v>10</v>
      </c>
      <c r="B53" s="125"/>
      <c r="C53" s="253"/>
      <c r="D53" s="128"/>
      <c r="E53" s="253"/>
      <c r="F53" s="253"/>
      <c r="G53" s="256"/>
      <c r="H53" s="131"/>
      <c r="I53" s="131"/>
      <c r="J53" s="253"/>
      <c r="K53" s="259"/>
      <c r="L53" s="262" t="str">
        <f>IF(K53&lt;=0,"",IF(K53&lt;=2,"Muy Baja",IF(K53&lt;=24,"Baja",IF(K53&lt;=500,"Media",IF(K53&lt;=5000,"Alta","Muy Alta")))))</f>
        <v/>
      </c>
      <c r="M53" s="209" t="str">
        <f>IF(L53="","",IF(L53="Muy Baja",0.2,IF(L53="Baja",0.4,IF(L53="Media",0.6,IF(L53="Alta",0.8,IF(L53="Muy Alta",1,))))))</f>
        <v/>
      </c>
      <c r="N53" s="211"/>
      <c r="O53" s="209">
        <f>IF(NOT(ISERROR(MATCH(N53,'Tabla Impacto'!$B$221:$B$223,0))),'Tabla Impacto'!$F$223&amp;"Por favor no seleccionar los criterios de impacto(Afectación Económica o presupuestal y Pérdida Reputacional)",N53)</f>
        <v>0</v>
      </c>
      <c r="P53" s="213" t="str">
        <f>IF(OR(O53='Tabla Impacto'!$C$11,O53='Tabla Impacto'!$D$11),"Leve",IF(OR(O53='Tabla Impacto'!$C$12,O53='Tabla Impacto'!$D$12),"Menor",IF(OR(O53='Tabla Impacto'!$C$13,O53='Tabla Impacto'!$D$13),"Moderado",IF(OR(O53='Tabla Impacto'!$C$14,O53='Tabla Impacto'!$D$14),"Mayor",IF(OR(O53='Tabla Impacto'!$C$15,O53='Tabla Impacto'!$D$15),"Catastrófico","")))))</f>
        <v/>
      </c>
      <c r="Q53" s="215" t="str">
        <f>IF(P53="","",IF(P53="Leve",0.2,IF(P53="Menor",0.4,IF(P53="Moderado",0.6,IF(P53="Mayor",0.8,IF(P53="Catastrófico",1,))))))</f>
        <v/>
      </c>
      <c r="R53" s="207" t="str">
        <f>IF(OR(AND(L53="Muy Baja",P53="Leve"),AND(L53="Muy Baja",P53="Menor"),AND(L53="Baja",P53="Leve")),"Bajo",IF(OR(AND(L53="Muy baja",P53="Moderado"),AND(L53="Baja",P53="Menor"),AND(L53="Baja",P53="Moderado"),AND(L53="Media",P53="Leve"),AND(L53="Media",P53="Menor"),AND(L53="Media",P53="Moderado"),AND(L53="Alta",P53="Leve"),AND(L53="Alta",P53="Menor")),"Moderado",IF(OR(AND(L53="Muy Baja",P53="Mayor"),AND(L53="Baja",P53="Mayor"),AND(L53="Media",P53="Mayor"),AND(L53="Alta",P53="Moderado"),AND(L53="Alta",P53="Mayor"),AND(L53="Muy Alta",P53="Leve"),AND(L53="Muy Alta",P53="Menor"),AND(L53="Muy Alta",P53="Moderado"),AND(L53="Muy Alta",P53="Mayor")),"Alto",IF(OR(AND(L53="Muy Baja",P53="Catastrófico"),AND(L53="Baja",P53="Catastrófico"),AND(L53="Media",P53="Catastrófico"),AND(L53="Alta",P53="Catastrófico"),AND(L53="Muy Alta",P53="Catastrófico")),"Extremo",""))))</f>
        <v/>
      </c>
      <c r="S53" s="150"/>
      <c r="T53" s="150" t="str">
        <f t="shared" si="1"/>
        <v/>
      </c>
      <c r="U53" s="150"/>
      <c r="V53" s="150" t="str">
        <f t="shared" si="2"/>
        <v/>
      </c>
      <c r="W53" s="150" t="str">
        <f t="shared" si="3"/>
        <v/>
      </c>
      <c r="X53" s="150" t="str">
        <f t="shared" si="4"/>
        <v/>
      </c>
      <c r="Y53" s="6">
        <v>1</v>
      </c>
      <c r="Z53" s="120"/>
      <c r="AA53" s="195" t="str">
        <f>IF(OR(AB53="Preventivo",AB53="Detectivo"),"Probabilidad",IF(AB53="Correctivo","Impacto",""))</f>
        <v/>
      </c>
      <c r="AB53" s="187"/>
      <c r="AC53" s="187"/>
      <c r="AD53" s="188" t="str">
        <f>IF(AND(AB53="Preventivo",AC53="Automático"),"50%",IF(AND(AB53="Preventivo",AC53="Manual"),"40%",IF(AND(AB53="Detectivo",AC53="Automático"),"40%",IF(AND(AB53="Detectivo",AC53="Manual"),"30%",IF(AND(AB53="Correctivo",AC53="Automático"),"35%",IF(AND(AB53="Correctivo",AC53="Manual"),"25%",""))))))</f>
        <v/>
      </c>
      <c r="AE53" s="187"/>
      <c r="AF53" s="187"/>
      <c r="AG53" s="187"/>
      <c r="AH53" s="189" t="str">
        <f>IFERROR(IF(AA53="Probabilidad",(M53-(+M53*AD53)),IF(AA53="Impacto",M53,"")),"")</f>
        <v/>
      </c>
      <c r="AI53" s="190" t="str">
        <f>IFERROR(IF(AH53="","",IF(AH53&lt;=0.2,"Muy Baja",IF(AH53&lt;=0.4,"Baja",IF(AH53&lt;=0.6,"Media",IF(AH53&lt;=0.8,"Alta","Muy Alta"))))),"")</f>
        <v/>
      </c>
      <c r="AJ53" s="191" t="str">
        <f>+AH53</f>
        <v/>
      </c>
      <c r="AK53" s="190" t="str">
        <f>IFERROR(IF(AL53="","",IF(AL53&lt;=0.2,"Leve",IF(AL53&lt;=0.4,"Menor",IF(AL53&lt;=0.6,"Moderado",IF(AL53&lt;=0.8,"Mayor","Catastrófico"))))),"")</f>
        <v/>
      </c>
      <c r="AL53" s="191" t="str">
        <f>IFERROR(IF(AA53="Impacto",(Q53-(+Q53*AD53)),IF(AA53="Probabilidad",Q53,"")),"")</f>
        <v/>
      </c>
      <c r="AM53" s="192" t="str">
        <f>IFERROR(IF(OR(AND(AI53="Muy Baja",AK53="Leve"),AND(AI53="Muy Baja",AK53="Menor"),AND(AI53="Baja",AK53="Leve")),"Bajo",IF(OR(AND(AI53="Muy baja",AK53="Moderado"),AND(AI53="Baja",AK53="Menor"),AND(AI53="Baja",AK53="Moderado"),AND(AI53="Media",AK53="Leve"),AND(AI53="Media",AK53="Menor"),AND(AI53="Media",AK53="Moderado"),AND(AI53="Alta",AK53="Leve"),AND(AI53="Alta",AK53="Menor")),"Moderado",IF(OR(AND(AI53="Muy Baja",AK53="Mayor"),AND(AI53="Baja",AK53="Mayor"),AND(AI53="Media",AK53="Mayor"),AND(AI53="Alta",AK53="Moderado"),AND(AI53="Alta",AK53="Mayor"),AND(AI53="Muy Alta",AK53="Leve"),AND(AI53="Muy Alta",AK53="Menor"),AND(AI53="Muy Alta",AK53="Moderado"),AND(AI53="Muy Alta",AK53="Mayor")),"Alto",IF(OR(AND(AI53="Muy Baja",AK53="Catastrófico"),AND(AI53="Baja",AK53="Catastrófico"),AND(AI53="Media",AK53="Catastrófico"),AND(AI53="Alta",AK53="Catastrófico"),AND(AI53="Muy Alta",AK53="Catastrófico")),"Extremo","")))),"")</f>
        <v/>
      </c>
      <c r="AN53" s="193"/>
      <c r="AO53" s="193"/>
      <c r="AP53" s="193"/>
      <c r="AQ53" s="193"/>
      <c r="AR53" s="193"/>
      <c r="AS53" s="193"/>
      <c r="AT53" s="193"/>
      <c r="AU53" s="121"/>
      <c r="AV53" s="122"/>
      <c r="AW53" s="123"/>
      <c r="AX53" s="123"/>
      <c r="AY53" s="121"/>
      <c r="AZ53" s="122"/>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row>
    <row r="54" spans="1:84" ht="151.5" customHeight="1" x14ac:dyDescent="0.3">
      <c r="A54" s="251"/>
      <c r="B54" s="126"/>
      <c r="C54" s="254"/>
      <c r="D54" s="129"/>
      <c r="E54" s="254"/>
      <c r="F54" s="254"/>
      <c r="G54" s="257"/>
      <c r="H54" s="132"/>
      <c r="I54" s="132"/>
      <c r="J54" s="254"/>
      <c r="K54" s="260"/>
      <c r="L54" s="263"/>
      <c r="M54" s="210"/>
      <c r="N54" s="212"/>
      <c r="O54" s="210">
        <f>IF(NOT(ISERROR(MATCH(N54,_xlfn.ANCHORARRAY(G65),0))),M67&amp;"Por favor no seleccionar los criterios de impacto",N54)</f>
        <v>0</v>
      </c>
      <c r="P54" s="214"/>
      <c r="Q54" s="216"/>
      <c r="R54" s="208"/>
      <c r="S54" s="150"/>
      <c r="T54" s="150" t="str">
        <f t="shared" si="1"/>
        <v/>
      </c>
      <c r="U54" s="150"/>
      <c r="V54" s="150" t="str">
        <f t="shared" si="2"/>
        <v/>
      </c>
      <c r="W54" s="150" t="str">
        <f t="shared" si="3"/>
        <v/>
      </c>
      <c r="X54" s="150" t="str">
        <f t="shared" si="4"/>
        <v/>
      </c>
      <c r="Y54" s="6">
        <v>2</v>
      </c>
      <c r="Z54" s="120"/>
      <c r="AA54" s="195" t="str">
        <f>IF(OR(AB54="Preventivo",AB54="Detectivo"),"Probabilidad",IF(AB54="Correctivo","Impacto",""))</f>
        <v/>
      </c>
      <c r="AB54" s="187"/>
      <c r="AC54" s="187"/>
      <c r="AD54" s="188" t="str">
        <f t="shared" ref="AD54:AD58" si="61">IF(AND(AB54="Preventivo",AC54="Automático"),"50%",IF(AND(AB54="Preventivo",AC54="Manual"),"40%",IF(AND(AB54="Detectivo",AC54="Automático"),"40%",IF(AND(AB54="Detectivo",AC54="Manual"),"30%",IF(AND(AB54="Correctivo",AC54="Automático"),"35%",IF(AND(AB54="Correctivo",AC54="Manual"),"25%",""))))))</f>
        <v/>
      </c>
      <c r="AE54" s="187"/>
      <c r="AF54" s="187"/>
      <c r="AG54" s="187"/>
      <c r="AH54" s="189" t="str">
        <f>IFERROR(IF(AND(AA53="Probabilidad",AA54="Probabilidad"),(AJ53-(+AJ53*AD54)),IF(AA54="Probabilidad",(M53-(+M53*AD54)),IF(AA54="Impacto",AJ53,""))),"")</f>
        <v/>
      </c>
      <c r="AI54" s="190" t="str">
        <f t="shared" si="6"/>
        <v/>
      </c>
      <c r="AJ54" s="191" t="str">
        <f t="shared" ref="AJ54:AJ58" si="62">+AH54</f>
        <v/>
      </c>
      <c r="AK54" s="190" t="str">
        <f t="shared" si="8"/>
        <v/>
      </c>
      <c r="AL54" s="191" t="str">
        <f>IFERROR(IF(AND(AA53="Impacto",AA54="Impacto"),(AL53-(+AL53*AD54)),IF(AA54="Impacto",(Q53-(+Q53*AD54)),IF(AA54="Probabilidad",AL53,""))),"")</f>
        <v/>
      </c>
      <c r="AM54" s="192" t="str">
        <f t="shared" ref="AM54:AM55" si="63">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93"/>
      <c r="AO54" s="193"/>
      <c r="AP54" s="193"/>
      <c r="AQ54" s="193"/>
      <c r="AR54" s="193"/>
      <c r="AS54" s="193"/>
      <c r="AT54" s="193"/>
      <c r="AU54" s="121"/>
      <c r="AV54" s="122"/>
      <c r="AW54" s="123"/>
      <c r="AX54" s="123"/>
      <c r="AY54" s="121"/>
      <c r="AZ54" s="122"/>
    </row>
    <row r="55" spans="1:84" ht="151.5" customHeight="1" x14ac:dyDescent="0.3">
      <c r="A55" s="251"/>
      <c r="B55" s="126"/>
      <c r="C55" s="254"/>
      <c r="D55" s="129"/>
      <c r="E55" s="254"/>
      <c r="F55" s="254"/>
      <c r="G55" s="257"/>
      <c r="H55" s="132"/>
      <c r="I55" s="132"/>
      <c r="J55" s="254"/>
      <c r="K55" s="260"/>
      <c r="L55" s="263"/>
      <c r="M55" s="210"/>
      <c r="N55" s="212"/>
      <c r="O55" s="210">
        <f>IF(NOT(ISERROR(MATCH(N55,_xlfn.ANCHORARRAY(G66),0))),M68&amp;"Por favor no seleccionar los criterios de impacto",N55)</f>
        <v>0</v>
      </c>
      <c r="P55" s="214"/>
      <c r="Q55" s="216"/>
      <c r="R55" s="208"/>
      <c r="S55" s="150"/>
      <c r="T55" s="150" t="str">
        <f t="shared" si="1"/>
        <v/>
      </c>
      <c r="U55" s="150"/>
      <c r="V55" s="150" t="str">
        <f t="shared" si="2"/>
        <v/>
      </c>
      <c r="W55" s="150" t="str">
        <f t="shared" si="3"/>
        <v/>
      </c>
      <c r="X55" s="150" t="str">
        <f t="shared" si="4"/>
        <v/>
      </c>
      <c r="Y55" s="6">
        <v>3</v>
      </c>
      <c r="Z55" s="124"/>
      <c r="AA55" s="195" t="str">
        <f>IF(OR(AB55="Preventivo",AB55="Detectivo"),"Probabilidad",IF(AB55="Correctivo","Impacto",""))</f>
        <v/>
      </c>
      <c r="AB55" s="187"/>
      <c r="AC55" s="187"/>
      <c r="AD55" s="188" t="str">
        <f t="shared" si="61"/>
        <v/>
      </c>
      <c r="AE55" s="187"/>
      <c r="AF55" s="187"/>
      <c r="AG55" s="187"/>
      <c r="AH55" s="189" t="str">
        <f>IFERROR(IF(AND(AA54="Probabilidad",AA55="Probabilidad"),(AJ54-(+AJ54*AD55)),IF(AND(AA54="Impacto",AA55="Probabilidad"),(AJ53-(+AJ53*AD55)),IF(AA55="Impacto",AJ54,""))),"")</f>
        <v/>
      </c>
      <c r="AI55" s="190" t="str">
        <f t="shared" si="6"/>
        <v/>
      </c>
      <c r="AJ55" s="191" t="str">
        <f t="shared" si="62"/>
        <v/>
      </c>
      <c r="AK55" s="190" t="str">
        <f t="shared" si="8"/>
        <v/>
      </c>
      <c r="AL55" s="191" t="str">
        <f>IFERROR(IF(AND(AA54="Impacto",AA55="Impacto"),(AL54-(+AL54*AD55)),IF(AND(AA54="Probabilidad",AA55="Impacto"),(AL53-(+AL53*AD55)),IF(AA55="Probabilidad",AL54,""))),"")</f>
        <v/>
      </c>
      <c r="AM55" s="192" t="str">
        <f t="shared" si="63"/>
        <v/>
      </c>
      <c r="AN55" s="193"/>
      <c r="AO55" s="193"/>
      <c r="AP55" s="193"/>
      <c r="AQ55" s="193"/>
      <c r="AR55" s="193"/>
      <c r="AS55" s="193"/>
      <c r="AT55" s="193"/>
      <c r="AU55" s="121"/>
      <c r="AV55" s="122"/>
      <c r="AW55" s="123"/>
      <c r="AX55" s="123"/>
      <c r="AY55" s="121"/>
      <c r="AZ55" s="122"/>
    </row>
    <row r="56" spans="1:84" ht="151.5" customHeight="1" x14ac:dyDescent="0.3">
      <c r="A56" s="251"/>
      <c r="B56" s="126"/>
      <c r="C56" s="254"/>
      <c r="D56" s="129"/>
      <c r="E56" s="254"/>
      <c r="F56" s="254"/>
      <c r="G56" s="257"/>
      <c r="H56" s="132"/>
      <c r="I56" s="132"/>
      <c r="J56" s="254"/>
      <c r="K56" s="260"/>
      <c r="L56" s="263"/>
      <c r="M56" s="210"/>
      <c r="N56" s="212"/>
      <c r="O56" s="210">
        <f>IF(NOT(ISERROR(MATCH(N56,_xlfn.ANCHORARRAY(G67),0))),M69&amp;"Por favor no seleccionar los criterios de impacto",N56)</f>
        <v>0</v>
      </c>
      <c r="P56" s="214"/>
      <c r="Q56" s="216"/>
      <c r="R56" s="208"/>
      <c r="S56" s="150"/>
      <c r="T56" s="150" t="str">
        <f t="shared" si="1"/>
        <v/>
      </c>
      <c r="U56" s="150"/>
      <c r="V56" s="150" t="str">
        <f t="shared" si="2"/>
        <v/>
      </c>
      <c r="W56" s="150" t="str">
        <f t="shared" si="3"/>
        <v/>
      </c>
      <c r="X56" s="150" t="str">
        <f t="shared" si="4"/>
        <v/>
      </c>
      <c r="Y56" s="6">
        <v>4</v>
      </c>
      <c r="Z56" s="120"/>
      <c r="AA56" s="195" t="str">
        <f t="shared" ref="AA56:AA58" si="64">IF(OR(AB56="Preventivo",AB56="Detectivo"),"Probabilidad",IF(AB56="Correctivo","Impacto",""))</f>
        <v/>
      </c>
      <c r="AB56" s="187"/>
      <c r="AC56" s="187"/>
      <c r="AD56" s="188" t="str">
        <f t="shared" si="61"/>
        <v/>
      </c>
      <c r="AE56" s="187"/>
      <c r="AF56" s="187"/>
      <c r="AG56" s="187"/>
      <c r="AH56" s="189" t="str">
        <f t="shared" ref="AH56:AH58" si="65">IFERROR(IF(AND(AA55="Probabilidad",AA56="Probabilidad"),(AJ55-(+AJ55*AD56)),IF(AND(AA55="Impacto",AA56="Probabilidad"),(AJ54-(+AJ54*AD56)),IF(AA56="Impacto",AJ55,""))),"")</f>
        <v/>
      </c>
      <c r="AI56" s="190" t="str">
        <f t="shared" si="6"/>
        <v/>
      </c>
      <c r="AJ56" s="191" t="str">
        <f t="shared" si="62"/>
        <v/>
      </c>
      <c r="AK56" s="190" t="str">
        <f t="shared" si="8"/>
        <v/>
      </c>
      <c r="AL56" s="191" t="str">
        <f t="shared" ref="AL56:AL58" si="66">IFERROR(IF(AND(AA55="Impacto",AA56="Impacto"),(AL55-(+AL55*AD56)),IF(AND(AA55="Probabilidad",AA56="Impacto"),(AL54-(+AL54*AD56)),IF(AA56="Probabilidad",AL55,""))),"")</f>
        <v/>
      </c>
      <c r="AM56" s="192" t="str">
        <f>IFERROR(IF(OR(AND(AI56="Muy Baja",AK56="Leve"),AND(AI56="Muy Baja",AK56="Menor"),AND(AI56="Baja",AK56="Leve")),"Bajo",IF(OR(AND(AI56="Muy baja",AK56="Moderado"),AND(AI56="Baja",AK56="Menor"),AND(AI56="Baja",AK56="Moderado"),AND(AI56="Media",AK56="Leve"),AND(AI56="Media",AK56="Menor"),AND(AI56="Media",AK56="Moderado"),AND(AI56="Alta",AK56="Leve"),AND(AI56="Alta",AK56="Menor")),"Moderado",IF(OR(AND(AI56="Muy Baja",AK56="Mayor"),AND(AI56="Baja",AK56="Mayor"),AND(AI56="Media",AK56="Mayor"),AND(AI56="Alta",AK56="Moderado"),AND(AI56="Alta",AK56="Mayor"),AND(AI56="Muy Alta",AK56="Leve"),AND(AI56="Muy Alta",AK56="Menor"),AND(AI56="Muy Alta",AK56="Moderado"),AND(AI56="Muy Alta",AK56="Mayor")),"Alto",IF(OR(AND(AI56="Muy Baja",AK56="Catastrófico"),AND(AI56="Baja",AK56="Catastrófico"),AND(AI56="Media",AK56="Catastrófico"),AND(AI56="Alta",AK56="Catastrófico"),AND(AI56="Muy Alta",AK56="Catastrófico")),"Extremo","")))),"")</f>
        <v/>
      </c>
      <c r="AN56" s="193"/>
      <c r="AO56" s="193"/>
      <c r="AP56" s="193"/>
      <c r="AQ56" s="193"/>
      <c r="AR56" s="193"/>
      <c r="AS56" s="193"/>
      <c r="AT56" s="193"/>
      <c r="AU56" s="121"/>
      <c r="AV56" s="122"/>
      <c r="AW56" s="123"/>
      <c r="AX56" s="123"/>
      <c r="AY56" s="121"/>
      <c r="AZ56" s="122"/>
    </row>
    <row r="57" spans="1:84" ht="151.5" customHeight="1" x14ac:dyDescent="0.3">
      <c r="A57" s="251"/>
      <c r="B57" s="126"/>
      <c r="C57" s="254"/>
      <c r="D57" s="129"/>
      <c r="E57" s="254"/>
      <c r="F57" s="254"/>
      <c r="G57" s="257"/>
      <c r="H57" s="132"/>
      <c r="I57" s="132"/>
      <c r="J57" s="254"/>
      <c r="K57" s="260"/>
      <c r="L57" s="263"/>
      <c r="M57" s="210"/>
      <c r="N57" s="212"/>
      <c r="O57" s="210">
        <f>IF(NOT(ISERROR(MATCH(N57,_xlfn.ANCHORARRAY(G68),0))),M70&amp;"Por favor no seleccionar los criterios de impacto",N57)</f>
        <v>0</v>
      </c>
      <c r="P57" s="214"/>
      <c r="Q57" s="216"/>
      <c r="R57" s="208"/>
      <c r="S57" s="150"/>
      <c r="T57" s="150" t="str">
        <f t="shared" si="1"/>
        <v/>
      </c>
      <c r="U57" s="150"/>
      <c r="V57" s="150" t="str">
        <f t="shared" si="2"/>
        <v/>
      </c>
      <c r="W57" s="150" t="str">
        <f t="shared" si="3"/>
        <v/>
      </c>
      <c r="X57" s="150" t="str">
        <f t="shared" si="4"/>
        <v/>
      </c>
      <c r="Y57" s="6">
        <v>5</v>
      </c>
      <c r="Z57" s="120"/>
      <c r="AA57" s="195" t="str">
        <f t="shared" si="64"/>
        <v/>
      </c>
      <c r="AB57" s="187"/>
      <c r="AC57" s="187"/>
      <c r="AD57" s="188" t="str">
        <f t="shared" si="61"/>
        <v/>
      </c>
      <c r="AE57" s="187"/>
      <c r="AF57" s="187"/>
      <c r="AG57" s="187"/>
      <c r="AH57" s="189" t="str">
        <f t="shared" si="65"/>
        <v/>
      </c>
      <c r="AI57" s="190" t="str">
        <f t="shared" si="6"/>
        <v/>
      </c>
      <c r="AJ57" s="191" t="str">
        <f t="shared" si="62"/>
        <v/>
      </c>
      <c r="AK57" s="190" t="str">
        <f t="shared" si="8"/>
        <v/>
      </c>
      <c r="AL57" s="191" t="str">
        <f t="shared" si="66"/>
        <v/>
      </c>
      <c r="AM57" s="192" t="str">
        <f t="shared" ref="AM57:AM58" si="67">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93"/>
      <c r="AO57" s="193"/>
      <c r="AP57" s="193"/>
      <c r="AQ57" s="193"/>
      <c r="AR57" s="193"/>
      <c r="AS57" s="193"/>
      <c r="AT57" s="193"/>
      <c r="AU57" s="121"/>
      <c r="AV57" s="122"/>
      <c r="AW57" s="123"/>
      <c r="AX57" s="123"/>
      <c r="AY57" s="121"/>
      <c r="AZ57" s="122"/>
    </row>
    <row r="58" spans="1:84" ht="151.5" customHeight="1" x14ac:dyDescent="0.3">
      <c r="A58" s="252"/>
      <c r="B58" s="127"/>
      <c r="C58" s="255"/>
      <c r="D58" s="130"/>
      <c r="E58" s="255"/>
      <c r="F58" s="255"/>
      <c r="G58" s="258"/>
      <c r="H58" s="133"/>
      <c r="I58" s="133"/>
      <c r="J58" s="255"/>
      <c r="K58" s="261"/>
      <c r="L58" s="264"/>
      <c r="M58" s="265"/>
      <c r="N58" s="266"/>
      <c r="O58" s="265">
        <f>IF(NOT(ISERROR(MATCH(N58,_xlfn.ANCHORARRAY(G69),0))),M71&amp;"Por favor no seleccionar los criterios de impacto",N58)</f>
        <v>0</v>
      </c>
      <c r="P58" s="267"/>
      <c r="Q58" s="248"/>
      <c r="R58" s="249"/>
      <c r="S58" s="150"/>
      <c r="T58" s="150" t="str">
        <f t="shared" si="1"/>
        <v/>
      </c>
      <c r="U58" s="150"/>
      <c r="V58" s="150" t="str">
        <f t="shared" si="2"/>
        <v/>
      </c>
      <c r="W58" s="150" t="str">
        <f t="shared" si="3"/>
        <v/>
      </c>
      <c r="X58" s="150" t="str">
        <f t="shared" si="4"/>
        <v/>
      </c>
      <c r="Y58" s="6">
        <v>6</v>
      </c>
      <c r="Z58" s="120"/>
      <c r="AA58" s="195" t="str">
        <f t="shared" si="64"/>
        <v/>
      </c>
      <c r="AB58" s="187"/>
      <c r="AC58" s="187"/>
      <c r="AD58" s="188" t="str">
        <f t="shared" si="61"/>
        <v/>
      </c>
      <c r="AE58" s="187"/>
      <c r="AF58" s="187"/>
      <c r="AG58" s="187"/>
      <c r="AH58" s="189" t="str">
        <f t="shared" si="65"/>
        <v/>
      </c>
      <c r="AI58" s="190" t="str">
        <f t="shared" si="6"/>
        <v/>
      </c>
      <c r="AJ58" s="191" t="str">
        <f t="shared" si="62"/>
        <v/>
      </c>
      <c r="AK58" s="190" t="str">
        <f t="shared" si="8"/>
        <v/>
      </c>
      <c r="AL58" s="191" t="str">
        <f t="shared" si="66"/>
        <v/>
      </c>
      <c r="AM58" s="192" t="str">
        <f t="shared" si="67"/>
        <v/>
      </c>
      <c r="AN58" s="193"/>
      <c r="AO58" s="193"/>
      <c r="AP58" s="193"/>
      <c r="AQ58" s="193"/>
      <c r="AR58" s="193"/>
      <c r="AS58" s="193"/>
      <c r="AT58" s="193"/>
      <c r="AU58" s="121"/>
      <c r="AV58" s="122"/>
      <c r="AW58" s="123"/>
      <c r="AX58" s="123"/>
      <c r="AY58" s="121"/>
      <c r="AZ58" s="122"/>
    </row>
    <row r="59" spans="1:84" ht="49.5" customHeight="1" x14ac:dyDescent="0.3">
      <c r="A59" s="6"/>
      <c r="B59" s="138"/>
      <c r="C59" s="245" t="s">
        <v>165</v>
      </c>
      <c r="D59" s="246"/>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246"/>
      <c r="AN59" s="246"/>
      <c r="AO59" s="246"/>
      <c r="AP59" s="246"/>
      <c r="AQ59" s="246"/>
      <c r="AR59" s="246"/>
      <c r="AS59" s="246"/>
      <c r="AT59" s="246"/>
      <c r="AU59" s="246"/>
      <c r="AV59" s="246"/>
      <c r="AW59" s="246"/>
      <c r="AX59" s="246"/>
      <c r="AY59" s="246"/>
      <c r="AZ59" s="247"/>
    </row>
    <row r="61" spans="1:84" x14ac:dyDescent="0.3">
      <c r="A61" s="1"/>
      <c r="B61" s="1"/>
      <c r="C61" s="24" t="s">
        <v>166</v>
      </c>
      <c r="D61" s="24"/>
      <c r="E61" s="1"/>
      <c r="F61" s="1"/>
      <c r="J61" s="1"/>
    </row>
  </sheetData>
  <dataConsolidate/>
  <mergeCells count="203">
    <mergeCell ref="AO8:AT8"/>
    <mergeCell ref="AO9:AR9"/>
    <mergeCell ref="AS9:AT9"/>
    <mergeCell ref="AO10:AP10"/>
    <mergeCell ref="AQ10:AR10"/>
    <mergeCell ref="AJ9:AJ10"/>
    <mergeCell ref="K9:K10"/>
    <mergeCell ref="L9:L10"/>
    <mergeCell ref="M9:M10"/>
    <mergeCell ref="P9:P10"/>
    <mergeCell ref="Q9:Q10"/>
    <mergeCell ref="AH8:AN8"/>
    <mergeCell ref="C9:C10"/>
    <mergeCell ref="R9:R10"/>
    <mergeCell ref="N9:N10"/>
    <mergeCell ref="O9:O10"/>
    <mergeCell ref="AA9:AA10"/>
    <mergeCell ref="AB9:AG9"/>
    <mergeCell ref="I9:I10"/>
    <mergeCell ref="H9:H10"/>
    <mergeCell ref="S9:V9"/>
    <mergeCell ref="W9:X9"/>
    <mergeCell ref="S10:T10"/>
    <mergeCell ref="U10:V10"/>
    <mergeCell ref="F14:F16"/>
    <mergeCell ref="G14:G16"/>
    <mergeCell ref="AU9:AU10"/>
    <mergeCell ref="AZ9:AZ10"/>
    <mergeCell ref="AY9:AY10"/>
    <mergeCell ref="AX9:AX10"/>
    <mergeCell ref="AW9:AW10"/>
    <mergeCell ref="AV9:AV10"/>
    <mergeCell ref="A5:C5"/>
    <mergeCell ref="A6:C6"/>
    <mergeCell ref="A7:C7"/>
    <mergeCell ref="A9:A10"/>
    <mergeCell ref="J9:J10"/>
    <mergeCell ref="G9:G10"/>
    <mergeCell ref="F9:F10"/>
    <mergeCell ref="E9:E10"/>
    <mergeCell ref="AN9:AN10"/>
    <mergeCell ref="Y9:Y10"/>
    <mergeCell ref="AM9:AM10"/>
    <mergeCell ref="AL9:AL10"/>
    <mergeCell ref="AH9:AH10"/>
    <mergeCell ref="Z9:Z10"/>
    <mergeCell ref="AK9:AK10"/>
    <mergeCell ref="AI9:AI10"/>
    <mergeCell ref="O14:O16"/>
    <mergeCell ref="P14:P16"/>
    <mergeCell ref="Q14:Q16"/>
    <mergeCell ref="R14:R16"/>
    <mergeCell ref="A17:A19"/>
    <mergeCell ref="C17:C19"/>
    <mergeCell ref="E17:E19"/>
    <mergeCell ref="F17:F19"/>
    <mergeCell ref="G17:G19"/>
    <mergeCell ref="J17:J19"/>
    <mergeCell ref="K17:K19"/>
    <mergeCell ref="L17:L19"/>
    <mergeCell ref="M17:M19"/>
    <mergeCell ref="N17:N19"/>
    <mergeCell ref="O17:O19"/>
    <mergeCell ref="P17:P19"/>
    <mergeCell ref="J14:J16"/>
    <mergeCell ref="K14:K16"/>
    <mergeCell ref="L14:L16"/>
    <mergeCell ref="M14:M16"/>
    <mergeCell ref="N14:N16"/>
    <mergeCell ref="A14:A16"/>
    <mergeCell ref="C14:C16"/>
    <mergeCell ref="E14:E16"/>
    <mergeCell ref="Q17:Q19"/>
    <mergeCell ref="R17:R19"/>
    <mergeCell ref="A20:A22"/>
    <mergeCell ref="C20:C22"/>
    <mergeCell ref="E20:E22"/>
    <mergeCell ref="F20:F22"/>
    <mergeCell ref="G20:G22"/>
    <mergeCell ref="J20:J22"/>
    <mergeCell ref="K20:K22"/>
    <mergeCell ref="L20:L22"/>
    <mergeCell ref="M20:M22"/>
    <mergeCell ref="N20:N22"/>
    <mergeCell ref="O20:O22"/>
    <mergeCell ref="P20:P22"/>
    <mergeCell ref="Q20:Q22"/>
    <mergeCell ref="R20:R22"/>
    <mergeCell ref="B11:B22"/>
    <mergeCell ref="J11:J13"/>
    <mergeCell ref="K11:K13"/>
    <mergeCell ref="L11:L13"/>
    <mergeCell ref="A11:A13"/>
    <mergeCell ref="C11:C13"/>
    <mergeCell ref="E11:E13"/>
    <mergeCell ref="F11:F13"/>
    <mergeCell ref="Q23:Q28"/>
    <mergeCell ref="R23:R28"/>
    <mergeCell ref="Q29:Q34"/>
    <mergeCell ref="R29:R34"/>
    <mergeCell ref="N35:N40"/>
    <mergeCell ref="O35:O40"/>
    <mergeCell ref="P35:P40"/>
    <mergeCell ref="A23:A28"/>
    <mergeCell ref="C23:C28"/>
    <mergeCell ref="E23:E28"/>
    <mergeCell ref="A29:A34"/>
    <mergeCell ref="C29:C34"/>
    <mergeCell ref="E29:E34"/>
    <mergeCell ref="F29:F34"/>
    <mergeCell ref="G29:G34"/>
    <mergeCell ref="J29:J34"/>
    <mergeCell ref="F23:F28"/>
    <mergeCell ref="G23:G28"/>
    <mergeCell ref="N29:N34"/>
    <mergeCell ref="O29:O34"/>
    <mergeCell ref="P29:P34"/>
    <mergeCell ref="J23:J28"/>
    <mergeCell ref="K23:K28"/>
    <mergeCell ref="L23:L28"/>
    <mergeCell ref="M23:M28"/>
    <mergeCell ref="N23:N28"/>
    <mergeCell ref="K29:K34"/>
    <mergeCell ref="L29:L34"/>
    <mergeCell ref="M29:M34"/>
    <mergeCell ref="O23:O28"/>
    <mergeCell ref="P23:P28"/>
    <mergeCell ref="A41:A46"/>
    <mergeCell ref="C41:C46"/>
    <mergeCell ref="E41:E46"/>
    <mergeCell ref="F41:F46"/>
    <mergeCell ref="G41:G46"/>
    <mergeCell ref="A35:A40"/>
    <mergeCell ref="C35:C40"/>
    <mergeCell ref="E35:E40"/>
    <mergeCell ref="F35:F40"/>
    <mergeCell ref="G35:G40"/>
    <mergeCell ref="E47:E52"/>
    <mergeCell ref="F47:F52"/>
    <mergeCell ref="G47:G52"/>
    <mergeCell ref="J47:J52"/>
    <mergeCell ref="K47:K52"/>
    <mergeCell ref="L47:L52"/>
    <mergeCell ref="M47:M52"/>
    <mergeCell ref="Q35:Q40"/>
    <mergeCell ref="R35:R40"/>
    <mergeCell ref="J41:J46"/>
    <mergeCell ref="K41:K46"/>
    <mergeCell ref="L41:L46"/>
    <mergeCell ref="M41:M46"/>
    <mergeCell ref="N41:N46"/>
    <mergeCell ref="J35:J40"/>
    <mergeCell ref="K35:K40"/>
    <mergeCell ref="L35:L40"/>
    <mergeCell ref="M35:M40"/>
    <mergeCell ref="O41:O46"/>
    <mergeCell ref="P41:P46"/>
    <mergeCell ref="Q41:Q46"/>
    <mergeCell ref="R41:R46"/>
    <mergeCell ref="AU8:AZ8"/>
    <mergeCell ref="C59:AZ59"/>
    <mergeCell ref="Q47:Q52"/>
    <mergeCell ref="R47:R52"/>
    <mergeCell ref="A53:A58"/>
    <mergeCell ref="C53:C58"/>
    <mergeCell ref="E53:E58"/>
    <mergeCell ref="F53:F58"/>
    <mergeCell ref="G53:G58"/>
    <mergeCell ref="J53:J58"/>
    <mergeCell ref="K53:K58"/>
    <mergeCell ref="L53:L58"/>
    <mergeCell ref="M53:M58"/>
    <mergeCell ref="N53:N58"/>
    <mergeCell ref="O53:O58"/>
    <mergeCell ref="P53:P58"/>
    <mergeCell ref="Q53:Q58"/>
    <mergeCell ref="R53:R58"/>
    <mergeCell ref="N47:N52"/>
    <mergeCell ref="O47:O52"/>
    <mergeCell ref="P47:P52"/>
    <mergeCell ref="A47:A52"/>
    <mergeCell ref="C47:C52"/>
    <mergeCell ref="G11:G13"/>
    <mergeCell ref="A1:E4"/>
    <mergeCell ref="F1:M4"/>
    <mergeCell ref="N1:R1"/>
    <mergeCell ref="N2:R2"/>
    <mergeCell ref="N3:R3"/>
    <mergeCell ref="N4:R4"/>
    <mergeCell ref="Y5:AA5"/>
    <mergeCell ref="A8:K8"/>
    <mergeCell ref="L8:R8"/>
    <mergeCell ref="Y8:AG8"/>
    <mergeCell ref="S8:X8"/>
    <mergeCell ref="R11:R13"/>
    <mergeCell ref="M11:M13"/>
    <mergeCell ref="N11:N13"/>
    <mergeCell ref="O11:O13"/>
    <mergeCell ref="P11:P13"/>
    <mergeCell ref="Q11:Q13"/>
    <mergeCell ref="D5:R5"/>
    <mergeCell ref="D6:R6"/>
    <mergeCell ref="D7:R7"/>
  </mergeCells>
  <conditionalFormatting sqref="L11 L14">
    <cfRule type="cellIs" dxfId="112" priority="330" operator="equal">
      <formula>"Baja"</formula>
    </cfRule>
    <cfRule type="cellIs" dxfId="111" priority="331" operator="equal">
      <formula>"Muy Baja"</formula>
    </cfRule>
    <cfRule type="cellIs" dxfId="110" priority="327" operator="equal">
      <formula>"Muy Alta"</formula>
    </cfRule>
    <cfRule type="cellIs" dxfId="109" priority="328" operator="equal">
      <formula>"Alta"</formula>
    </cfRule>
    <cfRule type="cellIs" dxfId="108" priority="329" operator="equal">
      <formula>"Media"</formula>
    </cfRule>
  </conditionalFormatting>
  <conditionalFormatting sqref="L17">
    <cfRule type="cellIs" dxfId="107" priority="231" operator="equal">
      <formula>"Media"</formula>
    </cfRule>
    <cfRule type="cellIs" dxfId="106" priority="233" operator="equal">
      <formula>"Muy Baja"</formula>
    </cfRule>
    <cfRule type="cellIs" dxfId="105" priority="232" operator="equal">
      <formula>"Baja"</formula>
    </cfRule>
    <cfRule type="cellIs" dxfId="104" priority="230" operator="equal">
      <formula>"Alta"</formula>
    </cfRule>
    <cfRule type="cellIs" dxfId="103" priority="229" operator="equal">
      <formula>"Muy Alta"</formula>
    </cfRule>
  </conditionalFormatting>
  <conditionalFormatting sqref="L20">
    <cfRule type="cellIs" dxfId="102" priority="202" operator="equal">
      <formula>"Alta"</formula>
    </cfRule>
    <cfRule type="cellIs" dxfId="101" priority="204" operator="equal">
      <formula>"Baja"</formula>
    </cfRule>
    <cfRule type="cellIs" dxfId="100" priority="201" operator="equal">
      <formula>"Muy Alta"</formula>
    </cfRule>
    <cfRule type="cellIs" dxfId="99" priority="205" operator="equal">
      <formula>"Muy Baja"</formula>
    </cfRule>
    <cfRule type="cellIs" dxfId="98" priority="203" operator="equal">
      <formula>"Media"</formula>
    </cfRule>
  </conditionalFormatting>
  <conditionalFormatting sqref="L23">
    <cfRule type="cellIs" dxfId="97" priority="176" operator="equal">
      <formula>"Baja"</formula>
    </cfRule>
    <cfRule type="cellIs" dxfId="96" priority="177" operator="equal">
      <formula>"Muy Baja"</formula>
    </cfRule>
    <cfRule type="cellIs" dxfId="95" priority="174" operator="equal">
      <formula>"Alta"</formula>
    </cfRule>
    <cfRule type="cellIs" dxfId="94" priority="175" operator="equal">
      <formula>"Media"</formula>
    </cfRule>
    <cfRule type="cellIs" dxfId="93" priority="173" operator="equal">
      <formula>"Muy Alta"</formula>
    </cfRule>
  </conditionalFormatting>
  <conditionalFormatting sqref="L29">
    <cfRule type="cellIs" dxfId="92" priority="146" operator="equal">
      <formula>"Alta"</formula>
    </cfRule>
    <cfRule type="cellIs" dxfId="91" priority="147" operator="equal">
      <formula>"Media"</formula>
    </cfRule>
    <cfRule type="cellIs" dxfId="90" priority="148" operator="equal">
      <formula>"Baja"</formula>
    </cfRule>
    <cfRule type="cellIs" dxfId="89" priority="149" operator="equal">
      <formula>"Muy Baja"</formula>
    </cfRule>
    <cfRule type="cellIs" dxfId="88" priority="145" operator="equal">
      <formula>"Muy Alta"</formula>
    </cfRule>
  </conditionalFormatting>
  <conditionalFormatting sqref="L35">
    <cfRule type="cellIs" dxfId="87" priority="120" operator="equal">
      <formula>"Baja"</formula>
    </cfRule>
    <cfRule type="cellIs" dxfId="86" priority="118" operator="equal">
      <formula>"Alta"</formula>
    </cfRule>
    <cfRule type="cellIs" dxfId="85" priority="117" operator="equal">
      <formula>"Muy Alta"</formula>
    </cfRule>
    <cfRule type="cellIs" dxfId="84" priority="119" operator="equal">
      <formula>"Media"</formula>
    </cfRule>
    <cfRule type="cellIs" dxfId="83" priority="121" operator="equal">
      <formula>"Muy Baja"</formula>
    </cfRule>
  </conditionalFormatting>
  <conditionalFormatting sqref="L41">
    <cfRule type="cellIs" dxfId="82" priority="89" operator="equal">
      <formula>"Muy Alta"</formula>
    </cfRule>
    <cfRule type="cellIs" dxfId="81" priority="92" operator="equal">
      <formula>"Baja"</formula>
    </cfRule>
    <cfRule type="cellIs" dxfId="80" priority="90" operator="equal">
      <formula>"Alta"</formula>
    </cfRule>
    <cfRule type="cellIs" dxfId="79" priority="91" operator="equal">
      <formula>"Media"</formula>
    </cfRule>
    <cfRule type="cellIs" dxfId="78" priority="93" operator="equal">
      <formula>"Muy Baja"</formula>
    </cfRule>
  </conditionalFormatting>
  <conditionalFormatting sqref="L47">
    <cfRule type="cellIs" dxfId="77" priority="61" operator="equal">
      <formula>"Muy Alta"</formula>
    </cfRule>
    <cfRule type="cellIs" dxfId="76" priority="63" operator="equal">
      <formula>"Media"</formula>
    </cfRule>
    <cfRule type="cellIs" dxfId="75" priority="64" operator="equal">
      <formula>"Baja"</formula>
    </cfRule>
    <cfRule type="cellIs" dxfId="74" priority="62" operator="equal">
      <formula>"Alta"</formula>
    </cfRule>
    <cfRule type="cellIs" dxfId="73" priority="65" operator="equal">
      <formula>"Muy Baja"</formula>
    </cfRule>
  </conditionalFormatting>
  <conditionalFormatting sqref="L53">
    <cfRule type="cellIs" dxfId="72" priority="36" operator="equal">
      <formula>"Baja"</formula>
    </cfRule>
    <cfRule type="cellIs" dxfId="71" priority="37" operator="equal">
      <formula>"Muy Baja"</formula>
    </cfRule>
    <cfRule type="cellIs" dxfId="70" priority="33" operator="equal">
      <formula>"Muy Alta"</formula>
    </cfRule>
    <cfRule type="cellIs" dxfId="69" priority="34" operator="equal">
      <formula>"Alta"</formula>
    </cfRule>
    <cfRule type="cellIs" dxfId="68" priority="35" operator="equal">
      <formula>"Media"</formula>
    </cfRule>
  </conditionalFormatting>
  <conditionalFormatting sqref="O11:O58">
    <cfRule type="containsText" dxfId="67" priority="9" operator="containsText" text="❌">
      <formula>NOT(ISERROR(SEARCH("❌",O11)))</formula>
    </cfRule>
  </conditionalFormatting>
  <conditionalFormatting sqref="P11 P14 P17 P20 P23 P29 P35 P41 P47 P53">
    <cfRule type="cellIs" dxfId="66" priority="322" operator="equal">
      <formula>"Catastrófico"</formula>
    </cfRule>
    <cfRule type="cellIs" dxfId="65" priority="323" operator="equal">
      <formula>"Mayor"</formula>
    </cfRule>
    <cfRule type="cellIs" dxfId="64" priority="324" operator="equal">
      <formula>"Moderado"</formula>
    </cfRule>
    <cfRule type="cellIs" dxfId="63" priority="325" operator="equal">
      <formula>"Menor"</formula>
    </cfRule>
    <cfRule type="cellIs" dxfId="62" priority="326" operator="equal">
      <formula>"Leve"</formula>
    </cfRule>
  </conditionalFormatting>
  <conditionalFormatting sqref="R11">
    <cfRule type="cellIs" dxfId="61" priority="319" operator="equal">
      <formula>"Alto"</formula>
    </cfRule>
    <cfRule type="cellIs" dxfId="60" priority="320" operator="equal">
      <formula>"Moderado"</formula>
    </cfRule>
    <cfRule type="cellIs" dxfId="59" priority="321" operator="equal">
      <formula>"Bajo"</formula>
    </cfRule>
    <cfRule type="cellIs" dxfId="58" priority="318" operator="equal">
      <formula>"Extremo"</formula>
    </cfRule>
  </conditionalFormatting>
  <conditionalFormatting sqref="R14">
    <cfRule type="cellIs" dxfId="57" priority="248" operator="equal">
      <formula>"Extremo"</formula>
    </cfRule>
    <cfRule type="cellIs" dxfId="56" priority="249" operator="equal">
      <formula>"Alto"</formula>
    </cfRule>
    <cfRule type="cellIs" dxfId="55" priority="250" operator="equal">
      <formula>"Moderado"</formula>
    </cfRule>
    <cfRule type="cellIs" dxfId="54" priority="251" operator="equal">
      <formula>"Bajo"</formula>
    </cfRule>
  </conditionalFormatting>
  <conditionalFormatting sqref="R17">
    <cfRule type="cellIs" dxfId="53" priority="220" operator="equal">
      <formula>"Extremo"</formula>
    </cfRule>
    <cfRule type="cellIs" dxfId="52" priority="221" operator="equal">
      <formula>"Alto"</formula>
    </cfRule>
    <cfRule type="cellIs" dxfId="51" priority="222" operator="equal">
      <formula>"Moderado"</formula>
    </cfRule>
    <cfRule type="cellIs" dxfId="50" priority="223" operator="equal">
      <formula>"Bajo"</formula>
    </cfRule>
  </conditionalFormatting>
  <conditionalFormatting sqref="R20">
    <cfRule type="cellIs" dxfId="49" priority="192" operator="equal">
      <formula>"Extremo"</formula>
    </cfRule>
    <cfRule type="cellIs" dxfId="48" priority="194" operator="equal">
      <formula>"Moderado"</formula>
    </cfRule>
    <cfRule type="cellIs" dxfId="47" priority="195" operator="equal">
      <formula>"Bajo"</formula>
    </cfRule>
    <cfRule type="cellIs" dxfId="46" priority="193" operator="equal">
      <formula>"Alto"</formula>
    </cfRule>
  </conditionalFormatting>
  <conditionalFormatting sqref="R23">
    <cfRule type="cellIs" dxfId="45" priority="167" operator="equal">
      <formula>"Bajo"</formula>
    </cfRule>
    <cfRule type="cellIs" dxfId="44" priority="166" operator="equal">
      <formula>"Moderado"</formula>
    </cfRule>
    <cfRule type="cellIs" dxfId="43" priority="164" operator="equal">
      <formula>"Extremo"</formula>
    </cfRule>
    <cfRule type="cellIs" dxfId="42" priority="165" operator="equal">
      <formula>"Alto"</formula>
    </cfRule>
  </conditionalFormatting>
  <conditionalFormatting sqref="R29">
    <cfRule type="cellIs" dxfId="41" priority="136" operator="equal">
      <formula>"Extremo"</formula>
    </cfRule>
    <cfRule type="cellIs" dxfId="40" priority="139" operator="equal">
      <formula>"Bajo"</formula>
    </cfRule>
    <cfRule type="cellIs" dxfId="39" priority="137" operator="equal">
      <formula>"Alto"</formula>
    </cfRule>
    <cfRule type="cellIs" dxfId="38" priority="138" operator="equal">
      <formula>"Moderado"</formula>
    </cfRule>
  </conditionalFormatting>
  <conditionalFormatting sqref="R35">
    <cfRule type="cellIs" dxfId="37" priority="109" operator="equal">
      <formula>"Alto"</formula>
    </cfRule>
    <cfRule type="cellIs" dxfId="36" priority="108" operator="equal">
      <formula>"Extremo"</formula>
    </cfRule>
    <cfRule type="cellIs" dxfId="35" priority="111" operator="equal">
      <formula>"Bajo"</formula>
    </cfRule>
    <cfRule type="cellIs" dxfId="34" priority="110" operator="equal">
      <formula>"Moderado"</formula>
    </cfRule>
  </conditionalFormatting>
  <conditionalFormatting sqref="R41">
    <cfRule type="cellIs" dxfId="33" priority="83" operator="equal">
      <formula>"Bajo"</formula>
    </cfRule>
    <cfRule type="cellIs" dxfId="32" priority="82" operator="equal">
      <formula>"Moderado"</formula>
    </cfRule>
    <cfRule type="cellIs" dxfId="31" priority="80" operator="equal">
      <formula>"Extremo"</formula>
    </cfRule>
    <cfRule type="cellIs" dxfId="30" priority="81" operator="equal">
      <formula>"Alto"</formula>
    </cfRule>
  </conditionalFormatting>
  <conditionalFormatting sqref="R47">
    <cfRule type="cellIs" dxfId="29" priority="55" operator="equal">
      <formula>"Bajo"</formula>
    </cfRule>
    <cfRule type="cellIs" dxfId="28" priority="54" operator="equal">
      <formula>"Moderado"</formula>
    </cfRule>
    <cfRule type="cellIs" dxfId="27" priority="53" operator="equal">
      <formula>"Alto"</formula>
    </cfRule>
    <cfRule type="cellIs" dxfId="26" priority="52" operator="equal">
      <formula>"Extremo"</formula>
    </cfRule>
  </conditionalFormatting>
  <conditionalFormatting sqref="R53">
    <cfRule type="cellIs" dxfId="25" priority="27" operator="equal">
      <formula>"Bajo"</formula>
    </cfRule>
    <cfRule type="cellIs" dxfId="24" priority="26" operator="equal">
      <formula>"Moderado"</formula>
    </cfRule>
    <cfRule type="cellIs" dxfId="23" priority="25" operator="equal">
      <formula>"Alto"</formula>
    </cfRule>
    <cfRule type="cellIs" dxfId="22" priority="24" operator="equal">
      <formula>"Extremo"</formula>
    </cfRule>
  </conditionalFormatting>
  <conditionalFormatting sqref="S11:X58">
    <cfRule type="cellIs" dxfId="21" priority="6" operator="equal">
      <formula>"Alto"</formula>
    </cfRule>
    <cfRule type="cellIs" dxfId="20" priority="7" operator="equal">
      <formula>"Moderado"</formula>
    </cfRule>
    <cfRule type="cellIs" dxfId="19" priority="8" operator="equal">
      <formula>"Bajo"</formula>
    </cfRule>
    <cfRule type="cellIs" dxfId="18" priority="5" operator="equal">
      <formula>"Extremo"</formula>
    </cfRule>
  </conditionalFormatting>
  <conditionalFormatting sqref="AI11:AI58">
    <cfRule type="cellIs" dxfId="17" priority="20" operator="equal">
      <formula>"Alta"</formula>
    </cfRule>
    <cfRule type="cellIs" dxfId="16" priority="19" operator="equal">
      <formula>"Muy Alta"</formula>
    </cfRule>
    <cfRule type="cellIs" dxfId="15" priority="23" operator="equal">
      <formula>"Muy Baja"</formula>
    </cfRule>
    <cfRule type="cellIs" dxfId="14" priority="22" operator="equal">
      <formula>"Baja"</formula>
    </cfRule>
    <cfRule type="cellIs" dxfId="13" priority="21" operator="equal">
      <formula>"Media"</formula>
    </cfRule>
  </conditionalFormatting>
  <conditionalFormatting sqref="AK11:AK58">
    <cfRule type="cellIs" dxfId="12" priority="16" operator="equal">
      <formula>"Moderado"</formula>
    </cfRule>
    <cfRule type="cellIs" dxfId="11" priority="18" operator="equal">
      <formula>"Leve"</formula>
    </cfRule>
    <cfRule type="cellIs" dxfId="10" priority="17" operator="equal">
      <formula>"Menor"</formula>
    </cfRule>
    <cfRule type="cellIs" dxfId="9" priority="14" operator="equal">
      <formula>"Catastrófico"</formula>
    </cfRule>
    <cfRule type="cellIs" dxfId="8" priority="15" operator="equal">
      <formula>"Mayor"</formula>
    </cfRule>
  </conditionalFormatting>
  <conditionalFormatting sqref="AM11:AM58">
    <cfRule type="cellIs" dxfId="7" priority="10" operator="equal">
      <formula>"Extremo"</formula>
    </cfRule>
    <cfRule type="cellIs" dxfId="6" priority="12" operator="equal">
      <formula>"Moderado"</formula>
    </cfRule>
    <cfRule type="cellIs" dxfId="5" priority="13" operator="equal">
      <formula>"Bajo"</formula>
    </cfRule>
    <cfRule type="cellIs" dxfId="4" priority="11" operator="equal">
      <formula>"Alto"</formula>
    </cfRule>
  </conditionalFormatting>
  <conditionalFormatting sqref="AO11:AT30">
    <cfRule type="cellIs" dxfId="3" priority="3" operator="equal">
      <formula>"Moderado"</formula>
    </cfRule>
    <cfRule type="cellIs" dxfId="2" priority="2" operator="equal">
      <formula>"Alto"</formula>
    </cfRule>
    <cfRule type="cellIs" dxfId="1" priority="1" operator="equal">
      <formula>"Extremo"</formula>
    </cfRule>
    <cfRule type="cellIs" dxfId="0" priority="4" operator="equal">
      <formula>"Bajo"</formula>
    </cfRule>
  </conditionalFormatting>
  <pageMargins left="0.7" right="0.7" top="0.75" bottom="0.75" header="0.3" footer="0.3"/>
  <pageSetup orientation="portrait" r:id="rId1"/>
  <ignoredErrors>
    <ignoredError sqref="AL13" formula="1"/>
  </ignoredErrors>
  <drawing r:id="rId2"/>
  <extLst>
    <ext xmlns:x14="http://schemas.microsoft.com/office/spreadsheetml/2009/9/main" uri="{CCE6A557-97BC-4b89-ADB6-D9C93CAAB3DF}">
      <x14:dataValidations xmlns:xm="http://schemas.microsoft.com/office/excel/2006/main" count="30">
        <x14:dataValidation type="list" allowBlank="1" showInputMessage="1" showErrorMessage="1" xr:uid="{00000000-0002-0000-0100-000000000000}">
          <x14:formula1>
            <xm:f>'Opciones Tratamiento'!$B$9:$B$10</xm:f>
          </x14:formula1>
          <xm:sqref>AZ56:AZ57 AZ21 AZ15 AZ24 AZ26:AZ27 AZ29:AZ30 AZ32:AZ33 AZ35:AZ36 AZ38:AZ39 AZ41:AZ42 AZ44:AZ45 AZ47:AZ48 AZ50:AZ51 AZ53:AZ54</xm:sqref>
        </x14:dataValidation>
        <x14:dataValidation type="custom" allowBlank="1" showInputMessage="1" showErrorMessage="1" error="Recuerde que las acciones se generan bajo la medida de mitigar el riesgo" xr:uid="{00000000-0002-0000-0100-000001000000}">
          <x14:formula1>
            <xm:f>IF(OR(AN23='C:\Users\YOHASKY\AppData\Local\Temp\Rar$DIa15800.48189\[Anexo 62. Mapa De Riesgos Gestión Financiera (22-11-2021).xlsx]Opciones Tratamiento'!#REF!,AN23='C:\Users\YOHASKY\AppData\Local\Temp\Rar$DIa15800.48189\[Anexo 62. Mapa De Riesgos Gestión Financiera (22-11-2021).xlsx]Opciones Tratamiento'!#REF!,AN23='C:\Users\YOHASKY\AppData\Local\Temp\Rar$DIa15800.48189\[Anexo 62. Mapa De Riesgos Gestión Financiera (22-11-2021).xlsx]Opciones Tratamiento'!#REF!),ISBLANK(AN23),ISTEXT(AN23))</xm:f>
          </x14:formula1>
          <xm:sqref>AY23</xm:sqref>
        </x14:dataValidation>
        <x14:dataValidation type="custom" allowBlank="1" showInputMessage="1" showErrorMessage="1" error="Recuerde que las acciones se generan bajo la medida de mitigar el riesgo" xr:uid="{00000000-0002-0000-0100-000002000000}">
          <x14:formula1>
            <xm:f>IF(OR(AN23='C:\Users\YOHASKY\AppData\Local\Temp\Rar$DIa15800.48189\[Anexo 62. Mapa De Riesgos Gestión Financiera (22-11-2021).xlsx]Opciones Tratamiento'!#REF!,AN23='C:\Users\YOHASKY\AppData\Local\Temp\Rar$DIa15800.48189\[Anexo 62. Mapa De Riesgos Gestión Financiera (22-11-2021).xlsx]Opciones Tratamiento'!#REF!,AN23='C:\Users\YOHASKY\AppData\Local\Temp\Rar$DIa15800.48189\[Anexo 62. Mapa De Riesgos Gestión Financiera (22-11-2021).xlsx]Opciones Tratamiento'!#REF!),ISBLANK(AN23),ISTEXT(AN23))</xm:f>
          </x14:formula1>
          <xm:sqref>AX23</xm:sqref>
        </x14:dataValidation>
        <x14:dataValidation type="custom" allowBlank="1" showInputMessage="1" showErrorMessage="1" error="Recuerde que las acciones se generan bajo la medida de mitigar el riesgo" xr:uid="{00000000-0002-0000-0100-000003000000}">
          <x14:formula1>
            <xm:f>IF(OR(AN23='C:\Users\YOHASKY\AppData\Local\Temp\Rar$DIa15800.48189\[Anexo 62. Mapa De Riesgos Gestión Financiera (22-11-2021).xlsx]Opciones Tratamiento'!#REF!,AN23='C:\Users\YOHASKY\AppData\Local\Temp\Rar$DIa15800.48189\[Anexo 62. Mapa De Riesgos Gestión Financiera (22-11-2021).xlsx]Opciones Tratamiento'!#REF!,AN23='C:\Users\YOHASKY\AppData\Local\Temp\Rar$DIa15800.48189\[Anexo 62. Mapa De Riesgos Gestión Financiera (22-11-2021).xlsx]Opciones Tratamiento'!#REF!),ISBLANK(AN23),ISTEXT(AN23))</xm:f>
          </x14:formula1>
          <xm:sqref>AW23</xm:sqref>
        </x14:dataValidation>
        <x14:dataValidation type="custom" allowBlank="1" showInputMessage="1" showErrorMessage="1" error="Recuerde que las acciones se generan bajo la medida de mitigar el riesgo" xr:uid="{00000000-0002-0000-0100-000004000000}">
          <x14:formula1>
            <xm:f>IF(OR(AN23='C:\Users\YOHASKY\AppData\Local\Temp\Rar$DIa15800.48189\[Anexo 62. Mapa De Riesgos Gestión Financiera (22-11-2021).xlsx]Opciones Tratamiento'!#REF!,AN23='C:\Users\YOHASKY\AppData\Local\Temp\Rar$DIa15800.48189\[Anexo 62. Mapa De Riesgos Gestión Financiera (22-11-2021).xlsx]Opciones Tratamiento'!#REF!,AN23='C:\Users\YOHASKY\AppData\Local\Temp\Rar$DIa15800.48189\[Anexo 62. Mapa De Riesgos Gestión Financiera (22-11-2021).xlsx]Opciones Tratamiento'!#REF!),ISBLANK(AN23),ISTEXT(AN23))</xm:f>
          </x14:formula1>
          <xm:sqref>AV23</xm:sqref>
        </x14:dataValidation>
        <x14:dataValidation type="custom" allowBlank="1" showInputMessage="1" showErrorMessage="1" error="Recuerde que las acciones se generan bajo la medida de mitigar el riesgo" xr:uid="{00000000-0002-0000-0100-000005000000}">
          <x14:formula1>
            <xm:f>IF(OR(AN23='C:\Users\YOHASKY\AppData\Local\Temp\Rar$DIa15800.48189\[Anexo 62. Mapa De Riesgos Gestión Financiera (22-11-2021).xlsx]Opciones Tratamiento'!#REF!,AN23='C:\Users\YOHASKY\AppData\Local\Temp\Rar$DIa15800.48189\[Anexo 62. Mapa De Riesgos Gestión Financiera (22-11-2021).xlsx]Opciones Tratamiento'!#REF!,AN23='C:\Users\YOHASKY\AppData\Local\Temp\Rar$DIa15800.48189\[Anexo 62. Mapa De Riesgos Gestión Financiera (22-11-2021).xlsx]Opciones Tratamiento'!#REF!),ISBLANK(AN23),ISTEXT(AN23))</xm:f>
          </x14:formula1>
          <xm:sqref>AU23</xm:sqref>
        </x14:dataValidation>
        <x14:dataValidation type="list" allowBlank="1" showInputMessage="1" showErrorMessage="1" xr:uid="{00000000-0002-0000-0100-000006000000}">
          <x14:formula1>
            <xm:f>'C:\Users\YOHASKY\AppData\Local\Temp\Rar$DIa15800.48189\[Anexo 62. Mapa De Riesgos Gestión Financiera (22-11-2021).xlsx]Opciones Tratamiento'!#REF!</xm:f>
          </x14:formula1>
          <xm:sqref>AZ23 AZ19</xm:sqref>
        </x14:dataValidation>
        <x14:dataValidation type="custom" allowBlank="1" showInputMessage="1" showErrorMessage="1" error="Recuerde que las acciones se generan bajo la medida de mitigar el riesgo" xr:uid="{00000000-0002-0000-0100-000007000000}">
          <x14:formula1>
            <xm:f>IF(OR(AX14='Opciones Tratamiento'!$B$2,AX14='Opciones Tratamiento'!$B$3,AX14='Opciones Tratamiento'!$B$4),ISBLANK(AX14),ISTEXT(AX14))</xm:f>
          </x14:formula1>
          <xm:sqref>AY14</xm:sqref>
        </x14:dataValidation>
        <x14:dataValidation type="custom" allowBlank="1" showInputMessage="1" showErrorMessage="1" error="Recuerde que las acciones se generan bajo la medida de mitigar el riesgo" xr:uid="{00000000-0002-0000-0100-000008000000}">
          <x14:formula1>
            <xm:f>IF(OR(AN13='Opciones Tratamiento'!$B$2,AN13='Opciones Tratamiento'!$B$3,AN13='Opciones Tratamiento'!$B$4),ISBLANK(AN13),ISTEXT(AN13))</xm:f>
          </x14:formula1>
          <xm:sqref>AV15:AV16 AV19 AV21:AV22 AV24:AV58 AV13</xm:sqref>
        </x14:dataValidation>
        <x14:dataValidation type="custom" allowBlank="1" showInputMessage="1" showErrorMessage="1" error="Recuerde que las acciones se generan bajo la medida de mitigar el riesgo" xr:uid="{00000000-0002-0000-0100-000009000000}">
          <x14:formula1>
            <xm:f>IF(OR(AN12='Opciones Tratamiento'!$B$2,AN12='Opciones Tratamiento'!$B$3,AN12='Opciones Tratamiento'!$B$4),ISBLANK(AN12),ISTEXT(AN12))</xm:f>
          </x14:formula1>
          <xm:sqref>AW12:AW13 AW19 AW21:AW22 AW24:AW58 AW15:AW16</xm:sqref>
        </x14:dataValidation>
        <x14:dataValidation type="custom" allowBlank="1" showInputMessage="1" showErrorMessage="1" error="Recuerde que las acciones se generan bajo la medida de mitigar el riesgo" xr:uid="{00000000-0002-0000-0100-00000A000000}">
          <x14:formula1>
            <xm:f>IF(OR(AN12='Opciones Tratamiento'!$B$2,AN12='Opciones Tratamiento'!$B$3,AN12='Opciones Tratamiento'!$B$4),ISBLANK(AN12),ISTEXT(AN12))</xm:f>
          </x14:formula1>
          <xm:sqref>AX12:AX13 AX19 AX21:AX22 AX24:AX58 AX15:AX16</xm:sqref>
        </x14:dataValidation>
        <x14:dataValidation type="custom" allowBlank="1" showInputMessage="1" showErrorMessage="1" error="Recuerde que las acciones se generan bajo la medida de mitigar el riesgo" xr:uid="{00000000-0002-0000-0100-00000B000000}">
          <x14:formula1>
            <xm:f>IF(OR(AN13='Opciones Tratamiento'!$B$2,AN13='Opciones Tratamiento'!$B$3,AN13='Opciones Tratamiento'!$B$4),ISBLANK(AN13),ISTEXT(AN13))</xm:f>
          </x14:formula1>
          <xm:sqref>AY15:AY17 AY13 AY21:AY22 AY24:AY58</xm:sqref>
        </x14:dataValidation>
        <x14:dataValidation type="list" allowBlank="1" showInputMessage="1" showErrorMessage="1" xr:uid="{00000000-0002-0000-0100-00000C000000}">
          <x14:formula1>
            <xm:f>'Tabla Valoración controles'!$D$4:$D$6</xm:f>
          </x14:formula1>
          <xm:sqref>AB11:AB58</xm:sqref>
        </x14:dataValidation>
        <x14:dataValidation type="list" allowBlank="1" showInputMessage="1" showErrorMessage="1" xr:uid="{00000000-0002-0000-0100-00000D000000}">
          <x14:formula1>
            <xm:f>'Tabla Valoración controles'!$D$7:$D$8</xm:f>
          </x14:formula1>
          <xm:sqref>AC11:AC58</xm:sqref>
        </x14:dataValidation>
        <x14:dataValidation type="list" allowBlank="1" showInputMessage="1" showErrorMessage="1" xr:uid="{00000000-0002-0000-0100-00000E000000}">
          <x14:formula1>
            <xm:f>'Tabla Valoración controles'!$D$9:$D$10</xm:f>
          </x14:formula1>
          <xm:sqref>AE11:AE58</xm:sqref>
        </x14:dataValidation>
        <x14:dataValidation type="list" allowBlank="1" showInputMessage="1" showErrorMessage="1" xr:uid="{00000000-0002-0000-0100-00000F000000}">
          <x14:formula1>
            <xm:f>'Tabla Valoración controles'!$D$11:$D$12</xm:f>
          </x14:formula1>
          <xm:sqref>AF11:AF58</xm:sqref>
        </x14:dataValidation>
        <x14:dataValidation type="list" allowBlank="1" showInputMessage="1" showErrorMessage="1" xr:uid="{00000000-0002-0000-0100-000010000000}">
          <x14:formula1>
            <xm:f>'Tabla Valoración controles'!$D$13:$D$14</xm:f>
          </x14:formula1>
          <xm:sqref>AG11:AG58</xm:sqref>
        </x14:dataValidation>
        <x14:dataValidation type="list" allowBlank="1" showInputMessage="1" showErrorMessage="1" xr:uid="{00000000-0002-0000-0100-000011000000}">
          <x14:formula1>
            <xm:f>'Opciones Tratamiento'!$B$13:$B$19</xm:f>
          </x14:formula1>
          <xm:sqref>J11:J58</xm:sqref>
        </x14:dataValidation>
        <x14:dataValidation type="list" allowBlank="1" showInputMessage="1" showErrorMessage="1" xr:uid="{00000000-0002-0000-0100-000012000000}">
          <x14:formula1>
            <xm:f>'Opciones Tratamiento'!$E$2:$E$4</xm:f>
          </x14:formula1>
          <xm:sqref>C11:C58 D23:D58</xm:sqref>
        </x14:dataValidation>
        <x14:dataValidation type="list" allowBlank="1" showInputMessage="1" showErrorMessage="1" xr:uid="{00000000-0002-0000-0100-000013000000}">
          <x14:formula1>
            <xm:f>'Opciones Tratamiento'!$B$2:$B$5</xm:f>
          </x14:formula1>
          <xm:sqref>AN11:AN58</xm:sqref>
        </x14:dataValidation>
        <x14:dataValidation type="list" allowBlank="1" showInputMessage="1" showErrorMessage="1" xr:uid="{00000000-0002-0000-0100-000014000000}">
          <x14:formula1>
            <xm:f>'Tabla Impacto'!$F$210:$F$221</xm:f>
          </x14:formula1>
          <xm:sqref>N11:N58</xm:sqref>
        </x14:dataValidation>
        <x14:dataValidation type="custom" allowBlank="1" showInputMessage="1" showErrorMessage="1" error="Recuerde que las acciones se generan bajo la medida de mitigar el riesgo" xr:uid="{00000000-0002-0000-0100-000016000000}">
          <x14:formula1>
            <xm:f>IF(OR(AN11='https://corpocesar1-my.sharepoint.com/personal/calidad_corpocesar_gov_co/Documents/COMPARTIDO/PROCESOS SIGC/PCA_3_COMPRAS Y CONTRATACION/MAPA DE RIESGO/[10. MR Gestión De Compras Y Contrataciones - OK (30-11-2021).xlsx]Opciones Tratamiento'!#REF!,AN11='https://corpocesar1-my.sharepoint.com/personal/calidad_corpocesar_gov_co/Documents/COMPARTIDO/PROCESOS SIGC/PCA_3_COMPRAS Y CONTRATACION/MAPA DE RIESGO/[10. MR Gestión De Compras Y Contrataciones - OK (30-11-2021).xlsx]Opciones Tratamiento'!#REF!,AN11='https://corpocesar1-my.sharepoint.com/personal/calidad_corpocesar_gov_co/Documents/COMPARTIDO/PROCESOS SIGC/PCA_3_COMPRAS Y CONTRATACION/MAPA DE RIESGO/[10. MR Gestión De Compras Y Contrataciones - OK (30-11-2021).xlsx]Opciones Tratamiento'!#REF!),ISBLANK(AN11),ISTEXT(AN11))</xm:f>
          </x14:formula1>
          <xm:sqref>AX11 AX17:AX18 AX20 AX14</xm:sqref>
        </x14:dataValidation>
        <x14:dataValidation type="custom" allowBlank="1" showInputMessage="1" showErrorMessage="1" error="Recuerde que las acciones se generan bajo la medida de mitigar el riesgo" xr:uid="{00000000-0002-0000-0100-000017000000}">
          <x14:formula1>
            <xm:f>IF(OR(AN11='https://corpocesar1-my.sharepoint.com/personal/calidad_corpocesar_gov_co/Documents/COMPARTIDO/PROCESOS SIGC/PCA_3_COMPRAS Y CONTRATACION/MAPA DE RIESGO/[10. MR Gestión De Compras Y Contrataciones - OK (30-11-2021).xlsx]Opciones Tratamiento'!#REF!,AN11='https://corpocesar1-my.sharepoint.com/personal/calidad_corpocesar_gov_co/Documents/COMPARTIDO/PROCESOS SIGC/PCA_3_COMPRAS Y CONTRATACION/MAPA DE RIESGO/[10. MR Gestión De Compras Y Contrataciones - OK (30-11-2021).xlsx]Opciones Tratamiento'!#REF!,AN11='https://corpocesar1-my.sharepoint.com/personal/calidad_corpocesar_gov_co/Documents/COMPARTIDO/PROCESOS SIGC/PCA_3_COMPRAS Y CONTRATACION/MAPA DE RIESGO/[10. MR Gestión De Compras Y Contrataciones - OK (30-11-2021).xlsx]Opciones Tratamiento'!#REF!),ISBLANK(AN11),ISTEXT(AN11))</xm:f>
          </x14:formula1>
          <xm:sqref>AW11 AW17:AW18 AW20 AW14</xm:sqref>
        </x14:dataValidation>
        <x14:dataValidation type="custom" allowBlank="1" showInputMessage="1" showErrorMessage="1" error="Recuerde que las acciones se generan bajo la medida de mitigar el riesgo" xr:uid="{00000000-0002-0000-0100-000018000000}">
          <x14:formula1>
            <xm:f>IF(OR(AN11='https://corpocesar1-my.sharepoint.com/personal/calidad_corpocesar_gov_co/Documents/COMPARTIDO/PROCESOS SIGC/PCA_3_COMPRAS Y CONTRATACION/MAPA DE RIESGO/[10. MR Gestión De Compras Y Contrataciones - OK (30-11-2021).xlsx]Opciones Tratamiento'!#REF!,AN11='https://corpocesar1-my.sharepoint.com/personal/calidad_corpocesar_gov_co/Documents/COMPARTIDO/PROCESOS SIGC/PCA_3_COMPRAS Y CONTRATACION/MAPA DE RIESGO/[10. MR Gestión De Compras Y Contrataciones - OK (30-11-2021).xlsx]Opciones Tratamiento'!#REF!,AN11='https://corpocesar1-my.sharepoint.com/personal/calidad_corpocesar_gov_co/Documents/COMPARTIDO/PROCESOS SIGC/PCA_3_COMPRAS Y CONTRATACION/MAPA DE RIESGO/[10. MR Gestión De Compras Y Contrataciones - OK (30-11-2021).xlsx]Opciones Tratamiento'!#REF!),ISBLANK(AN11),ISTEXT(AN11))</xm:f>
          </x14:formula1>
          <xm:sqref>AV11:AV12 AV17:AV18 AV20 AV14</xm:sqref>
        </x14:dataValidation>
        <x14:dataValidation type="custom" allowBlank="1" showInputMessage="1" showErrorMessage="1" error="Recuerde que las acciones se generan bajo la medida de mitigar el riesgo" xr:uid="{00000000-0002-0000-0100-000019000000}">
          <x14:formula1>
            <xm:f>IF(OR(AN19='https://corpocesar1-my.sharepoint.com/personal/calidad_corpocesar_gov_co/Documents/COMPARTIDO/PROCESOS SIGC/PCA_3_COMPRAS Y CONTRATACION/MAPA DE RIESGO/[10. MR Gestión De Compras Y Contrataciones - OK (30-11-2021).xlsx]Opciones Tratamiento'!#REF!,AN19='https://corpocesar1-my.sharepoint.com/personal/calidad_corpocesar_gov_co/Documents/COMPARTIDO/PROCESOS SIGC/PCA_3_COMPRAS Y CONTRATACION/MAPA DE RIESGO/[10. MR Gestión De Compras Y Contrataciones - OK (30-11-2021).xlsx]Opciones Tratamiento'!#REF!,AN19='https://corpocesar1-my.sharepoint.com/personal/calidad_corpocesar_gov_co/Documents/COMPARTIDO/PROCESOS SIGC/PCA_3_COMPRAS Y CONTRATACION/MAPA DE RIESGO/[10. MR Gestión De Compras Y Contrataciones - OK (30-11-2021).xlsx]Opciones Tratamiento'!#REF!),ISBLANK(AN19),ISTEXT(AN19))</xm:f>
          </x14:formula1>
          <xm:sqref>AU19</xm:sqref>
        </x14:dataValidation>
        <x14:dataValidation type="custom" allowBlank="1" showInputMessage="1" showErrorMessage="1" error="Recuerde que las acciones se generan bajo la medida de mitigar el riesgo" xr:uid="{00000000-0002-0000-0100-00001A000000}">
          <x14:formula1>
            <xm:f>IF(OR(AN12='https://corpocesar1-my.sharepoint.com/personal/calidad_corpocesar_gov_co/Documents/COMPARTIDO/PROCESOS SIGC/PCA_3_COMPRAS Y CONTRATACION/MAPA DE RIESGO/[10. MR Gestión De Compras Y Contrataciones - OK (30-11-2021).xlsx]Opciones Tratamiento'!#REF!,AN12='https://corpocesar1-my.sharepoint.com/personal/calidad_corpocesar_gov_co/Documents/COMPARTIDO/PROCESOS SIGC/PCA_3_COMPRAS Y CONTRATACION/MAPA DE RIESGO/[10. MR Gestión De Compras Y Contrataciones - OK (30-11-2021).xlsx]Opciones Tratamiento'!#REF!,AN12='https://corpocesar1-my.sharepoint.com/personal/calidad_corpocesar_gov_co/Documents/COMPARTIDO/PROCESOS SIGC/PCA_3_COMPRAS Y CONTRATACION/MAPA DE RIESGO/[10. MR Gestión De Compras Y Contrataciones - OK (30-11-2021).xlsx]Opciones Tratamiento'!#REF!),ISBLANK(AN12),ISTEXT(AN12))</xm:f>
          </x14:formula1>
          <xm:sqref>AY11:AY12</xm:sqref>
        </x14:dataValidation>
        <x14:dataValidation type="custom" allowBlank="1" showInputMessage="1" showErrorMessage="1" error="Recuerde que las acciones se generan bajo la medida de mitigar el riesgo" xr:uid="{00000000-0002-0000-0100-00001B000000}">
          <x14:formula1>
            <xm:f>IF(OR(AN19='Opciones Tratamiento'!$B$2,AN19='Opciones Tratamiento'!$B$3,AN19='Opciones Tratamiento'!$B$4),ISBLANK(AN19),ISTEXT(AN19))</xm:f>
          </x14:formula1>
          <xm:sqref>AU18 AU20</xm:sqref>
        </x14:dataValidation>
        <x14:dataValidation type="custom" allowBlank="1" showInputMessage="1" showErrorMessage="1" error="Recuerde que las acciones se generan bajo la medida de mitigar el riesgo" xr:uid="{00000000-0002-0000-0100-00001C000000}">
          <x14:formula1>
            <xm:f>IF(OR(AN11='Opciones Tratamiento'!$B$2,AN11='Opciones Tratamiento'!$B$3,AN11='Opciones Tratamiento'!$B$4),ISBLANK(AN11),ISTEXT(AN11))</xm:f>
          </x14:formula1>
          <xm:sqref>AU24:AU58 AU11:AU16 AU22</xm:sqref>
        </x14:dataValidation>
        <x14:dataValidation type="custom" allowBlank="1" showInputMessage="1" showErrorMessage="1" error="Recuerde que las acciones se generan bajo la medida de mitigar el riesgo" xr:uid="{00000000-0002-0000-0100-00001D000000}">
          <x14:formula1>
            <xm:f>IF(OR(AN20='https://corpocesar1-my.sharepoint.com/personal/calidad_corpocesar_gov_co/Documents/COMPARTIDO/PROCESOS SIGC/PCA_3_COMPRAS Y CONTRATACION/MAPA DE RIESGO/[10. MR Gestión De Compras Y Contrataciones - OK (30-11-2021).xlsx]Opciones Tratamiento'!#REF!,AN20='https://corpocesar1-my.sharepoint.com/personal/calidad_corpocesar_gov_co/Documents/COMPARTIDO/PROCESOS SIGC/PCA_3_COMPRAS Y CONTRATACION/MAPA DE RIESGO/[10. MR Gestión De Compras Y Contrataciones - OK (30-11-2021).xlsx]Opciones Tratamiento'!#REF!,AN20='https://corpocesar1-my.sharepoint.com/personal/calidad_corpocesar_gov_co/Documents/COMPARTIDO/PROCESOS SIGC/PCA_3_COMPRAS Y CONTRATACION/MAPA DE RIESGO/[10. MR Gestión De Compras Y Contrataciones - OK (30-11-2021).xlsx]Opciones Tratamiento'!#REF!),ISBLANK(AN20),ISTEXT(AN20))</xm:f>
          </x14:formula1>
          <xm:sqref>AY20 BA20 BC20</xm:sqref>
        </x14:dataValidation>
        <x14:dataValidation type="list" allowBlank="1" showInputMessage="1" showErrorMessage="1" xr:uid="{00000000-0002-0000-0100-00001E000000}">
          <x14:formula1>
            <xm:f>'C:\Users\Planeacion-OCAD\Desktop\H -\Mapas de Riesgos\Matriz de Riesgos y Oportunidades_ para vigencia 2025\[2025_PCE_3_Mapa de Riesgos y Oportunidades_ Proceso Gestión y Mejora del Sistema.xlsx]Opciones Tratamiento'!#REF!</xm:f>
          </x14:formula1>
          <xm:sqref>AO31:AT58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427" t="s">
        <v>167</v>
      </c>
      <c r="C2" s="427"/>
      <c r="D2" s="427"/>
      <c r="E2" s="427"/>
      <c r="F2" s="427"/>
      <c r="G2" s="427"/>
      <c r="H2" s="427"/>
      <c r="I2" s="427"/>
      <c r="J2" s="395" t="s">
        <v>15</v>
      </c>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427"/>
      <c r="C3" s="427"/>
      <c r="D3" s="427"/>
      <c r="E3" s="427"/>
      <c r="F3" s="427"/>
      <c r="G3" s="427"/>
      <c r="H3" s="427"/>
      <c r="I3" s="427"/>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427"/>
      <c r="C4" s="427"/>
      <c r="D4" s="427"/>
      <c r="E4" s="427"/>
      <c r="F4" s="427"/>
      <c r="G4" s="427"/>
      <c r="H4" s="427"/>
      <c r="I4" s="427"/>
      <c r="J4" s="395"/>
      <c r="K4" s="395"/>
      <c r="L4" s="395"/>
      <c r="M4" s="395"/>
      <c r="N4" s="395"/>
      <c r="O4" s="395"/>
      <c r="P4" s="395"/>
      <c r="Q4" s="395"/>
      <c r="R4" s="395"/>
      <c r="S4" s="395"/>
      <c r="T4" s="395"/>
      <c r="U4" s="395"/>
      <c r="V4" s="395"/>
      <c r="W4" s="395"/>
      <c r="X4" s="395"/>
      <c r="Y4" s="395"/>
      <c r="Z4" s="395"/>
      <c r="AA4" s="395"/>
      <c r="AB4" s="395"/>
      <c r="AC4" s="395"/>
      <c r="AD4" s="395"/>
      <c r="AE4" s="395"/>
      <c r="AF4" s="395"/>
      <c r="AG4" s="395"/>
      <c r="AH4" s="395"/>
      <c r="AI4" s="395"/>
      <c r="AJ4" s="395"/>
      <c r="AK4" s="395"/>
      <c r="AL4" s="395"/>
      <c r="AM4" s="395"/>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342" t="s">
        <v>102</v>
      </c>
      <c r="C6" s="342"/>
      <c r="D6" s="343"/>
      <c r="E6" s="380" t="s">
        <v>168</v>
      </c>
      <c r="F6" s="381"/>
      <c r="G6" s="381"/>
      <c r="H6" s="381"/>
      <c r="I6" s="382"/>
      <c r="J6" s="391" t="str">
        <f>IF(AND('Mapa final'!$L$11="Muy Alta",'Mapa final'!$P$11="Leve"),CONCATENATE("R",'Mapa final'!$A$11),"")</f>
        <v/>
      </c>
      <c r="K6" s="392"/>
      <c r="L6" s="392" t="str">
        <f>IF(AND('Mapa final'!$L$14="Muy Alta",'Mapa final'!$P$14="Leve"),CONCATENATE("R",'Mapa final'!$A$14),"")</f>
        <v/>
      </c>
      <c r="M6" s="392"/>
      <c r="N6" s="392" t="str">
        <f>IF(AND('Mapa final'!$L$17="Muy Alta",'Mapa final'!$P$17="Leve"),CONCATENATE("R",'Mapa final'!$A$17),"")</f>
        <v/>
      </c>
      <c r="O6" s="394"/>
      <c r="P6" s="391" t="str">
        <f>IF(AND('Mapa final'!$L$11="Muy Alta",'Mapa final'!$P$11="Menor"),CONCATENATE("R",'Mapa final'!$A$11),"")</f>
        <v/>
      </c>
      <c r="Q6" s="392"/>
      <c r="R6" s="392" t="str">
        <f>IF(AND('Mapa final'!$L$14="Muy Alta",'Mapa final'!$P$14="Menor"),CONCATENATE("R",'Mapa final'!$A$14),"")</f>
        <v/>
      </c>
      <c r="S6" s="392"/>
      <c r="T6" s="392" t="str">
        <f>IF(AND('Mapa final'!$L$17="Muy Alta",'Mapa final'!$P$17="Menor"),CONCATENATE("R",'Mapa final'!$A$17),"")</f>
        <v/>
      </c>
      <c r="U6" s="394"/>
      <c r="V6" s="391" t="str">
        <f>IF(AND('Mapa final'!$L$11="Muy Alta",'Mapa final'!$P$11="Moderado"),CONCATENATE("R",'Mapa final'!$A$11),"")</f>
        <v/>
      </c>
      <c r="W6" s="392"/>
      <c r="X6" s="392" t="str">
        <f>IF(AND('Mapa final'!$L$14="Muy Alta",'Mapa final'!$P$14="Moderado"),CONCATENATE("R",'Mapa final'!$A$14),"")</f>
        <v/>
      </c>
      <c r="Y6" s="392"/>
      <c r="Z6" s="392" t="str">
        <f>IF(AND('Mapa final'!$L$17="Muy Alta",'Mapa final'!$P$17="Moderado"),CONCATENATE("R",'Mapa final'!$A$17),"")</f>
        <v/>
      </c>
      <c r="AA6" s="394"/>
      <c r="AB6" s="391" t="str">
        <f>IF(AND('Mapa final'!$L$11="Muy Alta",'Mapa final'!$P$11="Mayor"),CONCATENATE("R",'Mapa final'!$A$11),"")</f>
        <v/>
      </c>
      <c r="AC6" s="392"/>
      <c r="AD6" s="392" t="str">
        <f>IF(AND('Mapa final'!$L$14="Muy Alta",'Mapa final'!$P$14="Mayor"),CONCATENATE("R",'Mapa final'!$A$14),"")</f>
        <v/>
      </c>
      <c r="AE6" s="392"/>
      <c r="AF6" s="392" t="str">
        <f>IF(AND('Mapa final'!$L$17="Muy Alta",'Mapa final'!$P$17="Mayor"),CONCATENATE("R",'Mapa final'!$A$17),"")</f>
        <v/>
      </c>
      <c r="AG6" s="394"/>
      <c r="AH6" s="406" t="str">
        <f>IF(AND('Mapa final'!$L$11="Muy Alta",'Mapa final'!$P$11="Catastrófico"),CONCATENATE("R",'Mapa final'!$A$11),"")</f>
        <v/>
      </c>
      <c r="AI6" s="407"/>
      <c r="AJ6" s="407" t="str">
        <f>IF(AND('Mapa final'!$L$14="Muy Alta",'Mapa final'!$P$14="Catastrófico"),CONCATENATE("R",'Mapa final'!$A$14),"")</f>
        <v/>
      </c>
      <c r="AK6" s="407"/>
      <c r="AL6" s="407" t="str">
        <f>IF(AND('Mapa final'!$L$17="Muy Alta",'Mapa final'!$P$17="Catastrófico"),CONCATENATE("R",'Mapa final'!$A$17),"")</f>
        <v/>
      </c>
      <c r="AM6" s="408"/>
      <c r="AO6" s="344" t="s">
        <v>169</v>
      </c>
      <c r="AP6" s="345"/>
      <c r="AQ6" s="345"/>
      <c r="AR6" s="345"/>
      <c r="AS6" s="345"/>
      <c r="AT6" s="346"/>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342"/>
      <c r="C7" s="342"/>
      <c r="D7" s="343"/>
      <c r="E7" s="383"/>
      <c r="F7" s="384"/>
      <c r="G7" s="384"/>
      <c r="H7" s="384"/>
      <c r="I7" s="385"/>
      <c r="J7" s="393"/>
      <c r="K7" s="389"/>
      <c r="L7" s="389"/>
      <c r="M7" s="389"/>
      <c r="N7" s="389"/>
      <c r="O7" s="390"/>
      <c r="P7" s="393"/>
      <c r="Q7" s="389"/>
      <c r="R7" s="389"/>
      <c r="S7" s="389"/>
      <c r="T7" s="389"/>
      <c r="U7" s="390"/>
      <c r="V7" s="393"/>
      <c r="W7" s="389"/>
      <c r="X7" s="389"/>
      <c r="Y7" s="389"/>
      <c r="Z7" s="389"/>
      <c r="AA7" s="390"/>
      <c r="AB7" s="393"/>
      <c r="AC7" s="389"/>
      <c r="AD7" s="389"/>
      <c r="AE7" s="389"/>
      <c r="AF7" s="389"/>
      <c r="AG7" s="390"/>
      <c r="AH7" s="400"/>
      <c r="AI7" s="401"/>
      <c r="AJ7" s="401"/>
      <c r="AK7" s="401"/>
      <c r="AL7" s="401"/>
      <c r="AM7" s="402"/>
      <c r="AN7" s="80"/>
      <c r="AO7" s="347"/>
      <c r="AP7" s="348"/>
      <c r="AQ7" s="348"/>
      <c r="AR7" s="348"/>
      <c r="AS7" s="348"/>
      <c r="AT7" s="349"/>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342"/>
      <c r="C8" s="342"/>
      <c r="D8" s="343"/>
      <c r="E8" s="383"/>
      <c r="F8" s="384"/>
      <c r="G8" s="384"/>
      <c r="H8" s="384"/>
      <c r="I8" s="385"/>
      <c r="J8" s="393" t="str">
        <f>IF(AND('Mapa final'!$L$20="Muy Alta",'Mapa final'!$P$20="Leve"),CONCATENATE("R",'Mapa final'!$A$20),"")</f>
        <v/>
      </c>
      <c r="K8" s="389"/>
      <c r="L8" s="389" t="str">
        <f>IF(AND('Mapa final'!$L$23="Muy Alta",'Mapa final'!$P$23="Leve"),CONCATENATE("R",'Mapa final'!$A$23),"")</f>
        <v/>
      </c>
      <c r="M8" s="389"/>
      <c r="N8" s="389" t="str">
        <f>IF(AND('Mapa final'!$L$29="Muy Alta",'Mapa final'!$P$29="Leve"),CONCATENATE("R",'Mapa final'!$A$29),"")</f>
        <v/>
      </c>
      <c r="O8" s="390"/>
      <c r="P8" s="393" t="str">
        <f>IF(AND('Mapa final'!$L$20="Muy Alta",'Mapa final'!$P$20="Menor"),CONCATENATE("R",'Mapa final'!$A$20),"")</f>
        <v/>
      </c>
      <c r="Q8" s="389"/>
      <c r="R8" s="389" t="str">
        <f>IF(AND('Mapa final'!$L$23="Muy Alta",'Mapa final'!$P$23="Menor"),CONCATENATE("R",'Mapa final'!$A$23),"")</f>
        <v/>
      </c>
      <c r="S8" s="389"/>
      <c r="T8" s="389" t="str">
        <f>IF(AND('Mapa final'!$L$29="Muy Alta",'Mapa final'!$P$29="Menor"),CONCATENATE("R",'Mapa final'!$A$29),"")</f>
        <v/>
      </c>
      <c r="U8" s="390"/>
      <c r="V8" s="393" t="str">
        <f>IF(AND('Mapa final'!$L$20="Muy Alta",'Mapa final'!$P$20="Moderado"),CONCATENATE("R",'Mapa final'!$A$20),"")</f>
        <v/>
      </c>
      <c r="W8" s="389"/>
      <c r="X8" s="389" t="str">
        <f>IF(AND('Mapa final'!$L$23="Muy Alta",'Mapa final'!$P$23="Moderado"),CONCATENATE("R",'Mapa final'!$A$23),"")</f>
        <v/>
      </c>
      <c r="Y8" s="389"/>
      <c r="Z8" s="389" t="str">
        <f>IF(AND('Mapa final'!$L$29="Muy Alta",'Mapa final'!$P$29="Moderado"),CONCATENATE("R",'Mapa final'!$A$29),"")</f>
        <v/>
      </c>
      <c r="AA8" s="390"/>
      <c r="AB8" s="393" t="str">
        <f>IF(AND('Mapa final'!$L$20="Muy Alta",'Mapa final'!$P$20="Mayor"),CONCATENATE("R",'Mapa final'!$A$20),"")</f>
        <v/>
      </c>
      <c r="AC8" s="389"/>
      <c r="AD8" s="389" t="str">
        <f>IF(AND('Mapa final'!$L$23="Muy Alta",'Mapa final'!$P$23="Mayor"),CONCATENATE("R",'Mapa final'!$A$23),"")</f>
        <v/>
      </c>
      <c r="AE8" s="389"/>
      <c r="AF8" s="389" t="str">
        <f>IF(AND('Mapa final'!$L$29="Muy Alta",'Mapa final'!$P$29="Mayor"),CONCATENATE("R",'Mapa final'!$A$29),"")</f>
        <v/>
      </c>
      <c r="AG8" s="390"/>
      <c r="AH8" s="400" t="str">
        <f>IF(AND('Mapa final'!$L$20="Muy Alta",'Mapa final'!$P$20="Catastrófico"),CONCATENATE("R",'Mapa final'!$A$20),"")</f>
        <v/>
      </c>
      <c r="AI8" s="401"/>
      <c r="AJ8" s="401" t="str">
        <f>IF(AND('Mapa final'!$L$23="Muy Alta",'Mapa final'!$P$23="Catastrófico"),CONCATENATE("R",'Mapa final'!$A$23),"")</f>
        <v/>
      </c>
      <c r="AK8" s="401"/>
      <c r="AL8" s="401" t="str">
        <f>IF(AND('Mapa final'!$L$29="Muy Alta",'Mapa final'!$P$29="Catastrófico"),CONCATENATE("R",'Mapa final'!$A$29),"")</f>
        <v/>
      </c>
      <c r="AM8" s="402"/>
      <c r="AN8" s="80"/>
      <c r="AO8" s="347"/>
      <c r="AP8" s="348"/>
      <c r="AQ8" s="348"/>
      <c r="AR8" s="348"/>
      <c r="AS8" s="348"/>
      <c r="AT8" s="349"/>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342"/>
      <c r="C9" s="342"/>
      <c r="D9" s="343"/>
      <c r="E9" s="383"/>
      <c r="F9" s="384"/>
      <c r="G9" s="384"/>
      <c r="H9" s="384"/>
      <c r="I9" s="385"/>
      <c r="J9" s="393"/>
      <c r="K9" s="389"/>
      <c r="L9" s="389"/>
      <c r="M9" s="389"/>
      <c r="N9" s="389"/>
      <c r="O9" s="390"/>
      <c r="P9" s="393"/>
      <c r="Q9" s="389"/>
      <c r="R9" s="389"/>
      <c r="S9" s="389"/>
      <c r="T9" s="389"/>
      <c r="U9" s="390"/>
      <c r="V9" s="393"/>
      <c r="W9" s="389"/>
      <c r="X9" s="389"/>
      <c r="Y9" s="389"/>
      <c r="Z9" s="389"/>
      <c r="AA9" s="390"/>
      <c r="AB9" s="393"/>
      <c r="AC9" s="389"/>
      <c r="AD9" s="389"/>
      <c r="AE9" s="389"/>
      <c r="AF9" s="389"/>
      <c r="AG9" s="390"/>
      <c r="AH9" s="400"/>
      <c r="AI9" s="401"/>
      <c r="AJ9" s="401"/>
      <c r="AK9" s="401"/>
      <c r="AL9" s="401"/>
      <c r="AM9" s="402"/>
      <c r="AN9" s="80"/>
      <c r="AO9" s="347"/>
      <c r="AP9" s="348"/>
      <c r="AQ9" s="348"/>
      <c r="AR9" s="348"/>
      <c r="AS9" s="348"/>
      <c r="AT9" s="349"/>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342"/>
      <c r="C10" s="342"/>
      <c r="D10" s="343"/>
      <c r="E10" s="383"/>
      <c r="F10" s="384"/>
      <c r="G10" s="384"/>
      <c r="H10" s="384"/>
      <c r="I10" s="385"/>
      <c r="J10" s="393" t="str">
        <f>IF(AND('Mapa final'!$L$35="Muy Alta",'Mapa final'!$P$35="Leve"),CONCATENATE("R",'Mapa final'!$A$35),"")</f>
        <v/>
      </c>
      <c r="K10" s="389"/>
      <c r="L10" s="389" t="str">
        <f>IF(AND('Mapa final'!$L$41="Muy Alta",'Mapa final'!$P$41="Leve"),CONCATENATE("R",'Mapa final'!$A$41),"")</f>
        <v/>
      </c>
      <c r="M10" s="389"/>
      <c r="N10" s="389" t="str">
        <f>IF(AND('Mapa final'!$L$47="Muy Alta",'Mapa final'!$P$47="Leve"),CONCATENATE("R",'Mapa final'!$A$47),"")</f>
        <v/>
      </c>
      <c r="O10" s="390"/>
      <c r="P10" s="393" t="str">
        <f>IF(AND('Mapa final'!$L$35="Muy Alta",'Mapa final'!$P$35="Menor"),CONCATENATE("R",'Mapa final'!$A$35),"")</f>
        <v/>
      </c>
      <c r="Q10" s="389"/>
      <c r="R10" s="389" t="str">
        <f>IF(AND('Mapa final'!$L$41="Muy Alta",'Mapa final'!$P$41="Menor"),CONCATENATE("R",'Mapa final'!$A$41),"")</f>
        <v/>
      </c>
      <c r="S10" s="389"/>
      <c r="T10" s="389" t="str">
        <f>IF(AND('Mapa final'!$L$47="Muy Alta",'Mapa final'!$P$47="Menor"),CONCATENATE("R",'Mapa final'!$A$47),"")</f>
        <v/>
      </c>
      <c r="U10" s="390"/>
      <c r="V10" s="393" t="str">
        <f>IF(AND('Mapa final'!$L$35="Muy Alta",'Mapa final'!$P$35="Moderado"),CONCATENATE("R",'Mapa final'!$A$35),"")</f>
        <v/>
      </c>
      <c r="W10" s="389"/>
      <c r="X10" s="389" t="str">
        <f>IF(AND('Mapa final'!$L$41="Muy Alta",'Mapa final'!$P$41="Moderado"),CONCATENATE("R",'Mapa final'!$A$41),"")</f>
        <v/>
      </c>
      <c r="Y10" s="389"/>
      <c r="Z10" s="389" t="str">
        <f>IF(AND('Mapa final'!$L$47="Muy Alta",'Mapa final'!$P$47="Moderado"),CONCATENATE("R",'Mapa final'!$A$47),"")</f>
        <v/>
      </c>
      <c r="AA10" s="390"/>
      <c r="AB10" s="393" t="str">
        <f>IF(AND('Mapa final'!$L$35="Muy Alta",'Mapa final'!$P$35="Mayor"),CONCATENATE("R",'Mapa final'!$A$35),"")</f>
        <v/>
      </c>
      <c r="AC10" s="389"/>
      <c r="AD10" s="389" t="str">
        <f>IF(AND('Mapa final'!$L$41="Muy Alta",'Mapa final'!$P$41="Mayor"),CONCATENATE("R",'Mapa final'!$A$41),"")</f>
        <v/>
      </c>
      <c r="AE10" s="389"/>
      <c r="AF10" s="389" t="str">
        <f>IF(AND('Mapa final'!$L$47="Muy Alta",'Mapa final'!$P$47="Mayor"),CONCATENATE("R",'Mapa final'!$A$47),"")</f>
        <v/>
      </c>
      <c r="AG10" s="390"/>
      <c r="AH10" s="400" t="str">
        <f>IF(AND('Mapa final'!$L$35="Muy Alta",'Mapa final'!$P$35="Catastrófico"),CONCATENATE("R",'Mapa final'!$A$35),"")</f>
        <v/>
      </c>
      <c r="AI10" s="401"/>
      <c r="AJ10" s="401" t="str">
        <f>IF(AND('Mapa final'!$L$41="Muy Alta",'Mapa final'!$P$41="Catastrófico"),CONCATENATE("R",'Mapa final'!$A$41),"")</f>
        <v/>
      </c>
      <c r="AK10" s="401"/>
      <c r="AL10" s="401" t="str">
        <f>IF(AND('Mapa final'!$L$47="Muy Alta",'Mapa final'!$P$47="Catastrófico"),CONCATENATE("R",'Mapa final'!$A$47),"")</f>
        <v/>
      </c>
      <c r="AM10" s="402"/>
      <c r="AN10" s="80"/>
      <c r="AO10" s="347"/>
      <c r="AP10" s="348"/>
      <c r="AQ10" s="348"/>
      <c r="AR10" s="348"/>
      <c r="AS10" s="348"/>
      <c r="AT10" s="349"/>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342"/>
      <c r="C11" s="342"/>
      <c r="D11" s="343"/>
      <c r="E11" s="383"/>
      <c r="F11" s="384"/>
      <c r="G11" s="384"/>
      <c r="H11" s="384"/>
      <c r="I11" s="385"/>
      <c r="J11" s="393"/>
      <c r="K11" s="389"/>
      <c r="L11" s="389"/>
      <c r="M11" s="389"/>
      <c r="N11" s="389"/>
      <c r="O11" s="390"/>
      <c r="P11" s="393"/>
      <c r="Q11" s="389"/>
      <c r="R11" s="389"/>
      <c r="S11" s="389"/>
      <c r="T11" s="389"/>
      <c r="U11" s="390"/>
      <c r="V11" s="393"/>
      <c r="W11" s="389"/>
      <c r="X11" s="389"/>
      <c r="Y11" s="389"/>
      <c r="Z11" s="389"/>
      <c r="AA11" s="390"/>
      <c r="AB11" s="393"/>
      <c r="AC11" s="389"/>
      <c r="AD11" s="389"/>
      <c r="AE11" s="389"/>
      <c r="AF11" s="389"/>
      <c r="AG11" s="390"/>
      <c r="AH11" s="400"/>
      <c r="AI11" s="401"/>
      <c r="AJ11" s="401"/>
      <c r="AK11" s="401"/>
      <c r="AL11" s="401"/>
      <c r="AM11" s="402"/>
      <c r="AN11" s="80"/>
      <c r="AO11" s="347"/>
      <c r="AP11" s="348"/>
      <c r="AQ11" s="348"/>
      <c r="AR11" s="348"/>
      <c r="AS11" s="348"/>
      <c r="AT11" s="349"/>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342"/>
      <c r="C12" s="342"/>
      <c r="D12" s="343"/>
      <c r="E12" s="383"/>
      <c r="F12" s="384"/>
      <c r="G12" s="384"/>
      <c r="H12" s="384"/>
      <c r="I12" s="385"/>
      <c r="J12" s="393" t="str">
        <f>IF(AND('Mapa final'!$L$53="Muy Alta",'Mapa final'!$P$53="Leve"),CONCATENATE("R",'Mapa final'!$A$53),"")</f>
        <v/>
      </c>
      <c r="K12" s="389"/>
      <c r="L12" s="389" t="str">
        <f>IF(AND('Mapa final'!$L$59="Muy Alta",'Mapa final'!$P$59="Leve"),CONCATENATE("R",'Mapa final'!$A$59),"")</f>
        <v/>
      </c>
      <c r="M12" s="389"/>
      <c r="N12" s="389" t="str">
        <f>IF(AND('Mapa final'!$L$65="Muy Alta",'Mapa final'!$P$65="Leve"),CONCATENATE("R",'Mapa final'!$A$65),"")</f>
        <v/>
      </c>
      <c r="O12" s="390"/>
      <c r="P12" s="393" t="str">
        <f>IF(AND('Mapa final'!$L$53="Muy Alta",'Mapa final'!$P$53="Menor"),CONCATENATE("R",'Mapa final'!$A$53),"")</f>
        <v/>
      </c>
      <c r="Q12" s="389"/>
      <c r="R12" s="389" t="str">
        <f>IF(AND('Mapa final'!$L$59="Muy Alta",'Mapa final'!$P$59="Menor"),CONCATENATE("R",'Mapa final'!$A$59),"")</f>
        <v/>
      </c>
      <c r="S12" s="389"/>
      <c r="T12" s="389" t="str">
        <f>IF(AND('Mapa final'!$L$65="Muy Alta",'Mapa final'!$P$65="Menor"),CONCATENATE("R",'Mapa final'!$A$65),"")</f>
        <v/>
      </c>
      <c r="U12" s="390"/>
      <c r="V12" s="393" t="str">
        <f>IF(AND('Mapa final'!$L$53="Muy Alta",'Mapa final'!$P$53="Moderado"),CONCATENATE("R",'Mapa final'!$A$53),"")</f>
        <v/>
      </c>
      <c r="W12" s="389"/>
      <c r="X12" s="389" t="str">
        <f>IF(AND('Mapa final'!$L$59="Muy Alta",'Mapa final'!$P$59="Moderado"),CONCATENATE("R",'Mapa final'!$A$59),"")</f>
        <v/>
      </c>
      <c r="Y12" s="389"/>
      <c r="Z12" s="389" t="str">
        <f>IF(AND('Mapa final'!$L$65="Muy Alta",'Mapa final'!$P$65="Moderado"),CONCATENATE("R",'Mapa final'!$A$65),"")</f>
        <v/>
      </c>
      <c r="AA12" s="390"/>
      <c r="AB12" s="393" t="str">
        <f>IF(AND('Mapa final'!$L$53="Muy Alta",'Mapa final'!$P$53="Mayor"),CONCATENATE("R",'Mapa final'!$A$53),"")</f>
        <v/>
      </c>
      <c r="AC12" s="389"/>
      <c r="AD12" s="389" t="str">
        <f>IF(AND('Mapa final'!$L$59="Muy Alta",'Mapa final'!$P$59="Mayor"),CONCATENATE("R",'Mapa final'!$A$59),"")</f>
        <v/>
      </c>
      <c r="AE12" s="389"/>
      <c r="AF12" s="389" t="str">
        <f>IF(AND('Mapa final'!$L$65="Muy Alta",'Mapa final'!$P$65="Mayor"),CONCATENATE("R",'Mapa final'!$A$65),"")</f>
        <v/>
      </c>
      <c r="AG12" s="390"/>
      <c r="AH12" s="400" t="str">
        <f>IF(AND('Mapa final'!$L$53="Muy Alta",'Mapa final'!$P$53="Catastrófico"),CONCATENATE("R",'Mapa final'!$A$53),"")</f>
        <v/>
      </c>
      <c r="AI12" s="401"/>
      <c r="AJ12" s="401" t="str">
        <f>IF(AND('Mapa final'!$L$59="Muy Alta",'Mapa final'!$P$59="Catastrófico"),CONCATENATE("R",'Mapa final'!$A$59),"")</f>
        <v/>
      </c>
      <c r="AK12" s="401"/>
      <c r="AL12" s="401" t="str">
        <f>IF(AND('Mapa final'!$L$65="Muy Alta",'Mapa final'!$P$65="Catastrófico"),CONCATENATE("R",'Mapa final'!$A$65),"")</f>
        <v/>
      </c>
      <c r="AM12" s="402"/>
      <c r="AN12" s="80"/>
      <c r="AO12" s="347"/>
      <c r="AP12" s="348"/>
      <c r="AQ12" s="348"/>
      <c r="AR12" s="348"/>
      <c r="AS12" s="348"/>
      <c r="AT12" s="349"/>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342"/>
      <c r="C13" s="342"/>
      <c r="D13" s="343"/>
      <c r="E13" s="386"/>
      <c r="F13" s="387"/>
      <c r="G13" s="387"/>
      <c r="H13" s="387"/>
      <c r="I13" s="388"/>
      <c r="J13" s="393"/>
      <c r="K13" s="389"/>
      <c r="L13" s="389"/>
      <c r="M13" s="389"/>
      <c r="N13" s="389"/>
      <c r="O13" s="390"/>
      <c r="P13" s="393"/>
      <c r="Q13" s="389"/>
      <c r="R13" s="389"/>
      <c r="S13" s="389"/>
      <c r="T13" s="389"/>
      <c r="U13" s="390"/>
      <c r="V13" s="393"/>
      <c r="W13" s="389"/>
      <c r="X13" s="389"/>
      <c r="Y13" s="389"/>
      <c r="Z13" s="389"/>
      <c r="AA13" s="390"/>
      <c r="AB13" s="393"/>
      <c r="AC13" s="389"/>
      <c r="AD13" s="389"/>
      <c r="AE13" s="389"/>
      <c r="AF13" s="389"/>
      <c r="AG13" s="390"/>
      <c r="AH13" s="403"/>
      <c r="AI13" s="404"/>
      <c r="AJ13" s="404"/>
      <c r="AK13" s="404"/>
      <c r="AL13" s="404"/>
      <c r="AM13" s="405"/>
      <c r="AN13" s="80"/>
      <c r="AO13" s="350"/>
      <c r="AP13" s="351"/>
      <c r="AQ13" s="351"/>
      <c r="AR13" s="351"/>
      <c r="AS13" s="351"/>
      <c r="AT13" s="352"/>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342"/>
      <c r="C14" s="342"/>
      <c r="D14" s="343"/>
      <c r="E14" s="380" t="s">
        <v>170</v>
      </c>
      <c r="F14" s="381"/>
      <c r="G14" s="381"/>
      <c r="H14" s="381"/>
      <c r="I14" s="381"/>
      <c r="J14" s="415" t="str">
        <f>IF(AND('Mapa final'!$L$11="Alta",'Mapa final'!$P$11="Leve"),CONCATENATE("R",'Mapa final'!$A$11),"")</f>
        <v/>
      </c>
      <c r="K14" s="416"/>
      <c r="L14" s="416" t="str">
        <f>IF(AND('Mapa final'!$L$14="Alta",'Mapa final'!$P$14="Leve"),CONCATENATE("R",'Mapa final'!$A$14),"")</f>
        <v/>
      </c>
      <c r="M14" s="416"/>
      <c r="N14" s="416" t="str">
        <f>IF(AND('Mapa final'!$L$17="Alta",'Mapa final'!$P$17="Leve"),CONCATENATE("R",'Mapa final'!$A$17),"")</f>
        <v/>
      </c>
      <c r="O14" s="417"/>
      <c r="P14" s="415" t="str">
        <f>IF(AND('Mapa final'!$L$11="Alta",'Mapa final'!$P$11="Menor"),CONCATENATE("R",'Mapa final'!$A$11),"")</f>
        <v/>
      </c>
      <c r="Q14" s="416"/>
      <c r="R14" s="416" t="str">
        <f>IF(AND('Mapa final'!$L$14="Alta",'Mapa final'!$P$14="Menor"),CONCATENATE("R",'Mapa final'!$A$14),"")</f>
        <v/>
      </c>
      <c r="S14" s="416"/>
      <c r="T14" s="416" t="str">
        <f>IF(AND('Mapa final'!$L$17="Alta",'Mapa final'!$P$17="Menor"),CONCATENATE("R",'Mapa final'!$A$17),"")</f>
        <v/>
      </c>
      <c r="U14" s="417"/>
      <c r="V14" s="391" t="str">
        <f>IF(AND('Mapa final'!$L$11="Alta",'Mapa final'!$P$11="Moderado"),CONCATENATE("R",'Mapa final'!$A$11),"")</f>
        <v/>
      </c>
      <c r="W14" s="392"/>
      <c r="X14" s="392" t="str">
        <f>IF(AND('Mapa final'!$L$14="Alta",'Mapa final'!$P$14="Moderado"),CONCATENATE("R",'Mapa final'!$A$14),"")</f>
        <v/>
      </c>
      <c r="Y14" s="392"/>
      <c r="Z14" s="392" t="str">
        <f>IF(AND('Mapa final'!$L$17="Alta",'Mapa final'!$P$17="Moderado"),CONCATENATE("R",'Mapa final'!$A$17),"")</f>
        <v/>
      </c>
      <c r="AA14" s="394"/>
      <c r="AB14" s="391" t="str">
        <f>IF(AND('Mapa final'!$L$11="Alta",'Mapa final'!$P$11="Mayor"),CONCATENATE("R",'Mapa final'!$A$11),"")</f>
        <v/>
      </c>
      <c r="AC14" s="392"/>
      <c r="AD14" s="392" t="str">
        <f>IF(AND('Mapa final'!$L$14="Alta",'Mapa final'!$P$14="Mayor"),CONCATENATE("R",'Mapa final'!$A$14),"")</f>
        <v/>
      </c>
      <c r="AE14" s="392"/>
      <c r="AF14" s="392" t="str">
        <f>IF(AND('Mapa final'!$L$17="Alta",'Mapa final'!$P$17="Mayor"),CONCATENATE("R",'Mapa final'!$A$17),"")</f>
        <v/>
      </c>
      <c r="AG14" s="394"/>
      <c r="AH14" s="406" t="str">
        <f>IF(AND('Mapa final'!$L$11="Alta",'Mapa final'!$P$11="Catastrófico"),CONCATENATE("R",'Mapa final'!$A$11),"")</f>
        <v/>
      </c>
      <c r="AI14" s="407"/>
      <c r="AJ14" s="407" t="str">
        <f>IF(AND('Mapa final'!$L$14="Alta",'Mapa final'!$P$14="Catastrófico"),CONCATENATE("R",'Mapa final'!$A$14),"")</f>
        <v/>
      </c>
      <c r="AK14" s="407"/>
      <c r="AL14" s="407" t="str">
        <f>IF(AND('Mapa final'!$L$17="Alta",'Mapa final'!$P$17="Catastrófico"),CONCATENATE("R",'Mapa final'!$A$17),"")</f>
        <v/>
      </c>
      <c r="AM14" s="408"/>
      <c r="AN14" s="80"/>
      <c r="AO14" s="353" t="s">
        <v>171</v>
      </c>
      <c r="AP14" s="354"/>
      <c r="AQ14" s="354"/>
      <c r="AR14" s="354"/>
      <c r="AS14" s="354"/>
      <c r="AT14" s="355"/>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342"/>
      <c r="C15" s="342"/>
      <c r="D15" s="343"/>
      <c r="E15" s="383"/>
      <c r="F15" s="384"/>
      <c r="G15" s="384"/>
      <c r="H15" s="384"/>
      <c r="I15" s="384"/>
      <c r="J15" s="409"/>
      <c r="K15" s="410"/>
      <c r="L15" s="410"/>
      <c r="M15" s="410"/>
      <c r="N15" s="410"/>
      <c r="O15" s="411"/>
      <c r="P15" s="409"/>
      <c r="Q15" s="410"/>
      <c r="R15" s="410"/>
      <c r="S15" s="410"/>
      <c r="T15" s="410"/>
      <c r="U15" s="411"/>
      <c r="V15" s="393"/>
      <c r="W15" s="389"/>
      <c r="X15" s="389"/>
      <c r="Y15" s="389"/>
      <c r="Z15" s="389"/>
      <c r="AA15" s="390"/>
      <c r="AB15" s="393"/>
      <c r="AC15" s="389"/>
      <c r="AD15" s="389"/>
      <c r="AE15" s="389"/>
      <c r="AF15" s="389"/>
      <c r="AG15" s="390"/>
      <c r="AH15" s="400"/>
      <c r="AI15" s="401"/>
      <c r="AJ15" s="401"/>
      <c r="AK15" s="401"/>
      <c r="AL15" s="401"/>
      <c r="AM15" s="402"/>
      <c r="AN15" s="80"/>
      <c r="AO15" s="356"/>
      <c r="AP15" s="357"/>
      <c r="AQ15" s="357"/>
      <c r="AR15" s="357"/>
      <c r="AS15" s="357"/>
      <c r="AT15" s="358"/>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342"/>
      <c r="C16" s="342"/>
      <c r="D16" s="343"/>
      <c r="E16" s="383"/>
      <c r="F16" s="384"/>
      <c r="G16" s="384"/>
      <c r="H16" s="384"/>
      <c r="I16" s="384"/>
      <c r="J16" s="409" t="str">
        <f>IF(AND('Mapa final'!$L$20="Alta",'Mapa final'!$P$20="Leve"),CONCATENATE("R",'Mapa final'!$A$20),"")</f>
        <v/>
      </c>
      <c r="K16" s="410"/>
      <c r="L16" s="410" t="str">
        <f>IF(AND('Mapa final'!$L$23="Alta",'Mapa final'!$P$23="Leve"),CONCATENATE("R",'Mapa final'!$A$23),"")</f>
        <v/>
      </c>
      <c r="M16" s="410"/>
      <c r="N16" s="410" t="str">
        <f>IF(AND('Mapa final'!$L$29="Alta",'Mapa final'!$P$29="Leve"),CONCATENATE("R",'Mapa final'!$A$29),"")</f>
        <v/>
      </c>
      <c r="O16" s="411"/>
      <c r="P16" s="409" t="str">
        <f>IF(AND('Mapa final'!$L$20="Alta",'Mapa final'!$P$20="Menor"),CONCATENATE("R",'Mapa final'!$A$20),"")</f>
        <v/>
      </c>
      <c r="Q16" s="410"/>
      <c r="R16" s="410" t="str">
        <f>IF(AND('Mapa final'!$L$23="Alta",'Mapa final'!$P$23="Menor"),CONCATENATE("R",'Mapa final'!$A$23),"")</f>
        <v/>
      </c>
      <c r="S16" s="410"/>
      <c r="T16" s="410" t="str">
        <f>IF(AND('Mapa final'!$L$29="Alta",'Mapa final'!$P$29="Menor"),CONCATENATE("R",'Mapa final'!$A$29),"")</f>
        <v/>
      </c>
      <c r="U16" s="411"/>
      <c r="V16" s="393" t="str">
        <f>IF(AND('Mapa final'!$L$20="Alta",'Mapa final'!$P$20="Moderado"),CONCATENATE("R",'Mapa final'!$A$20),"")</f>
        <v/>
      </c>
      <c r="W16" s="389"/>
      <c r="X16" s="389" t="str">
        <f>IF(AND('Mapa final'!$L$23="Alta",'Mapa final'!$P$23="Moderado"),CONCATENATE("R",'Mapa final'!$A$23),"")</f>
        <v/>
      </c>
      <c r="Y16" s="389"/>
      <c r="Z16" s="389" t="str">
        <f>IF(AND('Mapa final'!$L$29="Alta",'Mapa final'!$P$29="Moderado"),CONCATENATE("R",'Mapa final'!$A$29),"")</f>
        <v/>
      </c>
      <c r="AA16" s="390"/>
      <c r="AB16" s="393" t="str">
        <f>IF(AND('Mapa final'!$L$20="Alta",'Mapa final'!$P$20="Mayor"),CONCATENATE("R",'Mapa final'!$A$20),"")</f>
        <v/>
      </c>
      <c r="AC16" s="389"/>
      <c r="AD16" s="389" t="str">
        <f>IF(AND('Mapa final'!$L$23="Alta",'Mapa final'!$P$23="Mayor"),CONCATENATE("R",'Mapa final'!$A$23),"")</f>
        <v/>
      </c>
      <c r="AE16" s="389"/>
      <c r="AF16" s="389" t="str">
        <f>IF(AND('Mapa final'!$L$29="Alta",'Mapa final'!$P$29="Mayor"),CONCATENATE("R",'Mapa final'!$A$29),"")</f>
        <v/>
      </c>
      <c r="AG16" s="390"/>
      <c r="AH16" s="400" t="str">
        <f>IF(AND('Mapa final'!$L$20="Alta",'Mapa final'!$P$20="Catastrófico"),CONCATENATE("R",'Mapa final'!$A$20),"")</f>
        <v/>
      </c>
      <c r="AI16" s="401"/>
      <c r="AJ16" s="401" t="str">
        <f>IF(AND('Mapa final'!$L$23="Alta",'Mapa final'!$P$23="Catastrófico"),CONCATENATE("R",'Mapa final'!$A$23),"")</f>
        <v/>
      </c>
      <c r="AK16" s="401"/>
      <c r="AL16" s="401" t="str">
        <f>IF(AND('Mapa final'!$L$29="Alta",'Mapa final'!$P$29="Catastrófico"),CONCATENATE("R",'Mapa final'!$A$29),"")</f>
        <v/>
      </c>
      <c r="AM16" s="402"/>
      <c r="AN16" s="80"/>
      <c r="AO16" s="356"/>
      <c r="AP16" s="357"/>
      <c r="AQ16" s="357"/>
      <c r="AR16" s="357"/>
      <c r="AS16" s="357"/>
      <c r="AT16" s="358"/>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342"/>
      <c r="C17" s="342"/>
      <c r="D17" s="343"/>
      <c r="E17" s="383"/>
      <c r="F17" s="384"/>
      <c r="G17" s="384"/>
      <c r="H17" s="384"/>
      <c r="I17" s="384"/>
      <c r="J17" s="409"/>
      <c r="K17" s="410"/>
      <c r="L17" s="410"/>
      <c r="M17" s="410"/>
      <c r="N17" s="410"/>
      <c r="O17" s="411"/>
      <c r="P17" s="409"/>
      <c r="Q17" s="410"/>
      <c r="R17" s="410"/>
      <c r="S17" s="410"/>
      <c r="T17" s="410"/>
      <c r="U17" s="411"/>
      <c r="V17" s="393"/>
      <c r="W17" s="389"/>
      <c r="X17" s="389"/>
      <c r="Y17" s="389"/>
      <c r="Z17" s="389"/>
      <c r="AA17" s="390"/>
      <c r="AB17" s="393"/>
      <c r="AC17" s="389"/>
      <c r="AD17" s="389"/>
      <c r="AE17" s="389"/>
      <c r="AF17" s="389"/>
      <c r="AG17" s="390"/>
      <c r="AH17" s="400"/>
      <c r="AI17" s="401"/>
      <c r="AJ17" s="401"/>
      <c r="AK17" s="401"/>
      <c r="AL17" s="401"/>
      <c r="AM17" s="402"/>
      <c r="AN17" s="80"/>
      <c r="AO17" s="356"/>
      <c r="AP17" s="357"/>
      <c r="AQ17" s="357"/>
      <c r="AR17" s="357"/>
      <c r="AS17" s="357"/>
      <c r="AT17" s="358"/>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342"/>
      <c r="C18" s="342"/>
      <c r="D18" s="343"/>
      <c r="E18" s="383"/>
      <c r="F18" s="384"/>
      <c r="G18" s="384"/>
      <c r="H18" s="384"/>
      <c r="I18" s="384"/>
      <c r="J18" s="409" t="str">
        <f>IF(AND('Mapa final'!$L$35="Alta",'Mapa final'!$P$35="Leve"),CONCATENATE("R",'Mapa final'!$A$35),"")</f>
        <v/>
      </c>
      <c r="K18" s="410"/>
      <c r="L18" s="410" t="str">
        <f>IF(AND('Mapa final'!$L$41="Alta",'Mapa final'!$P$41="Leve"),CONCATENATE("R",'Mapa final'!$A$41),"")</f>
        <v/>
      </c>
      <c r="M18" s="410"/>
      <c r="N18" s="410" t="str">
        <f>IF(AND('Mapa final'!$L$47="Alta",'Mapa final'!$P$47="Leve"),CONCATENATE("R",'Mapa final'!$A$47),"")</f>
        <v/>
      </c>
      <c r="O18" s="411"/>
      <c r="P18" s="409" t="str">
        <f>IF(AND('Mapa final'!$L$35="Alta",'Mapa final'!$P$35="Menor"),CONCATENATE("R",'Mapa final'!$A$35),"")</f>
        <v/>
      </c>
      <c r="Q18" s="410"/>
      <c r="R18" s="410" t="str">
        <f>IF(AND('Mapa final'!$L$41="Alta",'Mapa final'!$P$41="Menor"),CONCATENATE("R",'Mapa final'!$A$41),"")</f>
        <v/>
      </c>
      <c r="S18" s="410"/>
      <c r="T18" s="410" t="str">
        <f>IF(AND('Mapa final'!$L$47="Alta",'Mapa final'!$P$47="Menor"),CONCATENATE("R",'Mapa final'!$A$47),"")</f>
        <v/>
      </c>
      <c r="U18" s="411"/>
      <c r="V18" s="393" t="str">
        <f>IF(AND('Mapa final'!$L$35="Alta",'Mapa final'!$P$35="Moderado"),CONCATENATE("R",'Mapa final'!$A$35),"")</f>
        <v/>
      </c>
      <c r="W18" s="389"/>
      <c r="X18" s="389" t="str">
        <f>IF(AND('Mapa final'!$L$41="Alta",'Mapa final'!$P$41="Moderado"),CONCATENATE("R",'Mapa final'!$A$41),"")</f>
        <v/>
      </c>
      <c r="Y18" s="389"/>
      <c r="Z18" s="389" t="str">
        <f>IF(AND('Mapa final'!$L$47="Alta",'Mapa final'!$P$47="Moderado"),CONCATENATE("R",'Mapa final'!$A$47),"")</f>
        <v/>
      </c>
      <c r="AA18" s="390"/>
      <c r="AB18" s="393" t="str">
        <f>IF(AND('Mapa final'!$L$35="Alta",'Mapa final'!$P$35="Mayor"),CONCATENATE("R",'Mapa final'!$A$35),"")</f>
        <v/>
      </c>
      <c r="AC18" s="389"/>
      <c r="AD18" s="389" t="str">
        <f>IF(AND('Mapa final'!$L$41="Alta",'Mapa final'!$P$41="Mayor"),CONCATENATE("R",'Mapa final'!$A$41),"")</f>
        <v/>
      </c>
      <c r="AE18" s="389"/>
      <c r="AF18" s="389" t="str">
        <f>IF(AND('Mapa final'!$L$47="Alta",'Mapa final'!$P$47="Mayor"),CONCATENATE("R",'Mapa final'!$A$47),"")</f>
        <v/>
      </c>
      <c r="AG18" s="390"/>
      <c r="AH18" s="400" t="str">
        <f>IF(AND('Mapa final'!$L$35="Alta",'Mapa final'!$P$35="Catastrófico"),CONCATENATE("R",'Mapa final'!$A$35),"")</f>
        <v/>
      </c>
      <c r="AI18" s="401"/>
      <c r="AJ18" s="401" t="str">
        <f>IF(AND('Mapa final'!$L$41="Alta",'Mapa final'!$P$41="Catastrófico"),CONCATENATE("R",'Mapa final'!$A$41),"")</f>
        <v/>
      </c>
      <c r="AK18" s="401"/>
      <c r="AL18" s="401" t="str">
        <f>IF(AND('Mapa final'!$L$47="Alta",'Mapa final'!$P$47="Catastrófico"),CONCATENATE("R",'Mapa final'!$A$47),"")</f>
        <v/>
      </c>
      <c r="AM18" s="402"/>
      <c r="AN18" s="80"/>
      <c r="AO18" s="356"/>
      <c r="AP18" s="357"/>
      <c r="AQ18" s="357"/>
      <c r="AR18" s="357"/>
      <c r="AS18" s="357"/>
      <c r="AT18" s="358"/>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342"/>
      <c r="C19" s="342"/>
      <c r="D19" s="343"/>
      <c r="E19" s="383"/>
      <c r="F19" s="384"/>
      <c r="G19" s="384"/>
      <c r="H19" s="384"/>
      <c r="I19" s="384"/>
      <c r="J19" s="409"/>
      <c r="K19" s="410"/>
      <c r="L19" s="410"/>
      <c r="M19" s="410"/>
      <c r="N19" s="410"/>
      <c r="O19" s="411"/>
      <c r="P19" s="409"/>
      <c r="Q19" s="410"/>
      <c r="R19" s="410"/>
      <c r="S19" s="410"/>
      <c r="T19" s="410"/>
      <c r="U19" s="411"/>
      <c r="V19" s="393"/>
      <c r="W19" s="389"/>
      <c r="X19" s="389"/>
      <c r="Y19" s="389"/>
      <c r="Z19" s="389"/>
      <c r="AA19" s="390"/>
      <c r="AB19" s="393"/>
      <c r="AC19" s="389"/>
      <c r="AD19" s="389"/>
      <c r="AE19" s="389"/>
      <c r="AF19" s="389"/>
      <c r="AG19" s="390"/>
      <c r="AH19" s="400"/>
      <c r="AI19" s="401"/>
      <c r="AJ19" s="401"/>
      <c r="AK19" s="401"/>
      <c r="AL19" s="401"/>
      <c r="AM19" s="402"/>
      <c r="AN19" s="80"/>
      <c r="AO19" s="356"/>
      <c r="AP19" s="357"/>
      <c r="AQ19" s="357"/>
      <c r="AR19" s="357"/>
      <c r="AS19" s="357"/>
      <c r="AT19" s="358"/>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342"/>
      <c r="C20" s="342"/>
      <c r="D20" s="343"/>
      <c r="E20" s="383"/>
      <c r="F20" s="384"/>
      <c r="G20" s="384"/>
      <c r="H20" s="384"/>
      <c r="I20" s="384"/>
      <c r="J20" s="409" t="str">
        <f>IF(AND('Mapa final'!$L$53="Alta",'Mapa final'!$P$53="Leve"),CONCATENATE("R",'Mapa final'!$A$53),"")</f>
        <v/>
      </c>
      <c r="K20" s="410"/>
      <c r="L20" s="410" t="str">
        <f>IF(AND('Mapa final'!$L$59="Alta",'Mapa final'!$P$59="Leve"),CONCATENATE("R",'Mapa final'!$A$59),"")</f>
        <v/>
      </c>
      <c r="M20" s="410"/>
      <c r="N20" s="410" t="str">
        <f>IF(AND('Mapa final'!$L$65="Alta",'Mapa final'!$P$65="Leve"),CONCATENATE("R",'Mapa final'!$A$65),"")</f>
        <v/>
      </c>
      <c r="O20" s="411"/>
      <c r="P20" s="409" t="str">
        <f>IF(AND('Mapa final'!$L$53="Alta",'Mapa final'!$P$53="Menor"),CONCATENATE("R",'Mapa final'!$A$53),"")</f>
        <v/>
      </c>
      <c r="Q20" s="410"/>
      <c r="R20" s="410" t="str">
        <f>IF(AND('Mapa final'!$L$59="Alta",'Mapa final'!$P$59="Menor"),CONCATENATE("R",'Mapa final'!$A$59),"")</f>
        <v/>
      </c>
      <c r="S20" s="410"/>
      <c r="T20" s="410" t="str">
        <f>IF(AND('Mapa final'!$L$65="Alta",'Mapa final'!$P$65="Menor"),CONCATENATE("R",'Mapa final'!$A$65),"")</f>
        <v/>
      </c>
      <c r="U20" s="411"/>
      <c r="V20" s="393" t="str">
        <f>IF(AND('Mapa final'!$L$53="Alta",'Mapa final'!$P$53="Moderado"),CONCATENATE("R",'Mapa final'!$A$53),"")</f>
        <v/>
      </c>
      <c r="W20" s="389"/>
      <c r="X20" s="389" t="str">
        <f>IF(AND('Mapa final'!$L$59="Alta",'Mapa final'!$P$59="Moderado"),CONCATENATE("R",'Mapa final'!$A$59),"")</f>
        <v/>
      </c>
      <c r="Y20" s="389"/>
      <c r="Z20" s="389" t="str">
        <f>IF(AND('Mapa final'!$L$65="Alta",'Mapa final'!$P$65="Moderado"),CONCATENATE("R",'Mapa final'!$A$65),"")</f>
        <v/>
      </c>
      <c r="AA20" s="390"/>
      <c r="AB20" s="393" t="str">
        <f>IF(AND('Mapa final'!$L$53="Alta",'Mapa final'!$P$53="Mayor"),CONCATENATE("R",'Mapa final'!$A$53),"")</f>
        <v/>
      </c>
      <c r="AC20" s="389"/>
      <c r="AD20" s="389" t="str">
        <f>IF(AND('Mapa final'!$L$59="Alta",'Mapa final'!$P$59="Mayor"),CONCATENATE("R",'Mapa final'!$A$59),"")</f>
        <v/>
      </c>
      <c r="AE20" s="389"/>
      <c r="AF20" s="389" t="str">
        <f>IF(AND('Mapa final'!$L$65="Alta",'Mapa final'!$P$65="Mayor"),CONCATENATE("R",'Mapa final'!$A$65),"")</f>
        <v/>
      </c>
      <c r="AG20" s="390"/>
      <c r="AH20" s="400" t="str">
        <f>IF(AND('Mapa final'!$L$53="Alta",'Mapa final'!$P$53="Catastrófico"),CONCATENATE("R",'Mapa final'!$A$53),"")</f>
        <v/>
      </c>
      <c r="AI20" s="401"/>
      <c r="AJ20" s="401" t="str">
        <f>IF(AND('Mapa final'!$L$59="Alta",'Mapa final'!$P$59="Catastrófico"),CONCATENATE("R",'Mapa final'!$A$59),"")</f>
        <v/>
      </c>
      <c r="AK20" s="401"/>
      <c r="AL20" s="401" t="str">
        <f>IF(AND('Mapa final'!$L$65="Alta",'Mapa final'!$P$65="Catastrófico"),CONCATENATE("R",'Mapa final'!$A$65),"")</f>
        <v/>
      </c>
      <c r="AM20" s="402"/>
      <c r="AN20" s="80"/>
      <c r="AO20" s="356"/>
      <c r="AP20" s="357"/>
      <c r="AQ20" s="357"/>
      <c r="AR20" s="357"/>
      <c r="AS20" s="357"/>
      <c r="AT20" s="358"/>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342"/>
      <c r="C21" s="342"/>
      <c r="D21" s="343"/>
      <c r="E21" s="386"/>
      <c r="F21" s="387"/>
      <c r="G21" s="387"/>
      <c r="H21" s="387"/>
      <c r="I21" s="387"/>
      <c r="J21" s="412"/>
      <c r="K21" s="413"/>
      <c r="L21" s="413"/>
      <c r="M21" s="413"/>
      <c r="N21" s="413"/>
      <c r="O21" s="414"/>
      <c r="P21" s="412"/>
      <c r="Q21" s="413"/>
      <c r="R21" s="413"/>
      <c r="S21" s="413"/>
      <c r="T21" s="413"/>
      <c r="U21" s="414"/>
      <c r="V21" s="397"/>
      <c r="W21" s="398"/>
      <c r="X21" s="398"/>
      <c r="Y21" s="398"/>
      <c r="Z21" s="398"/>
      <c r="AA21" s="399"/>
      <c r="AB21" s="397"/>
      <c r="AC21" s="398"/>
      <c r="AD21" s="398"/>
      <c r="AE21" s="398"/>
      <c r="AF21" s="398"/>
      <c r="AG21" s="399"/>
      <c r="AH21" s="403"/>
      <c r="AI21" s="404"/>
      <c r="AJ21" s="404"/>
      <c r="AK21" s="404"/>
      <c r="AL21" s="404"/>
      <c r="AM21" s="405"/>
      <c r="AN21" s="80"/>
      <c r="AO21" s="359"/>
      <c r="AP21" s="360"/>
      <c r="AQ21" s="360"/>
      <c r="AR21" s="360"/>
      <c r="AS21" s="360"/>
      <c r="AT21" s="361"/>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342"/>
      <c r="C22" s="342"/>
      <c r="D22" s="343"/>
      <c r="E22" s="380" t="s">
        <v>172</v>
      </c>
      <c r="F22" s="381"/>
      <c r="G22" s="381"/>
      <c r="H22" s="381"/>
      <c r="I22" s="382"/>
      <c r="J22" s="415" t="str">
        <f>IF(AND('Mapa final'!$L$11="Media",'Mapa final'!$P$11="Leve"),CONCATENATE("R",'Mapa final'!$A$11),"")</f>
        <v/>
      </c>
      <c r="K22" s="416"/>
      <c r="L22" s="416" t="str">
        <f>IF(AND('Mapa final'!$L$14="Media",'Mapa final'!$P$14="Leve"),CONCATENATE("R",'Mapa final'!$A$14),"")</f>
        <v/>
      </c>
      <c r="M22" s="416"/>
      <c r="N22" s="416" t="str">
        <f>IF(AND('Mapa final'!$L$17="Media",'Mapa final'!$P$17="Leve"),CONCATENATE("R",'Mapa final'!$A$17),"")</f>
        <v/>
      </c>
      <c r="O22" s="417"/>
      <c r="P22" s="415" t="str">
        <f>IF(AND('Mapa final'!$L$11="Media",'Mapa final'!$P$11="Menor"),CONCATENATE("R",'Mapa final'!$A$11),"")</f>
        <v/>
      </c>
      <c r="Q22" s="416"/>
      <c r="R22" s="416" t="str">
        <f>IF(AND('Mapa final'!$L$14="Media",'Mapa final'!$P$14="Menor"),CONCATENATE("R",'Mapa final'!$A$14),"")</f>
        <v/>
      </c>
      <c r="S22" s="416"/>
      <c r="T22" s="416" t="str">
        <f>IF(AND('Mapa final'!$L$17="Media",'Mapa final'!$P$17="Menor"),CONCATENATE("R",'Mapa final'!$A$17),"")</f>
        <v>R3</v>
      </c>
      <c r="U22" s="417"/>
      <c r="V22" s="415" t="str">
        <f>IF(AND('Mapa final'!$L$11="Media",'Mapa final'!$P$11="Moderado"),CONCATENATE("R",'Mapa final'!$A$11),"")</f>
        <v>R1</v>
      </c>
      <c r="W22" s="416"/>
      <c r="X22" s="416" t="str">
        <f>IF(AND('Mapa final'!$L$14="Media",'Mapa final'!$P$14="Moderado"),CONCATENATE("R",'Mapa final'!$A$14),"")</f>
        <v/>
      </c>
      <c r="Y22" s="416"/>
      <c r="Z22" s="416" t="str">
        <f>IF(AND('Mapa final'!$L$17="Media",'Mapa final'!$P$17="Moderado"),CONCATENATE("R",'Mapa final'!$A$17),"")</f>
        <v/>
      </c>
      <c r="AA22" s="417"/>
      <c r="AB22" s="391" t="str">
        <f>IF(AND('Mapa final'!$L$11="Media",'Mapa final'!$P$11="Mayor"),CONCATENATE("R",'Mapa final'!$A$11),"")</f>
        <v/>
      </c>
      <c r="AC22" s="392"/>
      <c r="AD22" s="392" t="str">
        <f>IF(AND('Mapa final'!$L$14="Media",'Mapa final'!$P$14="Mayor"),CONCATENATE("R",'Mapa final'!$A$14),"")</f>
        <v/>
      </c>
      <c r="AE22" s="392"/>
      <c r="AF22" s="392" t="str">
        <f>IF(AND('Mapa final'!$L$17="Media",'Mapa final'!$P$17="Mayor"),CONCATENATE("R",'Mapa final'!$A$17),"")</f>
        <v/>
      </c>
      <c r="AG22" s="394"/>
      <c r="AH22" s="406" t="str">
        <f>IF(AND('Mapa final'!$L$11="Media",'Mapa final'!$P$11="Catastrófico"),CONCATENATE("R",'Mapa final'!$A$11),"")</f>
        <v/>
      </c>
      <c r="AI22" s="407"/>
      <c r="AJ22" s="407" t="str">
        <f>IF(AND('Mapa final'!$L$14="Media",'Mapa final'!$P$14="Catastrófico"),CONCATENATE("R",'Mapa final'!$A$14),"")</f>
        <v/>
      </c>
      <c r="AK22" s="407"/>
      <c r="AL22" s="407" t="str">
        <f>IF(AND('Mapa final'!$L$17="Media",'Mapa final'!$P$17="Catastrófico"),CONCATENATE("R",'Mapa final'!$A$17),"")</f>
        <v/>
      </c>
      <c r="AM22" s="408"/>
      <c r="AN22" s="80"/>
      <c r="AO22" s="362" t="s">
        <v>173</v>
      </c>
      <c r="AP22" s="363"/>
      <c r="AQ22" s="363"/>
      <c r="AR22" s="363"/>
      <c r="AS22" s="363"/>
      <c r="AT22" s="364"/>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342"/>
      <c r="C23" s="342"/>
      <c r="D23" s="343"/>
      <c r="E23" s="383"/>
      <c r="F23" s="384"/>
      <c r="G23" s="384"/>
      <c r="H23" s="384"/>
      <c r="I23" s="385"/>
      <c r="J23" s="409"/>
      <c r="K23" s="410"/>
      <c r="L23" s="410"/>
      <c r="M23" s="410"/>
      <c r="N23" s="410"/>
      <c r="O23" s="411"/>
      <c r="P23" s="409"/>
      <c r="Q23" s="410"/>
      <c r="R23" s="410"/>
      <c r="S23" s="410"/>
      <c r="T23" s="410"/>
      <c r="U23" s="411"/>
      <c r="V23" s="409"/>
      <c r="W23" s="410"/>
      <c r="X23" s="410"/>
      <c r="Y23" s="410"/>
      <c r="Z23" s="410"/>
      <c r="AA23" s="411"/>
      <c r="AB23" s="393"/>
      <c r="AC23" s="389"/>
      <c r="AD23" s="389"/>
      <c r="AE23" s="389"/>
      <c r="AF23" s="389"/>
      <c r="AG23" s="390"/>
      <c r="AH23" s="400"/>
      <c r="AI23" s="401"/>
      <c r="AJ23" s="401"/>
      <c r="AK23" s="401"/>
      <c r="AL23" s="401"/>
      <c r="AM23" s="402"/>
      <c r="AN23" s="80"/>
      <c r="AO23" s="365"/>
      <c r="AP23" s="366"/>
      <c r="AQ23" s="366"/>
      <c r="AR23" s="366"/>
      <c r="AS23" s="366"/>
      <c r="AT23" s="367"/>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342"/>
      <c r="C24" s="342"/>
      <c r="D24" s="343"/>
      <c r="E24" s="383"/>
      <c r="F24" s="384"/>
      <c r="G24" s="384"/>
      <c r="H24" s="384"/>
      <c r="I24" s="385"/>
      <c r="J24" s="409" t="str">
        <f>IF(AND('Mapa final'!$L$20="Media",'Mapa final'!$P$20="Leve"),CONCATENATE("R",'Mapa final'!$A$20),"")</f>
        <v/>
      </c>
      <c r="K24" s="410"/>
      <c r="L24" s="410" t="str">
        <f>IF(AND('Mapa final'!$L$23="Media",'Mapa final'!$P$23="Leve"),CONCATENATE("R",'Mapa final'!$A$23),"")</f>
        <v/>
      </c>
      <c r="M24" s="410"/>
      <c r="N24" s="410" t="str">
        <f>IF(AND('Mapa final'!$L$29="Media",'Mapa final'!$P$29="Leve"),CONCATENATE("R",'Mapa final'!$A$29),"")</f>
        <v/>
      </c>
      <c r="O24" s="411"/>
      <c r="P24" s="409" t="str">
        <f>IF(AND('Mapa final'!$L$20="Media",'Mapa final'!$P$20="Menor"),CONCATENATE("R",'Mapa final'!$A$20),"")</f>
        <v/>
      </c>
      <c r="Q24" s="410"/>
      <c r="R24" s="410" t="str">
        <f>IF(AND('Mapa final'!$L$23="Media",'Mapa final'!$P$23="Menor"),CONCATENATE("R",'Mapa final'!$A$23),"")</f>
        <v/>
      </c>
      <c r="S24" s="410"/>
      <c r="T24" s="410" t="str">
        <f>IF(AND('Mapa final'!$L$29="Media",'Mapa final'!$P$29="Menor"),CONCATENATE("R",'Mapa final'!$A$29),"")</f>
        <v/>
      </c>
      <c r="U24" s="411"/>
      <c r="V24" s="409" t="str">
        <f>IF(AND('Mapa final'!$L$20="Media",'Mapa final'!$P$20="Moderado"),CONCATENATE("R",'Mapa final'!$A$20),"")</f>
        <v/>
      </c>
      <c r="W24" s="410"/>
      <c r="X24" s="410" t="str">
        <f>IF(AND('Mapa final'!$L$23="Media",'Mapa final'!$P$23="Moderado"),CONCATENATE("R",'Mapa final'!$A$23),"")</f>
        <v/>
      </c>
      <c r="Y24" s="410"/>
      <c r="Z24" s="410" t="str">
        <f>IF(AND('Mapa final'!$L$29="Media",'Mapa final'!$P$29="Moderado"),CONCATENATE("R",'Mapa final'!$A$29),"")</f>
        <v/>
      </c>
      <c r="AA24" s="411"/>
      <c r="AB24" s="393" t="str">
        <f>IF(AND('Mapa final'!$L$20="Media",'Mapa final'!$P$20="Mayor"),CONCATENATE("R",'Mapa final'!$A$20),"")</f>
        <v/>
      </c>
      <c r="AC24" s="389"/>
      <c r="AD24" s="389" t="str">
        <f>IF(AND('Mapa final'!$L$23="Media",'Mapa final'!$P$23="Mayor"),CONCATENATE("R",'Mapa final'!$A$23),"")</f>
        <v/>
      </c>
      <c r="AE24" s="389"/>
      <c r="AF24" s="389" t="str">
        <f>IF(AND('Mapa final'!$L$29="Media",'Mapa final'!$P$29="Mayor"),CONCATENATE("R",'Mapa final'!$A$29),"")</f>
        <v/>
      </c>
      <c r="AG24" s="390"/>
      <c r="AH24" s="400" t="str">
        <f>IF(AND('Mapa final'!$L$20="Media",'Mapa final'!$P$20="Catastrófico"),CONCATENATE("R",'Mapa final'!$A$20),"")</f>
        <v/>
      </c>
      <c r="AI24" s="401"/>
      <c r="AJ24" s="401" t="str">
        <f>IF(AND('Mapa final'!$L$23="Media",'Mapa final'!$P$23="Catastrófico"),CONCATENATE("R",'Mapa final'!$A$23),"")</f>
        <v/>
      </c>
      <c r="AK24" s="401"/>
      <c r="AL24" s="401" t="str">
        <f>IF(AND('Mapa final'!$L$29="Media",'Mapa final'!$P$29="Catastrófico"),CONCATENATE("R",'Mapa final'!$A$29),"")</f>
        <v/>
      </c>
      <c r="AM24" s="402"/>
      <c r="AN24" s="80"/>
      <c r="AO24" s="365"/>
      <c r="AP24" s="366"/>
      <c r="AQ24" s="366"/>
      <c r="AR24" s="366"/>
      <c r="AS24" s="366"/>
      <c r="AT24" s="367"/>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342"/>
      <c r="C25" s="342"/>
      <c r="D25" s="343"/>
      <c r="E25" s="383"/>
      <c r="F25" s="384"/>
      <c r="G25" s="384"/>
      <c r="H25" s="384"/>
      <c r="I25" s="385"/>
      <c r="J25" s="409"/>
      <c r="K25" s="410"/>
      <c r="L25" s="410"/>
      <c r="M25" s="410"/>
      <c r="N25" s="410"/>
      <c r="O25" s="411"/>
      <c r="P25" s="409"/>
      <c r="Q25" s="410"/>
      <c r="R25" s="410"/>
      <c r="S25" s="410"/>
      <c r="T25" s="410"/>
      <c r="U25" s="411"/>
      <c r="V25" s="409"/>
      <c r="W25" s="410"/>
      <c r="X25" s="410"/>
      <c r="Y25" s="410"/>
      <c r="Z25" s="410"/>
      <c r="AA25" s="411"/>
      <c r="AB25" s="393"/>
      <c r="AC25" s="389"/>
      <c r="AD25" s="389"/>
      <c r="AE25" s="389"/>
      <c r="AF25" s="389"/>
      <c r="AG25" s="390"/>
      <c r="AH25" s="400"/>
      <c r="AI25" s="401"/>
      <c r="AJ25" s="401"/>
      <c r="AK25" s="401"/>
      <c r="AL25" s="401"/>
      <c r="AM25" s="402"/>
      <c r="AN25" s="80"/>
      <c r="AO25" s="365"/>
      <c r="AP25" s="366"/>
      <c r="AQ25" s="366"/>
      <c r="AR25" s="366"/>
      <c r="AS25" s="366"/>
      <c r="AT25" s="367"/>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342"/>
      <c r="C26" s="342"/>
      <c r="D26" s="343"/>
      <c r="E26" s="383"/>
      <c r="F26" s="384"/>
      <c r="G26" s="384"/>
      <c r="H26" s="384"/>
      <c r="I26" s="385"/>
      <c r="J26" s="409" t="str">
        <f>IF(AND('Mapa final'!$L$35="Media",'Mapa final'!$P$35="Leve"),CONCATENATE("R",'Mapa final'!$A$35),"")</f>
        <v/>
      </c>
      <c r="K26" s="410"/>
      <c r="L26" s="410" t="str">
        <f>IF(AND('Mapa final'!$L$41="Media",'Mapa final'!$P$41="Leve"),CONCATENATE("R",'Mapa final'!$A$41),"")</f>
        <v/>
      </c>
      <c r="M26" s="410"/>
      <c r="N26" s="410" t="str">
        <f>IF(AND('Mapa final'!$L$47="Media",'Mapa final'!$P$47="Leve"),CONCATENATE("R",'Mapa final'!$A$47),"")</f>
        <v/>
      </c>
      <c r="O26" s="411"/>
      <c r="P26" s="409" t="str">
        <f>IF(AND('Mapa final'!$L$35="Media",'Mapa final'!$P$35="Menor"),CONCATENATE("R",'Mapa final'!$A$35),"")</f>
        <v/>
      </c>
      <c r="Q26" s="410"/>
      <c r="R26" s="410" t="str">
        <f>IF(AND('Mapa final'!$L$41="Media",'Mapa final'!$P$41="Menor"),CONCATENATE("R",'Mapa final'!$A$41),"")</f>
        <v/>
      </c>
      <c r="S26" s="410"/>
      <c r="T26" s="410" t="str">
        <f>IF(AND('Mapa final'!$L$47="Media",'Mapa final'!$P$47="Menor"),CONCATENATE("R",'Mapa final'!$A$47),"")</f>
        <v/>
      </c>
      <c r="U26" s="411"/>
      <c r="V26" s="409" t="str">
        <f>IF(AND('Mapa final'!$L$35="Media",'Mapa final'!$P$35="Moderado"),CONCATENATE("R",'Mapa final'!$A$35),"")</f>
        <v/>
      </c>
      <c r="W26" s="410"/>
      <c r="X26" s="410" t="str">
        <f>IF(AND('Mapa final'!$L$41="Media",'Mapa final'!$P$41="Moderado"),CONCATENATE("R",'Mapa final'!$A$41),"")</f>
        <v/>
      </c>
      <c r="Y26" s="410"/>
      <c r="Z26" s="410" t="str">
        <f>IF(AND('Mapa final'!$L$47="Media",'Mapa final'!$P$47="Moderado"),CONCATENATE("R",'Mapa final'!$A$47),"")</f>
        <v/>
      </c>
      <c r="AA26" s="411"/>
      <c r="AB26" s="393" t="str">
        <f>IF(AND('Mapa final'!$L$35="Media",'Mapa final'!$P$35="Mayor"),CONCATENATE("R",'Mapa final'!$A$35),"")</f>
        <v/>
      </c>
      <c r="AC26" s="389"/>
      <c r="AD26" s="389" t="str">
        <f>IF(AND('Mapa final'!$L$41="Media",'Mapa final'!$P$41="Mayor"),CONCATENATE("R",'Mapa final'!$A$41),"")</f>
        <v/>
      </c>
      <c r="AE26" s="389"/>
      <c r="AF26" s="389" t="str">
        <f>IF(AND('Mapa final'!$L$47="Media",'Mapa final'!$P$47="Mayor"),CONCATENATE("R",'Mapa final'!$A$47),"")</f>
        <v/>
      </c>
      <c r="AG26" s="390"/>
      <c r="AH26" s="400" t="str">
        <f>IF(AND('Mapa final'!$L$35="Media",'Mapa final'!$P$35="Catastrófico"),CONCATENATE("R",'Mapa final'!$A$35),"")</f>
        <v/>
      </c>
      <c r="AI26" s="401"/>
      <c r="AJ26" s="401" t="str">
        <f>IF(AND('Mapa final'!$L$41="Media",'Mapa final'!$P$41="Catastrófico"),CONCATENATE("R",'Mapa final'!$A$41),"")</f>
        <v/>
      </c>
      <c r="AK26" s="401"/>
      <c r="AL26" s="401" t="str">
        <f>IF(AND('Mapa final'!$L$47="Media",'Mapa final'!$P$47="Catastrófico"),CONCATENATE("R",'Mapa final'!$A$47),"")</f>
        <v/>
      </c>
      <c r="AM26" s="402"/>
      <c r="AN26" s="80"/>
      <c r="AO26" s="365"/>
      <c r="AP26" s="366"/>
      <c r="AQ26" s="366"/>
      <c r="AR26" s="366"/>
      <c r="AS26" s="366"/>
      <c r="AT26" s="367"/>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342"/>
      <c r="C27" s="342"/>
      <c r="D27" s="343"/>
      <c r="E27" s="383"/>
      <c r="F27" s="384"/>
      <c r="G27" s="384"/>
      <c r="H27" s="384"/>
      <c r="I27" s="385"/>
      <c r="J27" s="409"/>
      <c r="K27" s="410"/>
      <c r="L27" s="410"/>
      <c r="M27" s="410"/>
      <c r="N27" s="410"/>
      <c r="O27" s="411"/>
      <c r="P27" s="409"/>
      <c r="Q27" s="410"/>
      <c r="R27" s="410"/>
      <c r="S27" s="410"/>
      <c r="T27" s="410"/>
      <c r="U27" s="411"/>
      <c r="V27" s="409"/>
      <c r="W27" s="410"/>
      <c r="X27" s="410"/>
      <c r="Y27" s="410"/>
      <c r="Z27" s="410"/>
      <c r="AA27" s="411"/>
      <c r="AB27" s="393"/>
      <c r="AC27" s="389"/>
      <c r="AD27" s="389"/>
      <c r="AE27" s="389"/>
      <c r="AF27" s="389"/>
      <c r="AG27" s="390"/>
      <c r="AH27" s="400"/>
      <c r="AI27" s="401"/>
      <c r="AJ27" s="401"/>
      <c r="AK27" s="401"/>
      <c r="AL27" s="401"/>
      <c r="AM27" s="402"/>
      <c r="AN27" s="80"/>
      <c r="AO27" s="365"/>
      <c r="AP27" s="366"/>
      <c r="AQ27" s="366"/>
      <c r="AR27" s="366"/>
      <c r="AS27" s="366"/>
      <c r="AT27" s="367"/>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342"/>
      <c r="C28" s="342"/>
      <c r="D28" s="343"/>
      <c r="E28" s="383"/>
      <c r="F28" s="384"/>
      <c r="G28" s="384"/>
      <c r="H28" s="384"/>
      <c r="I28" s="385"/>
      <c r="J28" s="409" t="str">
        <f>IF(AND('Mapa final'!$L$53="Media",'Mapa final'!$P$53="Leve"),CONCATENATE("R",'Mapa final'!$A$53),"")</f>
        <v/>
      </c>
      <c r="K28" s="410"/>
      <c r="L28" s="410" t="str">
        <f>IF(AND('Mapa final'!$L$59="Media",'Mapa final'!$P$59="Leve"),CONCATENATE("R",'Mapa final'!$A$59),"")</f>
        <v/>
      </c>
      <c r="M28" s="410"/>
      <c r="N28" s="410" t="str">
        <f>IF(AND('Mapa final'!$L$65="Media",'Mapa final'!$P$65="Leve"),CONCATENATE("R",'Mapa final'!$A$65),"")</f>
        <v/>
      </c>
      <c r="O28" s="411"/>
      <c r="P28" s="409" t="str">
        <f>IF(AND('Mapa final'!$L$53="Media",'Mapa final'!$P$53="Menor"),CONCATENATE("R",'Mapa final'!$A$53),"")</f>
        <v/>
      </c>
      <c r="Q28" s="410"/>
      <c r="R28" s="410" t="str">
        <f>IF(AND('Mapa final'!$L$59="Media",'Mapa final'!$P$59="Menor"),CONCATENATE("R",'Mapa final'!$A$59),"")</f>
        <v/>
      </c>
      <c r="S28" s="410"/>
      <c r="T28" s="410" t="str">
        <f>IF(AND('Mapa final'!$L$65="Media",'Mapa final'!$P$65="Menor"),CONCATENATE("R",'Mapa final'!$A$65),"")</f>
        <v/>
      </c>
      <c r="U28" s="411"/>
      <c r="V28" s="409" t="str">
        <f>IF(AND('Mapa final'!$L$53="Media",'Mapa final'!$P$53="Moderado"),CONCATENATE("R",'Mapa final'!$A$53),"")</f>
        <v/>
      </c>
      <c r="W28" s="410"/>
      <c r="X28" s="410" t="str">
        <f>IF(AND('Mapa final'!$L$59="Media",'Mapa final'!$P$59="Moderado"),CONCATENATE("R",'Mapa final'!$A$59),"")</f>
        <v/>
      </c>
      <c r="Y28" s="410"/>
      <c r="Z28" s="410" t="str">
        <f>IF(AND('Mapa final'!$L$65="Media",'Mapa final'!$P$65="Moderado"),CONCATENATE("R",'Mapa final'!$A$65),"")</f>
        <v/>
      </c>
      <c r="AA28" s="411"/>
      <c r="AB28" s="393" t="str">
        <f>IF(AND('Mapa final'!$L$53="Media",'Mapa final'!$P$53="Mayor"),CONCATENATE("R",'Mapa final'!$A$53),"")</f>
        <v/>
      </c>
      <c r="AC28" s="389"/>
      <c r="AD28" s="389" t="str">
        <f>IF(AND('Mapa final'!$L$59="Media",'Mapa final'!$P$59="Mayor"),CONCATENATE("R",'Mapa final'!$A$59),"")</f>
        <v/>
      </c>
      <c r="AE28" s="389"/>
      <c r="AF28" s="389" t="str">
        <f>IF(AND('Mapa final'!$L$65="Media",'Mapa final'!$P$65="Mayor"),CONCATENATE("R",'Mapa final'!$A$65),"")</f>
        <v/>
      </c>
      <c r="AG28" s="390"/>
      <c r="AH28" s="400" t="str">
        <f>IF(AND('Mapa final'!$L$53="Media",'Mapa final'!$P$53="Catastrófico"),CONCATENATE("R",'Mapa final'!$A$53),"")</f>
        <v/>
      </c>
      <c r="AI28" s="401"/>
      <c r="AJ28" s="401" t="str">
        <f>IF(AND('Mapa final'!$L$59="Media",'Mapa final'!$P$59="Catastrófico"),CONCATENATE("R",'Mapa final'!$A$59),"")</f>
        <v/>
      </c>
      <c r="AK28" s="401"/>
      <c r="AL28" s="401" t="str">
        <f>IF(AND('Mapa final'!$L$65="Media",'Mapa final'!$P$65="Catastrófico"),CONCATENATE("R",'Mapa final'!$A$65),"")</f>
        <v/>
      </c>
      <c r="AM28" s="402"/>
      <c r="AN28" s="80"/>
      <c r="AO28" s="365"/>
      <c r="AP28" s="366"/>
      <c r="AQ28" s="366"/>
      <c r="AR28" s="366"/>
      <c r="AS28" s="366"/>
      <c r="AT28" s="367"/>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342"/>
      <c r="C29" s="342"/>
      <c r="D29" s="343"/>
      <c r="E29" s="386"/>
      <c r="F29" s="387"/>
      <c r="G29" s="387"/>
      <c r="H29" s="387"/>
      <c r="I29" s="388"/>
      <c r="J29" s="409"/>
      <c r="K29" s="410"/>
      <c r="L29" s="410"/>
      <c r="M29" s="410"/>
      <c r="N29" s="410"/>
      <c r="O29" s="411"/>
      <c r="P29" s="412"/>
      <c r="Q29" s="413"/>
      <c r="R29" s="413"/>
      <c r="S29" s="413"/>
      <c r="T29" s="413"/>
      <c r="U29" s="414"/>
      <c r="V29" s="412"/>
      <c r="W29" s="413"/>
      <c r="X29" s="413"/>
      <c r="Y29" s="413"/>
      <c r="Z29" s="413"/>
      <c r="AA29" s="414"/>
      <c r="AB29" s="397"/>
      <c r="AC29" s="398"/>
      <c r="AD29" s="398"/>
      <c r="AE29" s="398"/>
      <c r="AF29" s="398"/>
      <c r="AG29" s="399"/>
      <c r="AH29" s="403"/>
      <c r="AI29" s="404"/>
      <c r="AJ29" s="404"/>
      <c r="AK29" s="404"/>
      <c r="AL29" s="404"/>
      <c r="AM29" s="405"/>
      <c r="AN29" s="80"/>
      <c r="AO29" s="368"/>
      <c r="AP29" s="369"/>
      <c r="AQ29" s="369"/>
      <c r="AR29" s="369"/>
      <c r="AS29" s="369"/>
      <c r="AT29" s="37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342"/>
      <c r="C30" s="342"/>
      <c r="D30" s="343"/>
      <c r="E30" s="380" t="s">
        <v>174</v>
      </c>
      <c r="F30" s="381"/>
      <c r="G30" s="381"/>
      <c r="H30" s="381"/>
      <c r="I30" s="381"/>
      <c r="J30" s="424" t="str">
        <f>IF(AND('Mapa final'!$L$11="Baja",'Mapa final'!$P$11="Leve"),CONCATENATE("R",'Mapa final'!$A$11),"")</f>
        <v/>
      </c>
      <c r="K30" s="425"/>
      <c r="L30" s="425" t="str">
        <f>IF(AND('Mapa final'!$L$14="Baja",'Mapa final'!$P$14="Leve"),CONCATENATE("R",'Mapa final'!$A$14),"")</f>
        <v/>
      </c>
      <c r="M30" s="425"/>
      <c r="N30" s="425" t="str">
        <f>IF(AND('Mapa final'!$L$17="Baja",'Mapa final'!$P$17="Leve"),CONCATENATE("R",'Mapa final'!$A$17),"")</f>
        <v/>
      </c>
      <c r="O30" s="426"/>
      <c r="P30" s="416" t="str">
        <f>IF(AND('Mapa final'!$L$11="Baja",'Mapa final'!$P$11="Menor"),CONCATENATE("R",'Mapa final'!$A$11),"")</f>
        <v/>
      </c>
      <c r="Q30" s="416"/>
      <c r="R30" s="416" t="str">
        <f>IF(AND('Mapa final'!$L$14="Baja",'Mapa final'!$P$14="Menor"),CONCATENATE("R",'Mapa final'!$A$14),"")</f>
        <v/>
      </c>
      <c r="S30" s="416"/>
      <c r="T30" s="416" t="str">
        <f>IF(AND('Mapa final'!$L$17="Baja",'Mapa final'!$P$17="Menor"),CONCATENATE("R",'Mapa final'!$A$17),"")</f>
        <v/>
      </c>
      <c r="U30" s="417"/>
      <c r="V30" s="415" t="str">
        <f>IF(AND('Mapa final'!$L$11="Baja",'Mapa final'!$P$11="Moderado"),CONCATENATE("R",'Mapa final'!$A$11),"")</f>
        <v/>
      </c>
      <c r="W30" s="416"/>
      <c r="X30" s="416" t="str">
        <f>IF(AND('Mapa final'!$L$14="Baja",'Mapa final'!$P$14="Moderado"),CONCATENATE("R",'Mapa final'!$A$14),"")</f>
        <v>R2</v>
      </c>
      <c r="Y30" s="416"/>
      <c r="Z30" s="416" t="str">
        <f>IF(AND('Mapa final'!$L$17="Baja",'Mapa final'!$P$17="Moderado"),CONCATENATE("R",'Mapa final'!$A$17),"")</f>
        <v/>
      </c>
      <c r="AA30" s="417"/>
      <c r="AB30" s="391" t="str">
        <f>IF(AND('Mapa final'!$L$11="Baja",'Mapa final'!$P$11="Mayor"),CONCATENATE("R",'Mapa final'!$A$11),"")</f>
        <v/>
      </c>
      <c r="AC30" s="392"/>
      <c r="AD30" s="392" t="str">
        <f>IF(AND('Mapa final'!$L$14="Baja",'Mapa final'!$P$14="Mayor"),CONCATENATE("R",'Mapa final'!$A$14),"")</f>
        <v/>
      </c>
      <c r="AE30" s="392"/>
      <c r="AF30" s="392" t="str">
        <f>IF(AND('Mapa final'!$L$17="Baja",'Mapa final'!$P$17="Mayor"),CONCATENATE("R",'Mapa final'!$A$17),"")</f>
        <v/>
      </c>
      <c r="AG30" s="394"/>
      <c r="AH30" s="406" t="str">
        <f>IF(AND('Mapa final'!$L$11="Baja",'Mapa final'!$P$11="Catastrófico"),CONCATENATE("R",'Mapa final'!$A$11),"")</f>
        <v/>
      </c>
      <c r="AI30" s="407"/>
      <c r="AJ30" s="407" t="str">
        <f>IF(AND('Mapa final'!$L$14="Baja",'Mapa final'!$P$14="Catastrófico"),CONCATENATE("R",'Mapa final'!$A$14),"")</f>
        <v/>
      </c>
      <c r="AK30" s="407"/>
      <c r="AL30" s="407" t="str">
        <f>IF(AND('Mapa final'!$L$17="Baja",'Mapa final'!$P$17="Catastrófico"),CONCATENATE("R",'Mapa final'!$A$17),"")</f>
        <v/>
      </c>
      <c r="AM30" s="408"/>
      <c r="AN30" s="80"/>
      <c r="AO30" s="371" t="s">
        <v>175</v>
      </c>
      <c r="AP30" s="372"/>
      <c r="AQ30" s="372"/>
      <c r="AR30" s="372"/>
      <c r="AS30" s="372"/>
      <c r="AT30" s="373"/>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342"/>
      <c r="C31" s="342"/>
      <c r="D31" s="343"/>
      <c r="E31" s="383"/>
      <c r="F31" s="384"/>
      <c r="G31" s="384"/>
      <c r="H31" s="384"/>
      <c r="I31" s="384"/>
      <c r="J31" s="420"/>
      <c r="K31" s="418"/>
      <c r="L31" s="418"/>
      <c r="M31" s="418"/>
      <c r="N31" s="418"/>
      <c r="O31" s="419"/>
      <c r="P31" s="410"/>
      <c r="Q31" s="410"/>
      <c r="R31" s="410"/>
      <c r="S31" s="410"/>
      <c r="T31" s="410"/>
      <c r="U31" s="411"/>
      <c r="V31" s="409"/>
      <c r="W31" s="410"/>
      <c r="X31" s="410"/>
      <c r="Y31" s="410"/>
      <c r="Z31" s="410"/>
      <c r="AA31" s="411"/>
      <c r="AB31" s="393"/>
      <c r="AC31" s="389"/>
      <c r="AD31" s="389"/>
      <c r="AE31" s="389"/>
      <c r="AF31" s="389"/>
      <c r="AG31" s="390"/>
      <c r="AH31" s="400"/>
      <c r="AI31" s="401"/>
      <c r="AJ31" s="401"/>
      <c r="AK31" s="401"/>
      <c r="AL31" s="401"/>
      <c r="AM31" s="402"/>
      <c r="AN31" s="80"/>
      <c r="AO31" s="374"/>
      <c r="AP31" s="375"/>
      <c r="AQ31" s="375"/>
      <c r="AR31" s="375"/>
      <c r="AS31" s="375"/>
      <c r="AT31" s="376"/>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342"/>
      <c r="C32" s="342"/>
      <c r="D32" s="343"/>
      <c r="E32" s="383"/>
      <c r="F32" s="384"/>
      <c r="G32" s="384"/>
      <c r="H32" s="384"/>
      <c r="I32" s="384"/>
      <c r="J32" s="420" t="str">
        <f>IF(AND('Mapa final'!$L$20="Baja",'Mapa final'!$P$20="Leve"),CONCATENATE("R",'Mapa final'!$A$20),"")</f>
        <v/>
      </c>
      <c r="K32" s="418"/>
      <c r="L32" s="418" t="str">
        <f>IF(AND('Mapa final'!$L$23="Baja",'Mapa final'!$P$23="Leve"),CONCATENATE("R",'Mapa final'!$A$23),"")</f>
        <v/>
      </c>
      <c r="M32" s="418"/>
      <c r="N32" s="418" t="str">
        <f>IF(AND('Mapa final'!$L$29="Baja",'Mapa final'!$P$29="Leve"),CONCATENATE("R",'Mapa final'!$A$29),"")</f>
        <v/>
      </c>
      <c r="O32" s="419"/>
      <c r="P32" s="410" t="str">
        <f>IF(AND('Mapa final'!$L$20="Baja",'Mapa final'!$P$20="Menor"),CONCATENATE("R",'Mapa final'!$A$20),"")</f>
        <v/>
      </c>
      <c r="Q32" s="410"/>
      <c r="R32" s="410" t="str">
        <f>IF(AND('Mapa final'!$L$23="Baja",'Mapa final'!$P$23="Menor"),CONCATENATE("R",'Mapa final'!$A$23),"")</f>
        <v/>
      </c>
      <c r="S32" s="410"/>
      <c r="T32" s="410" t="str">
        <f>IF(AND('Mapa final'!$L$29="Baja",'Mapa final'!$P$29="Menor"),CONCATENATE("R",'Mapa final'!$A$29),"")</f>
        <v/>
      </c>
      <c r="U32" s="411"/>
      <c r="V32" s="409" t="str">
        <f>IF(AND('Mapa final'!$L$20="Baja",'Mapa final'!$P$20="Moderado"),CONCATENATE("R",'Mapa final'!$A$20),"")</f>
        <v>R4</v>
      </c>
      <c r="W32" s="410"/>
      <c r="X32" s="410" t="str">
        <f>IF(AND('Mapa final'!$L$23="Baja",'Mapa final'!$P$23="Moderado"),CONCATENATE("R",'Mapa final'!$A$23),"")</f>
        <v/>
      </c>
      <c r="Y32" s="410"/>
      <c r="Z32" s="410" t="str">
        <f>IF(AND('Mapa final'!$L$29="Baja",'Mapa final'!$P$29="Moderado"),CONCATENATE("R",'Mapa final'!$A$29),"")</f>
        <v/>
      </c>
      <c r="AA32" s="411"/>
      <c r="AB32" s="393" t="str">
        <f>IF(AND('Mapa final'!$L$20="Baja",'Mapa final'!$P$20="Mayor"),CONCATENATE("R",'Mapa final'!$A$20),"")</f>
        <v/>
      </c>
      <c r="AC32" s="389"/>
      <c r="AD32" s="389" t="str">
        <f>IF(AND('Mapa final'!$L$23="Baja",'Mapa final'!$P$23="Mayor"),CONCATENATE("R",'Mapa final'!$A$23),"")</f>
        <v/>
      </c>
      <c r="AE32" s="389"/>
      <c r="AF32" s="389" t="str">
        <f>IF(AND('Mapa final'!$L$29="Baja",'Mapa final'!$P$29="Mayor"),CONCATENATE("R",'Mapa final'!$A$29),"")</f>
        <v/>
      </c>
      <c r="AG32" s="390"/>
      <c r="AH32" s="400" t="str">
        <f>IF(AND('Mapa final'!$L$20="Baja",'Mapa final'!$P$20="Catastrófico"),CONCATENATE("R",'Mapa final'!$A$20),"")</f>
        <v/>
      </c>
      <c r="AI32" s="401"/>
      <c r="AJ32" s="401" t="str">
        <f>IF(AND('Mapa final'!$L$23="Baja",'Mapa final'!$P$23="Catastrófico"),CONCATENATE("R",'Mapa final'!$A$23),"")</f>
        <v/>
      </c>
      <c r="AK32" s="401"/>
      <c r="AL32" s="401" t="str">
        <f>IF(AND('Mapa final'!$L$29="Baja",'Mapa final'!$P$29="Catastrófico"),CONCATENATE("R",'Mapa final'!$A$29),"")</f>
        <v/>
      </c>
      <c r="AM32" s="402"/>
      <c r="AN32" s="80"/>
      <c r="AO32" s="374"/>
      <c r="AP32" s="375"/>
      <c r="AQ32" s="375"/>
      <c r="AR32" s="375"/>
      <c r="AS32" s="375"/>
      <c r="AT32" s="376"/>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342"/>
      <c r="C33" s="342"/>
      <c r="D33" s="343"/>
      <c r="E33" s="383"/>
      <c r="F33" s="384"/>
      <c r="G33" s="384"/>
      <c r="H33" s="384"/>
      <c r="I33" s="384"/>
      <c r="J33" s="420"/>
      <c r="K33" s="418"/>
      <c r="L33" s="418"/>
      <c r="M33" s="418"/>
      <c r="N33" s="418"/>
      <c r="O33" s="419"/>
      <c r="P33" s="410"/>
      <c r="Q33" s="410"/>
      <c r="R33" s="410"/>
      <c r="S33" s="410"/>
      <c r="T33" s="410"/>
      <c r="U33" s="411"/>
      <c r="V33" s="409"/>
      <c r="W33" s="410"/>
      <c r="X33" s="410"/>
      <c r="Y33" s="410"/>
      <c r="Z33" s="410"/>
      <c r="AA33" s="411"/>
      <c r="AB33" s="393"/>
      <c r="AC33" s="389"/>
      <c r="AD33" s="389"/>
      <c r="AE33" s="389"/>
      <c r="AF33" s="389"/>
      <c r="AG33" s="390"/>
      <c r="AH33" s="400"/>
      <c r="AI33" s="401"/>
      <c r="AJ33" s="401"/>
      <c r="AK33" s="401"/>
      <c r="AL33" s="401"/>
      <c r="AM33" s="402"/>
      <c r="AN33" s="80"/>
      <c r="AO33" s="374"/>
      <c r="AP33" s="375"/>
      <c r="AQ33" s="375"/>
      <c r="AR33" s="375"/>
      <c r="AS33" s="375"/>
      <c r="AT33" s="376"/>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342"/>
      <c r="C34" s="342"/>
      <c r="D34" s="343"/>
      <c r="E34" s="383"/>
      <c r="F34" s="384"/>
      <c r="G34" s="384"/>
      <c r="H34" s="384"/>
      <c r="I34" s="384"/>
      <c r="J34" s="420" t="str">
        <f>IF(AND('Mapa final'!$L$35="Baja",'Mapa final'!$P$35="Leve"),CONCATENATE("R",'Mapa final'!$A$35),"")</f>
        <v/>
      </c>
      <c r="K34" s="418"/>
      <c r="L34" s="418" t="str">
        <f>IF(AND('Mapa final'!$L$41="Baja",'Mapa final'!$P$41="Leve"),CONCATENATE("R",'Mapa final'!$A$41),"")</f>
        <v/>
      </c>
      <c r="M34" s="418"/>
      <c r="N34" s="418" t="str">
        <f>IF(AND('Mapa final'!$L$47="Baja",'Mapa final'!$P$47="Leve"),CONCATENATE("R",'Mapa final'!$A$47),"")</f>
        <v/>
      </c>
      <c r="O34" s="419"/>
      <c r="P34" s="410" t="str">
        <f>IF(AND('Mapa final'!$L$35="Baja",'Mapa final'!$P$35="Menor"),CONCATENATE("R",'Mapa final'!$A$35),"")</f>
        <v/>
      </c>
      <c r="Q34" s="410"/>
      <c r="R34" s="410" t="str">
        <f>IF(AND('Mapa final'!$L$41="Baja",'Mapa final'!$P$41="Menor"),CONCATENATE("R",'Mapa final'!$A$41),"")</f>
        <v/>
      </c>
      <c r="S34" s="410"/>
      <c r="T34" s="410" t="str">
        <f>IF(AND('Mapa final'!$L$47="Baja",'Mapa final'!$P$47="Menor"),CONCATENATE("R",'Mapa final'!$A$47),"")</f>
        <v/>
      </c>
      <c r="U34" s="411"/>
      <c r="V34" s="409" t="str">
        <f>IF(AND('Mapa final'!$L$35="Baja",'Mapa final'!$P$35="Moderado"),CONCATENATE("R",'Mapa final'!$A$35),"")</f>
        <v/>
      </c>
      <c r="W34" s="410"/>
      <c r="X34" s="410" t="str">
        <f>IF(AND('Mapa final'!$L$41="Baja",'Mapa final'!$P$41="Moderado"),CONCATENATE("R",'Mapa final'!$A$41),"")</f>
        <v/>
      </c>
      <c r="Y34" s="410"/>
      <c r="Z34" s="410" t="str">
        <f>IF(AND('Mapa final'!$L$47="Baja",'Mapa final'!$P$47="Moderado"),CONCATENATE("R",'Mapa final'!$A$47),"")</f>
        <v/>
      </c>
      <c r="AA34" s="411"/>
      <c r="AB34" s="393" t="str">
        <f>IF(AND('Mapa final'!$L$35="Baja",'Mapa final'!$P$35="Mayor"),CONCATENATE("R",'Mapa final'!$A$35),"")</f>
        <v/>
      </c>
      <c r="AC34" s="389"/>
      <c r="AD34" s="389" t="str">
        <f>IF(AND('Mapa final'!$L$41="Baja",'Mapa final'!$P$41="Mayor"),CONCATENATE("R",'Mapa final'!$A$41),"")</f>
        <v/>
      </c>
      <c r="AE34" s="389"/>
      <c r="AF34" s="389" t="str">
        <f>IF(AND('Mapa final'!$L$47="Baja",'Mapa final'!$P$47="Mayor"),CONCATENATE("R",'Mapa final'!$A$47),"")</f>
        <v/>
      </c>
      <c r="AG34" s="390"/>
      <c r="AH34" s="400" t="str">
        <f>IF(AND('Mapa final'!$L$35="Baja",'Mapa final'!$P$35="Catastrófico"),CONCATENATE("R",'Mapa final'!$A$35),"")</f>
        <v/>
      </c>
      <c r="AI34" s="401"/>
      <c r="AJ34" s="401" t="str">
        <f>IF(AND('Mapa final'!$L$41="Baja",'Mapa final'!$P$41="Catastrófico"),CONCATENATE("R",'Mapa final'!$A$41),"")</f>
        <v/>
      </c>
      <c r="AK34" s="401"/>
      <c r="AL34" s="401" t="str">
        <f>IF(AND('Mapa final'!$L$47="Baja",'Mapa final'!$P$47="Catastrófico"),CONCATENATE("R",'Mapa final'!$A$47),"")</f>
        <v/>
      </c>
      <c r="AM34" s="402"/>
      <c r="AN34" s="80"/>
      <c r="AO34" s="374"/>
      <c r="AP34" s="375"/>
      <c r="AQ34" s="375"/>
      <c r="AR34" s="375"/>
      <c r="AS34" s="375"/>
      <c r="AT34" s="376"/>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342"/>
      <c r="C35" s="342"/>
      <c r="D35" s="343"/>
      <c r="E35" s="383"/>
      <c r="F35" s="384"/>
      <c r="G35" s="384"/>
      <c r="H35" s="384"/>
      <c r="I35" s="384"/>
      <c r="J35" s="420"/>
      <c r="K35" s="418"/>
      <c r="L35" s="418"/>
      <c r="M35" s="418"/>
      <c r="N35" s="418"/>
      <c r="O35" s="419"/>
      <c r="P35" s="410"/>
      <c r="Q35" s="410"/>
      <c r="R35" s="410"/>
      <c r="S35" s="410"/>
      <c r="T35" s="410"/>
      <c r="U35" s="411"/>
      <c r="V35" s="409"/>
      <c r="W35" s="410"/>
      <c r="X35" s="410"/>
      <c r="Y35" s="410"/>
      <c r="Z35" s="410"/>
      <c r="AA35" s="411"/>
      <c r="AB35" s="393"/>
      <c r="AC35" s="389"/>
      <c r="AD35" s="389"/>
      <c r="AE35" s="389"/>
      <c r="AF35" s="389"/>
      <c r="AG35" s="390"/>
      <c r="AH35" s="400"/>
      <c r="AI35" s="401"/>
      <c r="AJ35" s="401"/>
      <c r="AK35" s="401"/>
      <c r="AL35" s="401"/>
      <c r="AM35" s="402"/>
      <c r="AN35" s="80"/>
      <c r="AO35" s="374"/>
      <c r="AP35" s="375"/>
      <c r="AQ35" s="375"/>
      <c r="AR35" s="375"/>
      <c r="AS35" s="375"/>
      <c r="AT35" s="376"/>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342"/>
      <c r="C36" s="342"/>
      <c r="D36" s="343"/>
      <c r="E36" s="383"/>
      <c r="F36" s="384"/>
      <c r="G36" s="384"/>
      <c r="H36" s="384"/>
      <c r="I36" s="384"/>
      <c r="J36" s="420" t="str">
        <f>IF(AND('Mapa final'!$L$53="Baja",'Mapa final'!$P$53="Leve"),CONCATENATE("R",'Mapa final'!$A$53),"")</f>
        <v/>
      </c>
      <c r="K36" s="418"/>
      <c r="L36" s="418" t="str">
        <f>IF(AND('Mapa final'!$L$59="Baja",'Mapa final'!$P$59="Leve"),CONCATENATE("R",'Mapa final'!$A$59),"")</f>
        <v/>
      </c>
      <c r="M36" s="418"/>
      <c r="N36" s="418" t="str">
        <f>IF(AND('Mapa final'!$L$65="Baja",'Mapa final'!$P$65="Leve"),CONCATENATE("R",'Mapa final'!$A$65),"")</f>
        <v/>
      </c>
      <c r="O36" s="419"/>
      <c r="P36" s="410" t="str">
        <f>IF(AND('Mapa final'!$L$53="Baja",'Mapa final'!$P$53="Menor"),CONCATENATE("R",'Mapa final'!$A$53),"")</f>
        <v/>
      </c>
      <c r="Q36" s="410"/>
      <c r="R36" s="410" t="str">
        <f>IF(AND('Mapa final'!$L$59="Baja",'Mapa final'!$P$59="Menor"),CONCATENATE("R",'Mapa final'!$A$59),"")</f>
        <v/>
      </c>
      <c r="S36" s="410"/>
      <c r="T36" s="410" t="str">
        <f>IF(AND('Mapa final'!$L$65="Baja",'Mapa final'!$P$65="Menor"),CONCATENATE("R",'Mapa final'!$A$65),"")</f>
        <v/>
      </c>
      <c r="U36" s="411"/>
      <c r="V36" s="409" t="str">
        <f>IF(AND('Mapa final'!$L$53="Baja",'Mapa final'!$P$53="Moderado"),CONCATENATE("R",'Mapa final'!$A$53),"")</f>
        <v/>
      </c>
      <c r="W36" s="410"/>
      <c r="X36" s="410" t="str">
        <f>IF(AND('Mapa final'!$L$59="Baja",'Mapa final'!$P$59="Moderado"),CONCATENATE("R",'Mapa final'!$A$59),"")</f>
        <v/>
      </c>
      <c r="Y36" s="410"/>
      <c r="Z36" s="410" t="str">
        <f>IF(AND('Mapa final'!$L$65="Baja",'Mapa final'!$P$65="Moderado"),CONCATENATE("R",'Mapa final'!$A$65),"")</f>
        <v/>
      </c>
      <c r="AA36" s="411"/>
      <c r="AB36" s="393" t="str">
        <f>IF(AND('Mapa final'!$L$53="Baja",'Mapa final'!$P$53="Mayor"),CONCATENATE("R",'Mapa final'!$A$53),"")</f>
        <v/>
      </c>
      <c r="AC36" s="389"/>
      <c r="AD36" s="389" t="str">
        <f>IF(AND('Mapa final'!$L$59="Baja",'Mapa final'!$P$59="Mayor"),CONCATENATE("R",'Mapa final'!$A$59),"")</f>
        <v/>
      </c>
      <c r="AE36" s="389"/>
      <c r="AF36" s="389" t="str">
        <f>IF(AND('Mapa final'!$L$65="Baja",'Mapa final'!$P$65="Mayor"),CONCATENATE("R",'Mapa final'!$A$65),"")</f>
        <v/>
      </c>
      <c r="AG36" s="390"/>
      <c r="AH36" s="400" t="str">
        <f>IF(AND('Mapa final'!$L$53="Baja",'Mapa final'!$P$53="Catastrófico"),CONCATENATE("R",'Mapa final'!$A$53),"")</f>
        <v/>
      </c>
      <c r="AI36" s="401"/>
      <c r="AJ36" s="401" t="str">
        <f>IF(AND('Mapa final'!$L$59="Baja",'Mapa final'!$P$59="Catastrófico"),CONCATENATE("R",'Mapa final'!$A$59),"")</f>
        <v/>
      </c>
      <c r="AK36" s="401"/>
      <c r="AL36" s="401" t="str">
        <f>IF(AND('Mapa final'!$L$65="Baja",'Mapa final'!$P$65="Catastrófico"),CONCATENATE("R",'Mapa final'!$A$65),"")</f>
        <v/>
      </c>
      <c r="AM36" s="402"/>
      <c r="AN36" s="80"/>
      <c r="AO36" s="374"/>
      <c r="AP36" s="375"/>
      <c r="AQ36" s="375"/>
      <c r="AR36" s="375"/>
      <c r="AS36" s="375"/>
      <c r="AT36" s="376"/>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342"/>
      <c r="C37" s="342"/>
      <c r="D37" s="343"/>
      <c r="E37" s="386"/>
      <c r="F37" s="387"/>
      <c r="G37" s="387"/>
      <c r="H37" s="387"/>
      <c r="I37" s="387"/>
      <c r="J37" s="421"/>
      <c r="K37" s="422"/>
      <c r="L37" s="422"/>
      <c r="M37" s="422"/>
      <c r="N37" s="422"/>
      <c r="O37" s="423"/>
      <c r="P37" s="413"/>
      <c r="Q37" s="413"/>
      <c r="R37" s="413"/>
      <c r="S37" s="413"/>
      <c r="T37" s="413"/>
      <c r="U37" s="414"/>
      <c r="V37" s="412"/>
      <c r="W37" s="413"/>
      <c r="X37" s="413"/>
      <c r="Y37" s="413"/>
      <c r="Z37" s="413"/>
      <c r="AA37" s="414"/>
      <c r="AB37" s="397"/>
      <c r="AC37" s="398"/>
      <c r="AD37" s="398"/>
      <c r="AE37" s="398"/>
      <c r="AF37" s="398"/>
      <c r="AG37" s="399"/>
      <c r="AH37" s="403"/>
      <c r="AI37" s="404"/>
      <c r="AJ37" s="404"/>
      <c r="AK37" s="404"/>
      <c r="AL37" s="404"/>
      <c r="AM37" s="405"/>
      <c r="AN37" s="80"/>
      <c r="AO37" s="377"/>
      <c r="AP37" s="378"/>
      <c r="AQ37" s="378"/>
      <c r="AR37" s="378"/>
      <c r="AS37" s="378"/>
      <c r="AT37" s="379"/>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342"/>
      <c r="C38" s="342"/>
      <c r="D38" s="343"/>
      <c r="E38" s="380" t="s">
        <v>176</v>
      </c>
      <c r="F38" s="381"/>
      <c r="G38" s="381"/>
      <c r="H38" s="381"/>
      <c r="I38" s="382"/>
      <c r="J38" s="424" t="str">
        <f>IF(AND('Mapa final'!$L$11="Muy Baja",'Mapa final'!$P$11="Leve"),CONCATENATE("R",'Mapa final'!$A$11),"")</f>
        <v/>
      </c>
      <c r="K38" s="425"/>
      <c r="L38" s="425" t="str">
        <f>IF(AND('Mapa final'!$L$14="Muy Baja",'Mapa final'!$P$14="Leve"),CONCATENATE("R",'Mapa final'!$A$14),"")</f>
        <v/>
      </c>
      <c r="M38" s="425"/>
      <c r="N38" s="425" t="str">
        <f>IF(AND('Mapa final'!$L$17="Muy Baja",'Mapa final'!$P$17="Leve"),CONCATENATE("R",'Mapa final'!$A$17),"")</f>
        <v/>
      </c>
      <c r="O38" s="426"/>
      <c r="P38" s="424" t="str">
        <f>IF(AND('Mapa final'!$L$11="Muy Baja",'Mapa final'!$P$11="Menor"),CONCATENATE("R",'Mapa final'!$A$11),"")</f>
        <v/>
      </c>
      <c r="Q38" s="425"/>
      <c r="R38" s="425" t="str">
        <f>IF(AND('Mapa final'!$L$14="Muy Baja",'Mapa final'!$P$14="Menor"),CONCATENATE("R",'Mapa final'!$A$14),"")</f>
        <v/>
      </c>
      <c r="S38" s="425"/>
      <c r="T38" s="425" t="str">
        <f>IF(AND('Mapa final'!$L$17="Muy Baja",'Mapa final'!$P$17="Menor"),CONCATENATE("R",'Mapa final'!$A$17),"")</f>
        <v/>
      </c>
      <c r="U38" s="426"/>
      <c r="V38" s="415" t="str">
        <f>IF(AND('Mapa final'!$L$11="Muy Baja",'Mapa final'!$P$11="Moderado"),CONCATENATE("R",'Mapa final'!$A$11),"")</f>
        <v/>
      </c>
      <c r="W38" s="416"/>
      <c r="X38" s="416" t="str">
        <f>IF(AND('Mapa final'!$L$14="Muy Baja",'Mapa final'!$P$14="Moderado"),CONCATENATE("R",'Mapa final'!$A$14),"")</f>
        <v/>
      </c>
      <c r="Y38" s="416"/>
      <c r="Z38" s="416" t="str">
        <f>IF(AND('Mapa final'!$L$17="Muy Baja",'Mapa final'!$P$17="Moderado"),CONCATENATE("R",'Mapa final'!$A$17),"")</f>
        <v/>
      </c>
      <c r="AA38" s="417"/>
      <c r="AB38" s="391" t="str">
        <f>IF(AND('Mapa final'!$L$11="Muy Baja",'Mapa final'!$P$11="Mayor"),CONCATENATE("R",'Mapa final'!$A$11),"")</f>
        <v/>
      </c>
      <c r="AC38" s="392"/>
      <c r="AD38" s="392" t="str">
        <f>IF(AND('Mapa final'!$L$14="Muy Baja",'Mapa final'!$P$14="Mayor"),CONCATENATE("R",'Mapa final'!$A$14),"")</f>
        <v/>
      </c>
      <c r="AE38" s="392"/>
      <c r="AF38" s="392" t="str">
        <f>IF(AND('Mapa final'!$L$17="Muy Baja",'Mapa final'!$P$17="Mayor"),CONCATENATE("R",'Mapa final'!$A$17),"")</f>
        <v/>
      </c>
      <c r="AG38" s="394"/>
      <c r="AH38" s="406" t="str">
        <f>IF(AND('Mapa final'!$L$11="Muy Baja",'Mapa final'!$P$11="Catastrófico"),CONCATENATE("R",'Mapa final'!$A$11),"")</f>
        <v/>
      </c>
      <c r="AI38" s="407"/>
      <c r="AJ38" s="407" t="str">
        <f>IF(AND('Mapa final'!$L$14="Muy Baja",'Mapa final'!$P$14="Catastrófico"),CONCATENATE("R",'Mapa final'!$A$14),"")</f>
        <v/>
      </c>
      <c r="AK38" s="407"/>
      <c r="AL38" s="407" t="str">
        <f>IF(AND('Mapa final'!$L$17="Muy Baja",'Mapa final'!$P$17="Catastrófico"),CONCATENATE("R",'Mapa final'!$A$17),"")</f>
        <v/>
      </c>
      <c r="AM38" s="408"/>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342"/>
      <c r="C39" s="342"/>
      <c r="D39" s="343"/>
      <c r="E39" s="383"/>
      <c r="F39" s="384"/>
      <c r="G39" s="384"/>
      <c r="H39" s="384"/>
      <c r="I39" s="385"/>
      <c r="J39" s="420"/>
      <c r="K39" s="418"/>
      <c r="L39" s="418"/>
      <c r="M39" s="418"/>
      <c r="N39" s="418"/>
      <c r="O39" s="419"/>
      <c r="P39" s="420"/>
      <c r="Q39" s="418"/>
      <c r="R39" s="418"/>
      <c r="S39" s="418"/>
      <c r="T39" s="418"/>
      <c r="U39" s="419"/>
      <c r="V39" s="409"/>
      <c r="W39" s="410"/>
      <c r="X39" s="410"/>
      <c r="Y39" s="410"/>
      <c r="Z39" s="410"/>
      <c r="AA39" s="411"/>
      <c r="AB39" s="393"/>
      <c r="AC39" s="389"/>
      <c r="AD39" s="389"/>
      <c r="AE39" s="389"/>
      <c r="AF39" s="389"/>
      <c r="AG39" s="390"/>
      <c r="AH39" s="400"/>
      <c r="AI39" s="401"/>
      <c r="AJ39" s="401"/>
      <c r="AK39" s="401"/>
      <c r="AL39" s="401"/>
      <c r="AM39" s="402"/>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342"/>
      <c r="C40" s="342"/>
      <c r="D40" s="343"/>
      <c r="E40" s="383"/>
      <c r="F40" s="384"/>
      <c r="G40" s="384"/>
      <c r="H40" s="384"/>
      <c r="I40" s="385"/>
      <c r="J40" s="420" t="str">
        <f>IF(AND('Mapa final'!$L$20="Muy Baja",'Mapa final'!$P$20="Leve"),CONCATENATE("R",'Mapa final'!$A$20),"")</f>
        <v/>
      </c>
      <c r="K40" s="418"/>
      <c r="L40" s="418" t="str">
        <f>IF(AND('Mapa final'!$L$23="Muy Baja",'Mapa final'!$P$23="Leve"),CONCATENATE("R",'Mapa final'!$A$23),"")</f>
        <v/>
      </c>
      <c r="M40" s="418"/>
      <c r="N40" s="418" t="str">
        <f>IF(AND('Mapa final'!$L$29="Muy Baja",'Mapa final'!$P$29="Leve"),CONCATENATE("R",'Mapa final'!$A$29),"")</f>
        <v/>
      </c>
      <c r="O40" s="419"/>
      <c r="P40" s="420" t="str">
        <f>IF(AND('Mapa final'!$L$20="Muy Baja",'Mapa final'!$P$20="Menor"),CONCATENATE("R",'Mapa final'!$A$20),"")</f>
        <v/>
      </c>
      <c r="Q40" s="418"/>
      <c r="R40" s="418" t="str">
        <f>IF(AND('Mapa final'!$L$23="Muy Baja",'Mapa final'!$P$23="Menor"),CONCATENATE("R",'Mapa final'!$A$23),"")</f>
        <v/>
      </c>
      <c r="S40" s="418"/>
      <c r="T40" s="418" t="str">
        <f>IF(AND('Mapa final'!$L$29="Muy Baja",'Mapa final'!$P$29="Menor"),CONCATENATE("R",'Mapa final'!$A$29),"")</f>
        <v/>
      </c>
      <c r="U40" s="419"/>
      <c r="V40" s="409" t="str">
        <f>IF(AND('Mapa final'!$L$20="Muy Baja",'Mapa final'!$P$20="Moderado"),CONCATENATE("R",'Mapa final'!$A$20),"")</f>
        <v/>
      </c>
      <c r="W40" s="410"/>
      <c r="X40" s="410" t="str">
        <f>IF(AND('Mapa final'!$L$23="Muy Baja",'Mapa final'!$P$23="Moderado"),CONCATENATE("R",'Mapa final'!$A$23),"")</f>
        <v/>
      </c>
      <c r="Y40" s="410"/>
      <c r="Z40" s="410" t="str">
        <f>IF(AND('Mapa final'!$L$29="Muy Baja",'Mapa final'!$P$29="Moderado"),CONCATENATE("R",'Mapa final'!$A$29),"")</f>
        <v/>
      </c>
      <c r="AA40" s="411"/>
      <c r="AB40" s="393" t="str">
        <f>IF(AND('Mapa final'!$L$20="Muy Baja",'Mapa final'!$P$20="Mayor"),CONCATENATE("R",'Mapa final'!$A$20),"")</f>
        <v/>
      </c>
      <c r="AC40" s="389"/>
      <c r="AD40" s="389" t="str">
        <f>IF(AND('Mapa final'!$L$23="Muy Baja",'Mapa final'!$P$23="Mayor"),CONCATENATE("R",'Mapa final'!$A$23),"")</f>
        <v/>
      </c>
      <c r="AE40" s="389"/>
      <c r="AF40" s="389" t="str">
        <f>IF(AND('Mapa final'!$L$29="Muy Baja",'Mapa final'!$P$29="Mayor"),CONCATENATE("R",'Mapa final'!$A$29),"")</f>
        <v/>
      </c>
      <c r="AG40" s="390"/>
      <c r="AH40" s="400" t="str">
        <f>IF(AND('Mapa final'!$L$20="Muy Baja",'Mapa final'!$P$20="Catastrófico"),CONCATENATE("R",'Mapa final'!$A$20),"")</f>
        <v/>
      </c>
      <c r="AI40" s="401"/>
      <c r="AJ40" s="401" t="str">
        <f>IF(AND('Mapa final'!$L$23="Muy Baja",'Mapa final'!$P$23="Catastrófico"),CONCATENATE("R",'Mapa final'!$A$23),"")</f>
        <v/>
      </c>
      <c r="AK40" s="401"/>
      <c r="AL40" s="401" t="str">
        <f>IF(AND('Mapa final'!$L$29="Muy Baja",'Mapa final'!$P$29="Catastrófico"),CONCATENATE("R",'Mapa final'!$A$29),"")</f>
        <v/>
      </c>
      <c r="AM40" s="402"/>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342"/>
      <c r="C41" s="342"/>
      <c r="D41" s="343"/>
      <c r="E41" s="383"/>
      <c r="F41" s="384"/>
      <c r="G41" s="384"/>
      <c r="H41" s="384"/>
      <c r="I41" s="385"/>
      <c r="J41" s="420"/>
      <c r="K41" s="418"/>
      <c r="L41" s="418"/>
      <c r="M41" s="418"/>
      <c r="N41" s="418"/>
      <c r="O41" s="419"/>
      <c r="P41" s="420"/>
      <c r="Q41" s="418"/>
      <c r="R41" s="418"/>
      <c r="S41" s="418"/>
      <c r="T41" s="418"/>
      <c r="U41" s="419"/>
      <c r="V41" s="409"/>
      <c r="W41" s="410"/>
      <c r="X41" s="410"/>
      <c r="Y41" s="410"/>
      <c r="Z41" s="410"/>
      <c r="AA41" s="411"/>
      <c r="AB41" s="393"/>
      <c r="AC41" s="389"/>
      <c r="AD41" s="389"/>
      <c r="AE41" s="389"/>
      <c r="AF41" s="389"/>
      <c r="AG41" s="390"/>
      <c r="AH41" s="400"/>
      <c r="AI41" s="401"/>
      <c r="AJ41" s="401"/>
      <c r="AK41" s="401"/>
      <c r="AL41" s="401"/>
      <c r="AM41" s="402"/>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342"/>
      <c r="C42" s="342"/>
      <c r="D42" s="343"/>
      <c r="E42" s="383"/>
      <c r="F42" s="384"/>
      <c r="G42" s="384"/>
      <c r="H42" s="384"/>
      <c r="I42" s="385"/>
      <c r="J42" s="420" t="str">
        <f>IF(AND('Mapa final'!$L$35="Muy Baja",'Mapa final'!$P$35="Leve"),CONCATENATE("R",'Mapa final'!$A$35),"")</f>
        <v/>
      </c>
      <c r="K42" s="418"/>
      <c r="L42" s="418" t="str">
        <f>IF(AND('Mapa final'!$L$41="Muy Baja",'Mapa final'!$P$41="Leve"),CONCATENATE("R",'Mapa final'!$A$41),"")</f>
        <v/>
      </c>
      <c r="M42" s="418"/>
      <c r="N42" s="418" t="str">
        <f>IF(AND('Mapa final'!$L$47="Muy Baja",'Mapa final'!$P$47="Leve"),CONCATENATE("R",'Mapa final'!$A$47),"")</f>
        <v/>
      </c>
      <c r="O42" s="419"/>
      <c r="P42" s="420" t="str">
        <f>IF(AND('Mapa final'!$L$35="Muy Baja",'Mapa final'!$P$35="Menor"),CONCATENATE("R",'Mapa final'!$A$35),"")</f>
        <v/>
      </c>
      <c r="Q42" s="418"/>
      <c r="R42" s="418" t="str">
        <f>IF(AND('Mapa final'!$L$41="Muy Baja",'Mapa final'!$P$41="Menor"),CONCATENATE("R",'Mapa final'!$A$41),"")</f>
        <v/>
      </c>
      <c r="S42" s="418"/>
      <c r="T42" s="418" t="str">
        <f>IF(AND('Mapa final'!$L$47="Muy Baja",'Mapa final'!$P$47="Menor"),CONCATENATE("R",'Mapa final'!$A$47),"")</f>
        <v/>
      </c>
      <c r="U42" s="419"/>
      <c r="V42" s="409" t="str">
        <f>IF(AND('Mapa final'!$L$35="Muy Baja",'Mapa final'!$P$35="Moderado"),CONCATENATE("R",'Mapa final'!$A$35),"")</f>
        <v/>
      </c>
      <c r="W42" s="410"/>
      <c r="X42" s="410" t="str">
        <f>IF(AND('Mapa final'!$L$41="Muy Baja",'Mapa final'!$P$41="Moderado"),CONCATENATE("R",'Mapa final'!$A$41),"")</f>
        <v/>
      </c>
      <c r="Y42" s="410"/>
      <c r="Z42" s="410" t="str">
        <f>IF(AND('Mapa final'!$L$47="Muy Baja",'Mapa final'!$P$47="Moderado"),CONCATENATE("R",'Mapa final'!$A$47),"")</f>
        <v/>
      </c>
      <c r="AA42" s="411"/>
      <c r="AB42" s="393" t="str">
        <f>IF(AND('Mapa final'!$L$35="Muy Baja",'Mapa final'!$P$35="Mayor"),CONCATENATE("R",'Mapa final'!$A$35),"")</f>
        <v/>
      </c>
      <c r="AC42" s="389"/>
      <c r="AD42" s="389" t="str">
        <f>IF(AND('Mapa final'!$L$41="Muy Baja",'Mapa final'!$P$41="Mayor"),CONCATENATE("R",'Mapa final'!$A$41),"")</f>
        <v/>
      </c>
      <c r="AE42" s="389"/>
      <c r="AF42" s="389" t="str">
        <f>IF(AND('Mapa final'!$L$47="Muy Baja",'Mapa final'!$P$47="Mayor"),CONCATENATE("R",'Mapa final'!$A$47),"")</f>
        <v/>
      </c>
      <c r="AG42" s="390"/>
      <c r="AH42" s="400" t="str">
        <f>IF(AND('Mapa final'!$L$35="Muy Baja",'Mapa final'!$P$35="Catastrófico"),CONCATENATE("R",'Mapa final'!$A$35),"")</f>
        <v/>
      </c>
      <c r="AI42" s="401"/>
      <c r="AJ42" s="401" t="str">
        <f>IF(AND('Mapa final'!$L$41="Muy Baja",'Mapa final'!$P$41="Catastrófico"),CONCATENATE("R",'Mapa final'!$A$41),"")</f>
        <v/>
      </c>
      <c r="AK42" s="401"/>
      <c r="AL42" s="401" t="str">
        <f>IF(AND('Mapa final'!$L$47="Muy Baja",'Mapa final'!$P$47="Catastrófico"),CONCATENATE("R",'Mapa final'!$A$47),"")</f>
        <v/>
      </c>
      <c r="AM42" s="402"/>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342"/>
      <c r="C43" s="342"/>
      <c r="D43" s="343"/>
      <c r="E43" s="383"/>
      <c r="F43" s="384"/>
      <c r="G43" s="384"/>
      <c r="H43" s="384"/>
      <c r="I43" s="385"/>
      <c r="J43" s="420"/>
      <c r="K43" s="418"/>
      <c r="L43" s="418"/>
      <c r="M43" s="418"/>
      <c r="N43" s="418"/>
      <c r="O43" s="419"/>
      <c r="P43" s="420"/>
      <c r="Q43" s="418"/>
      <c r="R43" s="418"/>
      <c r="S43" s="418"/>
      <c r="T43" s="418"/>
      <c r="U43" s="419"/>
      <c r="V43" s="409"/>
      <c r="W43" s="410"/>
      <c r="X43" s="410"/>
      <c r="Y43" s="410"/>
      <c r="Z43" s="410"/>
      <c r="AA43" s="411"/>
      <c r="AB43" s="393"/>
      <c r="AC43" s="389"/>
      <c r="AD43" s="389"/>
      <c r="AE43" s="389"/>
      <c r="AF43" s="389"/>
      <c r="AG43" s="390"/>
      <c r="AH43" s="400"/>
      <c r="AI43" s="401"/>
      <c r="AJ43" s="401"/>
      <c r="AK43" s="401"/>
      <c r="AL43" s="401"/>
      <c r="AM43" s="402"/>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342"/>
      <c r="C44" s="342"/>
      <c r="D44" s="343"/>
      <c r="E44" s="383"/>
      <c r="F44" s="384"/>
      <c r="G44" s="384"/>
      <c r="H44" s="384"/>
      <c r="I44" s="385"/>
      <c r="J44" s="420" t="str">
        <f>IF(AND('Mapa final'!$L$53="Muy Baja",'Mapa final'!$P$53="Leve"),CONCATENATE("R",'Mapa final'!$A$53),"")</f>
        <v/>
      </c>
      <c r="K44" s="418"/>
      <c r="L44" s="418" t="str">
        <f>IF(AND('Mapa final'!$L$59="Muy Baja",'Mapa final'!$P$59="Leve"),CONCATENATE("R",'Mapa final'!$A$59),"")</f>
        <v/>
      </c>
      <c r="M44" s="418"/>
      <c r="N44" s="418" t="str">
        <f>IF(AND('Mapa final'!$L$65="Muy Baja",'Mapa final'!$P$65="Leve"),CONCATENATE("R",'Mapa final'!$A$65),"")</f>
        <v/>
      </c>
      <c r="O44" s="419"/>
      <c r="P44" s="420" t="str">
        <f>IF(AND('Mapa final'!$L$53="Muy Baja",'Mapa final'!$P$53="Menor"),CONCATENATE("R",'Mapa final'!$A$53),"")</f>
        <v/>
      </c>
      <c r="Q44" s="418"/>
      <c r="R44" s="418" t="str">
        <f>IF(AND('Mapa final'!$L$59="Muy Baja",'Mapa final'!$P$59="Menor"),CONCATENATE("R",'Mapa final'!$A$59),"")</f>
        <v/>
      </c>
      <c r="S44" s="418"/>
      <c r="T44" s="418" t="str">
        <f>IF(AND('Mapa final'!$L$65="Muy Baja",'Mapa final'!$P$65="Menor"),CONCATENATE("R",'Mapa final'!$A$65),"")</f>
        <v/>
      </c>
      <c r="U44" s="419"/>
      <c r="V44" s="409" t="str">
        <f>IF(AND('Mapa final'!$L$53="Muy Baja",'Mapa final'!$P$53="Moderado"),CONCATENATE("R",'Mapa final'!$A$53),"")</f>
        <v/>
      </c>
      <c r="W44" s="410"/>
      <c r="X44" s="410" t="str">
        <f>IF(AND('Mapa final'!$L$59="Muy Baja",'Mapa final'!$P$59="Moderado"),CONCATENATE("R",'Mapa final'!$A$59),"")</f>
        <v/>
      </c>
      <c r="Y44" s="410"/>
      <c r="Z44" s="410" t="str">
        <f>IF(AND('Mapa final'!$L$65="Muy Baja",'Mapa final'!$P$65="Moderado"),CONCATENATE("R",'Mapa final'!$A$65),"")</f>
        <v/>
      </c>
      <c r="AA44" s="411"/>
      <c r="AB44" s="393" t="str">
        <f>IF(AND('Mapa final'!$L$53="Muy Baja",'Mapa final'!$P$53="Mayor"),CONCATENATE("R",'Mapa final'!$A$53),"")</f>
        <v/>
      </c>
      <c r="AC44" s="389"/>
      <c r="AD44" s="389" t="str">
        <f>IF(AND('Mapa final'!$L$59="Muy Baja",'Mapa final'!$P$59="Mayor"),CONCATENATE("R",'Mapa final'!$A$59),"")</f>
        <v/>
      </c>
      <c r="AE44" s="389"/>
      <c r="AF44" s="389" t="str">
        <f>IF(AND('Mapa final'!$L$65="Muy Baja",'Mapa final'!$P$65="Mayor"),CONCATENATE("R",'Mapa final'!$A$65),"")</f>
        <v/>
      </c>
      <c r="AG44" s="390"/>
      <c r="AH44" s="400" t="str">
        <f>IF(AND('Mapa final'!$L$53="Muy Baja",'Mapa final'!$P$53="Catastrófico"),CONCATENATE("R",'Mapa final'!$A$53),"")</f>
        <v/>
      </c>
      <c r="AI44" s="401"/>
      <c r="AJ44" s="401" t="str">
        <f>IF(AND('Mapa final'!$L$59="Muy Baja",'Mapa final'!$P$59="Catastrófico"),CONCATENATE("R",'Mapa final'!$A$59),"")</f>
        <v/>
      </c>
      <c r="AK44" s="401"/>
      <c r="AL44" s="401" t="str">
        <f>IF(AND('Mapa final'!$L$65="Muy Baja",'Mapa final'!$P$65="Catastrófico"),CONCATENATE("R",'Mapa final'!$A$65),"")</f>
        <v/>
      </c>
      <c r="AM44" s="402"/>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342"/>
      <c r="C45" s="342"/>
      <c r="D45" s="343"/>
      <c r="E45" s="386"/>
      <c r="F45" s="387"/>
      <c r="G45" s="387"/>
      <c r="H45" s="387"/>
      <c r="I45" s="388"/>
      <c r="J45" s="421"/>
      <c r="K45" s="422"/>
      <c r="L45" s="422"/>
      <c r="M45" s="422"/>
      <c r="N45" s="422"/>
      <c r="O45" s="423"/>
      <c r="P45" s="421"/>
      <c r="Q45" s="422"/>
      <c r="R45" s="422"/>
      <c r="S45" s="422"/>
      <c r="T45" s="422"/>
      <c r="U45" s="423"/>
      <c r="V45" s="412"/>
      <c r="W45" s="413"/>
      <c r="X45" s="413"/>
      <c r="Y45" s="413"/>
      <c r="Z45" s="413"/>
      <c r="AA45" s="414"/>
      <c r="AB45" s="397"/>
      <c r="AC45" s="398"/>
      <c r="AD45" s="398"/>
      <c r="AE45" s="398"/>
      <c r="AF45" s="398"/>
      <c r="AG45" s="399"/>
      <c r="AH45" s="403"/>
      <c r="AI45" s="404"/>
      <c r="AJ45" s="404"/>
      <c r="AK45" s="404"/>
      <c r="AL45" s="404"/>
      <c r="AM45" s="405"/>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380" t="s">
        <v>177</v>
      </c>
      <c r="K46" s="381"/>
      <c r="L46" s="381"/>
      <c r="M46" s="381"/>
      <c r="N46" s="381"/>
      <c r="O46" s="382"/>
      <c r="P46" s="380" t="s">
        <v>178</v>
      </c>
      <c r="Q46" s="381"/>
      <c r="R46" s="381"/>
      <c r="S46" s="381"/>
      <c r="T46" s="381"/>
      <c r="U46" s="382"/>
      <c r="V46" s="380" t="s">
        <v>179</v>
      </c>
      <c r="W46" s="381"/>
      <c r="X46" s="381"/>
      <c r="Y46" s="381"/>
      <c r="Z46" s="381"/>
      <c r="AA46" s="382"/>
      <c r="AB46" s="380" t="s">
        <v>180</v>
      </c>
      <c r="AC46" s="396"/>
      <c r="AD46" s="381"/>
      <c r="AE46" s="381"/>
      <c r="AF46" s="381"/>
      <c r="AG46" s="382"/>
      <c r="AH46" s="380" t="s">
        <v>181</v>
      </c>
      <c r="AI46" s="381"/>
      <c r="AJ46" s="381"/>
      <c r="AK46" s="381"/>
      <c r="AL46" s="381"/>
      <c r="AM46" s="382"/>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383"/>
      <c r="K47" s="384"/>
      <c r="L47" s="384"/>
      <c r="M47" s="384"/>
      <c r="N47" s="384"/>
      <c r="O47" s="385"/>
      <c r="P47" s="383"/>
      <c r="Q47" s="384"/>
      <c r="R47" s="384"/>
      <c r="S47" s="384"/>
      <c r="T47" s="384"/>
      <c r="U47" s="385"/>
      <c r="V47" s="383"/>
      <c r="W47" s="384"/>
      <c r="X47" s="384"/>
      <c r="Y47" s="384"/>
      <c r="Z47" s="384"/>
      <c r="AA47" s="385"/>
      <c r="AB47" s="383"/>
      <c r="AC47" s="384"/>
      <c r="AD47" s="384"/>
      <c r="AE47" s="384"/>
      <c r="AF47" s="384"/>
      <c r="AG47" s="385"/>
      <c r="AH47" s="383"/>
      <c r="AI47" s="384"/>
      <c r="AJ47" s="384"/>
      <c r="AK47" s="384"/>
      <c r="AL47" s="384"/>
      <c r="AM47" s="385"/>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383"/>
      <c r="K48" s="384"/>
      <c r="L48" s="384"/>
      <c r="M48" s="384"/>
      <c r="N48" s="384"/>
      <c r="O48" s="385"/>
      <c r="P48" s="383"/>
      <c r="Q48" s="384"/>
      <c r="R48" s="384"/>
      <c r="S48" s="384"/>
      <c r="T48" s="384"/>
      <c r="U48" s="385"/>
      <c r="V48" s="383"/>
      <c r="W48" s="384"/>
      <c r="X48" s="384"/>
      <c r="Y48" s="384"/>
      <c r="Z48" s="384"/>
      <c r="AA48" s="385"/>
      <c r="AB48" s="383"/>
      <c r="AC48" s="384"/>
      <c r="AD48" s="384"/>
      <c r="AE48" s="384"/>
      <c r="AF48" s="384"/>
      <c r="AG48" s="385"/>
      <c r="AH48" s="383"/>
      <c r="AI48" s="384"/>
      <c r="AJ48" s="384"/>
      <c r="AK48" s="384"/>
      <c r="AL48" s="384"/>
      <c r="AM48" s="385"/>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383"/>
      <c r="K49" s="384"/>
      <c r="L49" s="384"/>
      <c r="M49" s="384"/>
      <c r="N49" s="384"/>
      <c r="O49" s="385"/>
      <c r="P49" s="383"/>
      <c r="Q49" s="384"/>
      <c r="R49" s="384"/>
      <c r="S49" s="384"/>
      <c r="T49" s="384"/>
      <c r="U49" s="385"/>
      <c r="V49" s="383"/>
      <c r="W49" s="384"/>
      <c r="X49" s="384"/>
      <c r="Y49" s="384"/>
      <c r="Z49" s="384"/>
      <c r="AA49" s="385"/>
      <c r="AB49" s="383"/>
      <c r="AC49" s="384"/>
      <c r="AD49" s="384"/>
      <c r="AE49" s="384"/>
      <c r="AF49" s="384"/>
      <c r="AG49" s="385"/>
      <c r="AH49" s="383"/>
      <c r="AI49" s="384"/>
      <c r="AJ49" s="384"/>
      <c r="AK49" s="384"/>
      <c r="AL49" s="384"/>
      <c r="AM49" s="385"/>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383"/>
      <c r="K50" s="384"/>
      <c r="L50" s="384"/>
      <c r="M50" s="384"/>
      <c r="N50" s="384"/>
      <c r="O50" s="385"/>
      <c r="P50" s="383"/>
      <c r="Q50" s="384"/>
      <c r="R50" s="384"/>
      <c r="S50" s="384"/>
      <c r="T50" s="384"/>
      <c r="U50" s="385"/>
      <c r="V50" s="383"/>
      <c r="W50" s="384"/>
      <c r="X50" s="384"/>
      <c r="Y50" s="384"/>
      <c r="Z50" s="384"/>
      <c r="AA50" s="385"/>
      <c r="AB50" s="383"/>
      <c r="AC50" s="384"/>
      <c r="AD50" s="384"/>
      <c r="AE50" s="384"/>
      <c r="AF50" s="384"/>
      <c r="AG50" s="385"/>
      <c r="AH50" s="383"/>
      <c r="AI50" s="384"/>
      <c r="AJ50" s="384"/>
      <c r="AK50" s="384"/>
      <c r="AL50" s="384"/>
      <c r="AM50" s="385"/>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386"/>
      <c r="K51" s="387"/>
      <c r="L51" s="387"/>
      <c r="M51" s="387"/>
      <c r="N51" s="387"/>
      <c r="O51" s="388"/>
      <c r="P51" s="386"/>
      <c r="Q51" s="387"/>
      <c r="R51" s="387"/>
      <c r="S51" s="387"/>
      <c r="T51" s="387"/>
      <c r="U51" s="388"/>
      <c r="V51" s="386"/>
      <c r="W51" s="387"/>
      <c r="X51" s="387"/>
      <c r="Y51" s="387"/>
      <c r="Z51" s="387"/>
      <c r="AA51" s="388"/>
      <c r="AB51" s="386"/>
      <c r="AC51" s="387"/>
      <c r="AD51" s="387"/>
      <c r="AE51" s="387"/>
      <c r="AF51" s="387"/>
      <c r="AG51" s="388"/>
      <c r="AH51" s="386"/>
      <c r="AI51" s="387"/>
      <c r="AJ51" s="387"/>
      <c r="AK51" s="387"/>
      <c r="AL51" s="387"/>
      <c r="AM51" s="388"/>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453" t="s">
        <v>182</v>
      </c>
      <c r="C2" s="454"/>
      <c r="D2" s="454"/>
      <c r="E2" s="454"/>
      <c r="F2" s="454"/>
      <c r="G2" s="454"/>
      <c r="H2" s="454"/>
      <c r="I2" s="454"/>
      <c r="J2" s="395" t="s">
        <v>15</v>
      </c>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454"/>
      <c r="C3" s="454"/>
      <c r="D3" s="454"/>
      <c r="E3" s="454"/>
      <c r="F3" s="454"/>
      <c r="G3" s="454"/>
      <c r="H3" s="454"/>
      <c r="I3" s="454"/>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454"/>
      <c r="C4" s="454"/>
      <c r="D4" s="454"/>
      <c r="E4" s="454"/>
      <c r="F4" s="454"/>
      <c r="G4" s="454"/>
      <c r="H4" s="454"/>
      <c r="I4" s="454"/>
      <c r="J4" s="395"/>
      <c r="K4" s="395"/>
      <c r="L4" s="395"/>
      <c r="M4" s="395"/>
      <c r="N4" s="395"/>
      <c r="O4" s="395"/>
      <c r="P4" s="395"/>
      <c r="Q4" s="395"/>
      <c r="R4" s="395"/>
      <c r="S4" s="395"/>
      <c r="T4" s="395"/>
      <c r="U4" s="395"/>
      <c r="V4" s="395"/>
      <c r="W4" s="395"/>
      <c r="X4" s="395"/>
      <c r="Y4" s="395"/>
      <c r="Z4" s="395"/>
      <c r="AA4" s="395"/>
      <c r="AB4" s="395"/>
      <c r="AC4" s="395"/>
      <c r="AD4" s="395"/>
      <c r="AE4" s="395"/>
      <c r="AF4" s="395"/>
      <c r="AG4" s="395"/>
      <c r="AH4" s="395"/>
      <c r="AI4" s="395"/>
      <c r="AJ4" s="395"/>
      <c r="AK4" s="395"/>
      <c r="AL4" s="395"/>
      <c r="AM4" s="395"/>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342" t="s">
        <v>102</v>
      </c>
      <c r="C6" s="342"/>
      <c r="D6" s="343"/>
      <c r="E6" s="437" t="s">
        <v>168</v>
      </c>
      <c r="F6" s="438"/>
      <c r="G6" s="438"/>
      <c r="H6" s="438"/>
      <c r="I6" s="455"/>
      <c r="J6" s="43" t="str">
        <f>IF(AND('Mapa final'!$AI$11="Muy Alta",'Mapa final'!$AK$11="Leve"),CONCATENATE("R1C",'Mapa final'!$Y$11),"")</f>
        <v/>
      </c>
      <c r="K6" s="44" t="str">
        <f>IF(AND('Mapa final'!$AI$12="Muy Alta",'Mapa final'!$AK$12="Leve"),CONCATENATE("R1C",'Mapa final'!$Y$12),"")</f>
        <v/>
      </c>
      <c r="L6" s="44" t="str">
        <f>IF(AND('Mapa final'!$AI$13="Muy Alta",'Mapa final'!$AK$13="Leve"),CONCATENATE("R1C",'Mapa final'!$Y$13),"")</f>
        <v/>
      </c>
      <c r="M6" s="44" t="e">
        <f>IF(AND('Mapa final'!#REF!="Muy Alta",'Mapa final'!#REF!="Leve"),CONCATENATE("R1C",'Mapa final'!#REF!),"")</f>
        <v>#REF!</v>
      </c>
      <c r="N6" s="44" t="e">
        <f>IF(AND('Mapa final'!#REF!="Muy Alta",'Mapa final'!#REF!="Leve"),CONCATENATE("R1C",'Mapa final'!#REF!),"")</f>
        <v>#REF!</v>
      </c>
      <c r="O6" s="45" t="e">
        <f>IF(AND('Mapa final'!#REF!="Muy Alta",'Mapa final'!#REF!="Leve"),CONCATENATE("R1C",'Mapa final'!#REF!),"")</f>
        <v>#REF!</v>
      </c>
      <c r="P6" s="43" t="str">
        <f>IF(AND('Mapa final'!$AI$11="Muy Alta",'Mapa final'!$AK$11="Menor"),CONCATENATE("R1C",'Mapa final'!$Y$11),"")</f>
        <v/>
      </c>
      <c r="Q6" s="44" t="str">
        <f>IF(AND('Mapa final'!$AI$12="Muy Alta",'Mapa final'!$AK$12="Menor"),CONCATENATE("R1C",'Mapa final'!$Y$12),"")</f>
        <v/>
      </c>
      <c r="R6" s="44" t="str">
        <f>IF(AND('Mapa final'!$AI$13="Muy Alta",'Mapa final'!$AK$13="Menor"),CONCATENATE("R1C",'Mapa final'!$Y$13),"")</f>
        <v/>
      </c>
      <c r="S6" s="44" t="e">
        <f>IF(AND('Mapa final'!#REF!="Muy Alta",'Mapa final'!#REF!="Menor"),CONCATENATE("R1C",'Mapa final'!#REF!),"")</f>
        <v>#REF!</v>
      </c>
      <c r="T6" s="44" t="e">
        <f>IF(AND('Mapa final'!#REF!="Muy Alta",'Mapa final'!#REF!="Menor"),CONCATENATE("R1C",'Mapa final'!#REF!),"")</f>
        <v>#REF!</v>
      </c>
      <c r="U6" s="45" t="e">
        <f>IF(AND('Mapa final'!#REF!="Muy Alta",'Mapa final'!#REF!="Menor"),CONCATENATE("R1C",'Mapa final'!#REF!),"")</f>
        <v>#REF!</v>
      </c>
      <c r="V6" s="43" t="str">
        <f>IF(AND('Mapa final'!$AI$11="Muy Alta",'Mapa final'!$AK$11="Moderado"),CONCATENATE("R1C",'Mapa final'!$Y$11),"")</f>
        <v/>
      </c>
      <c r="W6" s="44" t="str">
        <f>IF(AND('Mapa final'!$AI$12="Muy Alta",'Mapa final'!$AK$12="Moderado"),CONCATENATE("R1C",'Mapa final'!$Y$12),"")</f>
        <v/>
      </c>
      <c r="X6" s="44" t="str">
        <f>IF(AND('Mapa final'!$AI$13="Muy Alta",'Mapa final'!$AK$13="Moderado"),CONCATENATE("R1C",'Mapa final'!$Y$13),"")</f>
        <v/>
      </c>
      <c r="Y6" s="44" t="e">
        <f>IF(AND('Mapa final'!#REF!="Muy Alta",'Mapa final'!#REF!="Moderado"),CONCATENATE("R1C",'Mapa final'!#REF!),"")</f>
        <v>#REF!</v>
      </c>
      <c r="Z6" s="44" t="e">
        <f>IF(AND('Mapa final'!#REF!="Muy Alta",'Mapa final'!#REF!="Moderado"),CONCATENATE("R1C",'Mapa final'!#REF!),"")</f>
        <v>#REF!</v>
      </c>
      <c r="AA6" s="45" t="e">
        <f>IF(AND('Mapa final'!#REF!="Muy Alta",'Mapa final'!#REF!="Moderado"),CONCATENATE("R1C",'Mapa final'!#REF!),"")</f>
        <v>#REF!</v>
      </c>
      <c r="AB6" s="43" t="str">
        <f>IF(AND('Mapa final'!$AI$11="Muy Alta",'Mapa final'!$AK$11="Mayor"),CONCATENATE("R1C",'Mapa final'!$Y$11),"")</f>
        <v/>
      </c>
      <c r="AC6" s="44" t="str">
        <f>IF(AND('Mapa final'!$AI$12="Muy Alta",'Mapa final'!$AK$12="Mayor"),CONCATENATE("R1C",'Mapa final'!$Y$12),"")</f>
        <v/>
      </c>
      <c r="AD6" s="44" t="str">
        <f>IF(AND('Mapa final'!$AI$13="Muy Alta",'Mapa final'!$AK$13="Mayor"),CONCATENATE("R1C",'Mapa final'!$Y$13),"")</f>
        <v/>
      </c>
      <c r="AE6" s="44" t="e">
        <f>IF(AND('Mapa final'!#REF!="Muy Alta",'Mapa final'!#REF!="Mayor"),CONCATENATE("R1C",'Mapa final'!#REF!),"")</f>
        <v>#REF!</v>
      </c>
      <c r="AF6" s="44" t="e">
        <f>IF(AND('Mapa final'!#REF!="Muy Alta",'Mapa final'!#REF!="Mayor"),CONCATENATE("R1C",'Mapa final'!#REF!),"")</f>
        <v>#REF!</v>
      </c>
      <c r="AG6" s="45" t="e">
        <f>IF(AND('Mapa final'!#REF!="Muy Alta",'Mapa final'!#REF!="Mayor"),CONCATENATE("R1C",'Mapa final'!#REF!),"")</f>
        <v>#REF!</v>
      </c>
      <c r="AH6" s="46" t="str">
        <f>IF(AND('Mapa final'!$AI$11="Muy Alta",'Mapa final'!$AK$11="Catastrófico"),CONCATENATE("R1C",'Mapa final'!$Y$11),"")</f>
        <v/>
      </c>
      <c r="AI6" s="47" t="str">
        <f>IF(AND('Mapa final'!$AI$12="Muy Alta",'Mapa final'!$AK$12="Catastrófico"),CONCATENATE("R1C",'Mapa final'!$Y$12),"")</f>
        <v/>
      </c>
      <c r="AJ6" s="47" t="str">
        <f>IF(AND('Mapa final'!$AI$13="Muy Alta",'Mapa final'!$AK$13="Catastrófico"),CONCATENATE("R1C",'Mapa final'!$Y$13),"")</f>
        <v/>
      </c>
      <c r="AK6" s="47" t="e">
        <f>IF(AND('Mapa final'!#REF!="Muy Alta",'Mapa final'!#REF!="Catastrófico"),CONCATENATE("R1C",'Mapa final'!#REF!),"")</f>
        <v>#REF!</v>
      </c>
      <c r="AL6" s="47" t="e">
        <f>IF(AND('Mapa final'!#REF!="Muy Alta",'Mapa final'!#REF!="Catastrófico"),CONCATENATE("R1C",'Mapa final'!#REF!),"")</f>
        <v>#REF!</v>
      </c>
      <c r="AM6" s="48" t="e">
        <f>IF(AND('Mapa final'!#REF!="Muy Alta",'Mapa final'!#REF!="Catastrófico"),CONCATENATE("R1C",'Mapa final'!#REF!),"")</f>
        <v>#REF!</v>
      </c>
      <c r="AN6" s="80"/>
      <c r="AO6" s="444" t="s">
        <v>169</v>
      </c>
      <c r="AP6" s="445"/>
      <c r="AQ6" s="445"/>
      <c r="AR6" s="445"/>
      <c r="AS6" s="445"/>
      <c r="AT6" s="446"/>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342"/>
      <c r="C7" s="342"/>
      <c r="D7" s="343"/>
      <c r="E7" s="441"/>
      <c r="F7" s="440"/>
      <c r="G7" s="440"/>
      <c r="H7" s="440"/>
      <c r="I7" s="456"/>
      <c r="J7" s="49" t="str">
        <f>IF(AND('Mapa final'!$AI$14="Muy Alta",'Mapa final'!$AK$14="Leve"),CONCATENATE("R2C",'Mapa final'!$Y$14),"")</f>
        <v/>
      </c>
      <c r="K7" s="50" t="str">
        <f>IF(AND('Mapa final'!$AI$15="Muy Alta",'Mapa final'!$AK$15="Leve"),CONCATENATE("R2C",'Mapa final'!$Y$15),"")</f>
        <v/>
      </c>
      <c r="L7" s="50" t="str">
        <f>IF(AND('Mapa final'!$AI$16="Muy Alta",'Mapa final'!$AK$16="Leve"),CONCATENATE("R2C",'Mapa final'!$Y$16),"")</f>
        <v/>
      </c>
      <c r="M7" s="50" t="e">
        <f>IF(AND('Mapa final'!#REF!="Muy Alta",'Mapa final'!#REF!="Leve"),CONCATENATE("R2C",'Mapa final'!#REF!),"")</f>
        <v>#REF!</v>
      </c>
      <c r="N7" s="50" t="e">
        <f>IF(AND('Mapa final'!#REF!="Muy Alta",'Mapa final'!#REF!="Leve"),CONCATENATE("R2C",'Mapa final'!#REF!),"")</f>
        <v>#REF!</v>
      </c>
      <c r="O7" s="51" t="e">
        <f>IF(AND('Mapa final'!#REF!="Muy Alta",'Mapa final'!#REF!="Leve"),CONCATENATE("R2C",'Mapa final'!#REF!),"")</f>
        <v>#REF!</v>
      </c>
      <c r="P7" s="49" t="str">
        <f>IF(AND('Mapa final'!$AI$14="Muy Alta",'Mapa final'!$AK$14="Menor"),CONCATENATE("R2C",'Mapa final'!$Y$14),"")</f>
        <v/>
      </c>
      <c r="Q7" s="50" t="str">
        <f>IF(AND('Mapa final'!$AI$15="Muy Alta",'Mapa final'!$AK$15="Menor"),CONCATENATE("R2C",'Mapa final'!$Y$15),"")</f>
        <v/>
      </c>
      <c r="R7" s="50" t="str">
        <f>IF(AND('Mapa final'!$AI$16="Muy Alta",'Mapa final'!$AK$16="Menor"),CONCATENATE("R2C",'Mapa final'!$Y$16),"")</f>
        <v/>
      </c>
      <c r="S7" s="50" t="e">
        <f>IF(AND('Mapa final'!#REF!="Muy Alta",'Mapa final'!#REF!="Menor"),CONCATENATE("R2C",'Mapa final'!#REF!),"")</f>
        <v>#REF!</v>
      </c>
      <c r="T7" s="50" t="e">
        <f>IF(AND('Mapa final'!#REF!="Muy Alta",'Mapa final'!#REF!="Menor"),CONCATENATE("R2C",'Mapa final'!#REF!),"")</f>
        <v>#REF!</v>
      </c>
      <c r="U7" s="51" t="e">
        <f>IF(AND('Mapa final'!#REF!="Muy Alta",'Mapa final'!#REF!="Menor"),CONCATENATE("R2C",'Mapa final'!#REF!),"")</f>
        <v>#REF!</v>
      </c>
      <c r="V7" s="49" t="str">
        <f>IF(AND('Mapa final'!$AI$14="Muy Alta",'Mapa final'!$AK$14="Moderado"),CONCATENATE("R2C",'Mapa final'!$Y$14),"")</f>
        <v/>
      </c>
      <c r="W7" s="50" t="str">
        <f>IF(AND('Mapa final'!$AI$15="Muy Alta",'Mapa final'!$AK$15="Moderado"),CONCATENATE("R2C",'Mapa final'!$Y$15),"")</f>
        <v/>
      </c>
      <c r="X7" s="50" t="str">
        <f>IF(AND('Mapa final'!$AI$16="Muy Alta",'Mapa final'!$AK$16="Moderado"),CONCATENATE("R2C",'Mapa final'!$Y$16),"")</f>
        <v/>
      </c>
      <c r="Y7" s="50" t="e">
        <f>IF(AND('Mapa final'!#REF!="Muy Alta",'Mapa final'!#REF!="Moderado"),CONCATENATE("R2C",'Mapa final'!#REF!),"")</f>
        <v>#REF!</v>
      </c>
      <c r="Z7" s="50" t="e">
        <f>IF(AND('Mapa final'!#REF!="Muy Alta",'Mapa final'!#REF!="Moderado"),CONCATENATE("R2C",'Mapa final'!#REF!),"")</f>
        <v>#REF!</v>
      </c>
      <c r="AA7" s="51" t="e">
        <f>IF(AND('Mapa final'!#REF!="Muy Alta",'Mapa final'!#REF!="Moderado"),CONCATENATE("R2C",'Mapa final'!#REF!),"")</f>
        <v>#REF!</v>
      </c>
      <c r="AB7" s="49" t="str">
        <f>IF(AND('Mapa final'!$AI$14="Muy Alta",'Mapa final'!$AK$14="Mayor"),CONCATENATE("R2C",'Mapa final'!$Y$14),"")</f>
        <v/>
      </c>
      <c r="AC7" s="50" t="str">
        <f>IF(AND('Mapa final'!$AI$15="Muy Alta",'Mapa final'!$AK$15="Mayor"),CONCATENATE("R2C",'Mapa final'!$Y$15),"")</f>
        <v/>
      </c>
      <c r="AD7" s="50" t="str">
        <f>IF(AND('Mapa final'!$AI$16="Muy Alta",'Mapa final'!$AK$16="Mayor"),CONCATENATE("R2C",'Mapa final'!$Y$16),"")</f>
        <v/>
      </c>
      <c r="AE7" s="50" t="e">
        <f>IF(AND('Mapa final'!#REF!="Muy Alta",'Mapa final'!#REF!="Mayor"),CONCATENATE("R2C",'Mapa final'!#REF!),"")</f>
        <v>#REF!</v>
      </c>
      <c r="AF7" s="50" t="e">
        <f>IF(AND('Mapa final'!#REF!="Muy Alta",'Mapa final'!#REF!="Mayor"),CONCATENATE("R2C",'Mapa final'!#REF!),"")</f>
        <v>#REF!</v>
      </c>
      <c r="AG7" s="51" t="e">
        <f>IF(AND('Mapa final'!#REF!="Muy Alta",'Mapa final'!#REF!="Mayor"),CONCATENATE("R2C",'Mapa final'!#REF!),"")</f>
        <v>#REF!</v>
      </c>
      <c r="AH7" s="52" t="str">
        <f>IF(AND('Mapa final'!$AI$14="Muy Alta",'Mapa final'!$AK$14="Catastrófico"),CONCATENATE("R2C",'Mapa final'!$Y$14),"")</f>
        <v/>
      </c>
      <c r="AI7" s="53" t="str">
        <f>IF(AND('Mapa final'!$AI$15="Muy Alta",'Mapa final'!$AK$15="Catastrófico"),CONCATENATE("R2C",'Mapa final'!$Y$15),"")</f>
        <v/>
      </c>
      <c r="AJ7" s="53" t="str">
        <f>IF(AND('Mapa final'!$AI$16="Muy Alta",'Mapa final'!$AK$16="Catastrófico"),CONCATENATE("R2C",'Mapa final'!$Y$16),"")</f>
        <v/>
      </c>
      <c r="AK7" s="53" t="e">
        <f>IF(AND('Mapa final'!#REF!="Muy Alta",'Mapa final'!#REF!="Catastrófico"),CONCATENATE("R2C",'Mapa final'!#REF!),"")</f>
        <v>#REF!</v>
      </c>
      <c r="AL7" s="53" t="e">
        <f>IF(AND('Mapa final'!#REF!="Muy Alta",'Mapa final'!#REF!="Catastrófico"),CONCATENATE("R2C",'Mapa final'!#REF!),"")</f>
        <v>#REF!</v>
      </c>
      <c r="AM7" s="54" t="e">
        <f>IF(AND('Mapa final'!#REF!="Muy Alta",'Mapa final'!#REF!="Catastrófico"),CONCATENATE("R2C",'Mapa final'!#REF!),"")</f>
        <v>#REF!</v>
      </c>
      <c r="AN7" s="80"/>
      <c r="AO7" s="447"/>
      <c r="AP7" s="448"/>
      <c r="AQ7" s="448"/>
      <c r="AR7" s="448"/>
      <c r="AS7" s="448"/>
      <c r="AT7" s="449"/>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342"/>
      <c r="C8" s="342"/>
      <c r="D8" s="343"/>
      <c r="E8" s="441"/>
      <c r="F8" s="440"/>
      <c r="G8" s="440"/>
      <c r="H8" s="440"/>
      <c r="I8" s="456"/>
      <c r="J8" s="49" t="str">
        <f>IF(AND('Mapa final'!$AI$17="Muy Alta",'Mapa final'!$AK$17="Leve"),CONCATENATE("R3C",'Mapa final'!$Y$17),"")</f>
        <v/>
      </c>
      <c r="K8" s="50" t="str">
        <f>IF(AND('Mapa final'!$AI$18="Muy Alta",'Mapa final'!$AK$18="Leve"),CONCATENATE("R3C",'Mapa final'!$Y$18),"")</f>
        <v/>
      </c>
      <c r="L8" s="50" t="str">
        <f>IF(AND('Mapa final'!$AI$19="Muy Alta",'Mapa final'!$AK$19="Leve"),CONCATENATE("R3C",'Mapa final'!$Y$19),"")</f>
        <v/>
      </c>
      <c r="M8" s="50" t="e">
        <f>IF(AND('Mapa final'!#REF!="Muy Alta",'Mapa final'!#REF!="Leve"),CONCATENATE("R3C",'Mapa final'!#REF!),"")</f>
        <v>#REF!</v>
      </c>
      <c r="N8" s="50" t="e">
        <f>IF(AND('Mapa final'!#REF!="Muy Alta",'Mapa final'!#REF!="Leve"),CONCATENATE("R3C",'Mapa final'!#REF!),"")</f>
        <v>#REF!</v>
      </c>
      <c r="O8" s="51" t="e">
        <f>IF(AND('Mapa final'!#REF!="Muy Alta",'Mapa final'!#REF!="Leve"),CONCATENATE("R3C",'Mapa final'!#REF!),"")</f>
        <v>#REF!</v>
      </c>
      <c r="P8" s="49" t="str">
        <f>IF(AND('Mapa final'!$AI$17="Muy Alta",'Mapa final'!$AK$17="Menor"),CONCATENATE("R3C",'Mapa final'!$Y$17),"")</f>
        <v/>
      </c>
      <c r="Q8" s="50" t="str">
        <f>IF(AND('Mapa final'!$AI$18="Muy Alta",'Mapa final'!$AK$18="Menor"),CONCATENATE("R3C",'Mapa final'!$Y$18),"")</f>
        <v/>
      </c>
      <c r="R8" s="50" t="str">
        <f>IF(AND('Mapa final'!$AI$19="Muy Alta",'Mapa final'!$AK$19="Menor"),CONCATENATE("R3C",'Mapa final'!$Y$19),"")</f>
        <v/>
      </c>
      <c r="S8" s="50" t="e">
        <f>IF(AND('Mapa final'!#REF!="Muy Alta",'Mapa final'!#REF!="Menor"),CONCATENATE("R3C",'Mapa final'!#REF!),"")</f>
        <v>#REF!</v>
      </c>
      <c r="T8" s="50" t="e">
        <f>IF(AND('Mapa final'!#REF!="Muy Alta",'Mapa final'!#REF!="Menor"),CONCATENATE("R3C",'Mapa final'!#REF!),"")</f>
        <v>#REF!</v>
      </c>
      <c r="U8" s="51" t="e">
        <f>IF(AND('Mapa final'!#REF!="Muy Alta",'Mapa final'!#REF!="Menor"),CONCATENATE("R3C",'Mapa final'!#REF!),"")</f>
        <v>#REF!</v>
      </c>
      <c r="V8" s="49" t="str">
        <f>IF(AND('Mapa final'!$AI$17="Muy Alta",'Mapa final'!$AK$17="Moderado"),CONCATENATE("R3C",'Mapa final'!$Y$17),"")</f>
        <v/>
      </c>
      <c r="W8" s="50" t="str">
        <f>IF(AND('Mapa final'!$AI$18="Muy Alta",'Mapa final'!$AK$18="Moderado"),CONCATENATE("R3C",'Mapa final'!$Y$18),"")</f>
        <v/>
      </c>
      <c r="X8" s="50" t="str">
        <f>IF(AND('Mapa final'!$AI$19="Muy Alta",'Mapa final'!$AK$19="Moderado"),CONCATENATE("R3C",'Mapa final'!$Y$19),"")</f>
        <v/>
      </c>
      <c r="Y8" s="50" t="e">
        <f>IF(AND('Mapa final'!#REF!="Muy Alta",'Mapa final'!#REF!="Moderado"),CONCATENATE("R3C",'Mapa final'!#REF!),"")</f>
        <v>#REF!</v>
      </c>
      <c r="Z8" s="50" t="e">
        <f>IF(AND('Mapa final'!#REF!="Muy Alta",'Mapa final'!#REF!="Moderado"),CONCATENATE("R3C",'Mapa final'!#REF!),"")</f>
        <v>#REF!</v>
      </c>
      <c r="AA8" s="51" t="e">
        <f>IF(AND('Mapa final'!#REF!="Muy Alta",'Mapa final'!#REF!="Moderado"),CONCATENATE("R3C",'Mapa final'!#REF!),"")</f>
        <v>#REF!</v>
      </c>
      <c r="AB8" s="49" t="str">
        <f>IF(AND('Mapa final'!$AI$17="Muy Alta",'Mapa final'!$AK$17="Mayor"),CONCATENATE("R3C",'Mapa final'!$Y$17),"")</f>
        <v/>
      </c>
      <c r="AC8" s="50" t="str">
        <f>IF(AND('Mapa final'!$AI$18="Muy Alta",'Mapa final'!$AK$18="Mayor"),CONCATENATE("R3C",'Mapa final'!$Y$18),"")</f>
        <v/>
      </c>
      <c r="AD8" s="50" t="str">
        <f>IF(AND('Mapa final'!$AI$19="Muy Alta",'Mapa final'!$AK$19="Mayor"),CONCATENATE("R3C",'Mapa final'!$Y$19),"")</f>
        <v/>
      </c>
      <c r="AE8" s="50" t="e">
        <f>IF(AND('Mapa final'!#REF!="Muy Alta",'Mapa final'!#REF!="Mayor"),CONCATENATE("R3C",'Mapa final'!#REF!),"")</f>
        <v>#REF!</v>
      </c>
      <c r="AF8" s="50" t="e">
        <f>IF(AND('Mapa final'!#REF!="Muy Alta",'Mapa final'!#REF!="Mayor"),CONCATENATE("R3C",'Mapa final'!#REF!),"")</f>
        <v>#REF!</v>
      </c>
      <c r="AG8" s="51" t="e">
        <f>IF(AND('Mapa final'!#REF!="Muy Alta",'Mapa final'!#REF!="Mayor"),CONCATENATE("R3C",'Mapa final'!#REF!),"")</f>
        <v>#REF!</v>
      </c>
      <c r="AH8" s="52" t="str">
        <f>IF(AND('Mapa final'!$AI$17="Muy Alta",'Mapa final'!$AK$17="Catastrófico"),CONCATENATE("R3C",'Mapa final'!$Y$17),"")</f>
        <v/>
      </c>
      <c r="AI8" s="53" t="str">
        <f>IF(AND('Mapa final'!$AI$18="Muy Alta",'Mapa final'!$AK$18="Catastrófico"),CONCATENATE("R3C",'Mapa final'!$Y$18),"")</f>
        <v/>
      </c>
      <c r="AJ8" s="53" t="str">
        <f>IF(AND('Mapa final'!$AI$19="Muy Alta",'Mapa final'!$AK$19="Catastrófico"),CONCATENATE("R3C",'Mapa final'!$Y$19),"")</f>
        <v/>
      </c>
      <c r="AK8" s="53" t="e">
        <f>IF(AND('Mapa final'!#REF!="Muy Alta",'Mapa final'!#REF!="Catastrófico"),CONCATENATE("R3C",'Mapa final'!#REF!),"")</f>
        <v>#REF!</v>
      </c>
      <c r="AL8" s="53" t="e">
        <f>IF(AND('Mapa final'!#REF!="Muy Alta",'Mapa final'!#REF!="Catastrófico"),CONCATENATE("R3C",'Mapa final'!#REF!),"")</f>
        <v>#REF!</v>
      </c>
      <c r="AM8" s="54" t="e">
        <f>IF(AND('Mapa final'!#REF!="Muy Alta",'Mapa final'!#REF!="Catastrófico"),CONCATENATE("R3C",'Mapa final'!#REF!),"")</f>
        <v>#REF!</v>
      </c>
      <c r="AN8" s="80"/>
      <c r="AO8" s="447"/>
      <c r="AP8" s="448"/>
      <c r="AQ8" s="448"/>
      <c r="AR8" s="448"/>
      <c r="AS8" s="448"/>
      <c r="AT8" s="449"/>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342"/>
      <c r="C9" s="342"/>
      <c r="D9" s="343"/>
      <c r="E9" s="441"/>
      <c r="F9" s="440"/>
      <c r="G9" s="440"/>
      <c r="H9" s="440"/>
      <c r="I9" s="456"/>
      <c r="J9" s="49" t="str">
        <f>IF(AND('Mapa final'!$AI$20="Muy Alta",'Mapa final'!$AK$20="Leve"),CONCATENATE("R4C",'Mapa final'!$Y$20),"")</f>
        <v/>
      </c>
      <c r="K9" s="50" t="str">
        <f>IF(AND('Mapa final'!$AI$21="Muy Alta",'Mapa final'!$AK$21="Leve"),CONCATENATE("R4C",'Mapa final'!$Y$21),"")</f>
        <v/>
      </c>
      <c r="L9" s="50" t="str">
        <f>IF(AND('Mapa final'!$AI$22="Muy Alta",'Mapa final'!$AK$22="Leve"),CONCATENATE("R4C",'Mapa final'!$Y$22),"")</f>
        <v/>
      </c>
      <c r="M9" s="50" t="e">
        <f>IF(AND('Mapa final'!#REF!="Muy Alta",'Mapa final'!#REF!="Leve"),CONCATENATE("R4C",'Mapa final'!#REF!),"")</f>
        <v>#REF!</v>
      </c>
      <c r="N9" s="50" t="e">
        <f>IF(AND('Mapa final'!#REF!="Muy Alta",'Mapa final'!#REF!="Leve"),CONCATENATE("R4C",'Mapa final'!#REF!),"")</f>
        <v>#REF!</v>
      </c>
      <c r="O9" s="51" t="e">
        <f>IF(AND('Mapa final'!#REF!="Muy Alta",'Mapa final'!#REF!="Leve"),CONCATENATE("R4C",'Mapa final'!#REF!),"")</f>
        <v>#REF!</v>
      </c>
      <c r="P9" s="49" t="str">
        <f>IF(AND('Mapa final'!$AI$20="Muy Alta",'Mapa final'!$AK$20="Menor"),CONCATENATE("R4C",'Mapa final'!$Y$20),"")</f>
        <v/>
      </c>
      <c r="Q9" s="50" t="str">
        <f>IF(AND('Mapa final'!$AI$21="Muy Alta",'Mapa final'!$AK$21="Menor"),CONCATENATE("R4C",'Mapa final'!$Y$21),"")</f>
        <v/>
      </c>
      <c r="R9" s="50" t="str">
        <f>IF(AND('Mapa final'!$AI$22="Muy Alta",'Mapa final'!$AK$22="Menor"),CONCATENATE("R4C",'Mapa final'!$Y$22),"")</f>
        <v/>
      </c>
      <c r="S9" s="50" t="e">
        <f>IF(AND('Mapa final'!#REF!="Muy Alta",'Mapa final'!#REF!="Menor"),CONCATENATE("R4C",'Mapa final'!#REF!),"")</f>
        <v>#REF!</v>
      </c>
      <c r="T9" s="50" t="e">
        <f>IF(AND('Mapa final'!#REF!="Muy Alta",'Mapa final'!#REF!="Menor"),CONCATENATE("R4C",'Mapa final'!#REF!),"")</f>
        <v>#REF!</v>
      </c>
      <c r="U9" s="51" t="e">
        <f>IF(AND('Mapa final'!#REF!="Muy Alta",'Mapa final'!#REF!="Menor"),CONCATENATE("R4C",'Mapa final'!#REF!),"")</f>
        <v>#REF!</v>
      </c>
      <c r="V9" s="49" t="str">
        <f>IF(AND('Mapa final'!$AI$20="Muy Alta",'Mapa final'!$AK$20="Moderado"),CONCATENATE("R4C",'Mapa final'!$Y$20),"")</f>
        <v/>
      </c>
      <c r="W9" s="50" t="str">
        <f>IF(AND('Mapa final'!$AI$21="Muy Alta",'Mapa final'!$AK$21="Moderado"),CONCATENATE("R4C",'Mapa final'!$Y$21),"")</f>
        <v/>
      </c>
      <c r="X9" s="50" t="str">
        <f>IF(AND('Mapa final'!$AI$22="Muy Alta",'Mapa final'!$AK$22="Moderado"),CONCATENATE("R4C",'Mapa final'!$Y$22),"")</f>
        <v/>
      </c>
      <c r="Y9" s="50" t="e">
        <f>IF(AND('Mapa final'!#REF!="Muy Alta",'Mapa final'!#REF!="Moderado"),CONCATENATE("R4C",'Mapa final'!#REF!),"")</f>
        <v>#REF!</v>
      </c>
      <c r="Z9" s="50" t="e">
        <f>IF(AND('Mapa final'!#REF!="Muy Alta",'Mapa final'!#REF!="Moderado"),CONCATENATE("R4C",'Mapa final'!#REF!),"")</f>
        <v>#REF!</v>
      </c>
      <c r="AA9" s="51" t="e">
        <f>IF(AND('Mapa final'!#REF!="Muy Alta",'Mapa final'!#REF!="Moderado"),CONCATENATE("R4C",'Mapa final'!#REF!),"")</f>
        <v>#REF!</v>
      </c>
      <c r="AB9" s="49" t="str">
        <f>IF(AND('Mapa final'!$AI$20="Muy Alta",'Mapa final'!$AK$20="Mayor"),CONCATENATE("R4C",'Mapa final'!$Y$20),"")</f>
        <v/>
      </c>
      <c r="AC9" s="50" t="str">
        <f>IF(AND('Mapa final'!$AI$21="Muy Alta",'Mapa final'!$AK$21="Mayor"),CONCATENATE("R4C",'Mapa final'!$Y$21),"")</f>
        <v/>
      </c>
      <c r="AD9" s="50" t="str">
        <f>IF(AND('Mapa final'!$AI$22="Muy Alta",'Mapa final'!$AK$22="Mayor"),CONCATENATE("R4C",'Mapa final'!$Y$22),"")</f>
        <v/>
      </c>
      <c r="AE9" s="50" t="e">
        <f>IF(AND('Mapa final'!#REF!="Muy Alta",'Mapa final'!#REF!="Mayor"),CONCATENATE("R4C",'Mapa final'!#REF!),"")</f>
        <v>#REF!</v>
      </c>
      <c r="AF9" s="50" t="e">
        <f>IF(AND('Mapa final'!#REF!="Muy Alta",'Mapa final'!#REF!="Mayor"),CONCATENATE("R4C",'Mapa final'!#REF!),"")</f>
        <v>#REF!</v>
      </c>
      <c r="AG9" s="51" t="e">
        <f>IF(AND('Mapa final'!#REF!="Muy Alta",'Mapa final'!#REF!="Mayor"),CONCATENATE("R4C",'Mapa final'!#REF!),"")</f>
        <v>#REF!</v>
      </c>
      <c r="AH9" s="52" t="str">
        <f>IF(AND('Mapa final'!$AI$20="Muy Alta",'Mapa final'!$AK$20="Catastrófico"),CONCATENATE("R4C",'Mapa final'!$Y$20),"")</f>
        <v/>
      </c>
      <c r="AI9" s="53" t="str">
        <f>IF(AND('Mapa final'!$AI$21="Muy Alta",'Mapa final'!$AK$21="Catastrófico"),CONCATENATE("R4C",'Mapa final'!$Y$21),"")</f>
        <v/>
      </c>
      <c r="AJ9" s="53" t="str">
        <f>IF(AND('Mapa final'!$AI$22="Muy Alta",'Mapa final'!$AK$22="Catastrófico"),CONCATENATE("R4C",'Mapa final'!$Y$22),"")</f>
        <v/>
      </c>
      <c r="AK9" s="53" t="e">
        <f>IF(AND('Mapa final'!#REF!="Muy Alta",'Mapa final'!#REF!="Catastrófico"),CONCATENATE("R4C",'Mapa final'!#REF!),"")</f>
        <v>#REF!</v>
      </c>
      <c r="AL9" s="53" t="e">
        <f>IF(AND('Mapa final'!#REF!="Muy Alta",'Mapa final'!#REF!="Catastrófico"),CONCATENATE("R4C",'Mapa final'!#REF!),"")</f>
        <v>#REF!</v>
      </c>
      <c r="AM9" s="54" t="e">
        <f>IF(AND('Mapa final'!#REF!="Muy Alta",'Mapa final'!#REF!="Catastrófico"),CONCATENATE("R4C",'Mapa final'!#REF!),"")</f>
        <v>#REF!</v>
      </c>
      <c r="AN9" s="80"/>
      <c r="AO9" s="447"/>
      <c r="AP9" s="448"/>
      <c r="AQ9" s="448"/>
      <c r="AR9" s="448"/>
      <c r="AS9" s="448"/>
      <c r="AT9" s="449"/>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342"/>
      <c r="C10" s="342"/>
      <c r="D10" s="343"/>
      <c r="E10" s="441"/>
      <c r="F10" s="440"/>
      <c r="G10" s="440"/>
      <c r="H10" s="440"/>
      <c r="I10" s="456"/>
      <c r="J10" s="49" t="str">
        <f>IF(AND('Mapa final'!$AI$23="Muy Alta",'Mapa final'!$AK$23="Leve"),CONCATENATE("R5C",'Mapa final'!$Y$23),"")</f>
        <v/>
      </c>
      <c r="K10" s="50" t="str">
        <f>IF(AND('Mapa final'!$AI$24="Muy Alta",'Mapa final'!$AK$24="Leve"),CONCATENATE("R5C",'Mapa final'!$Y$24),"")</f>
        <v/>
      </c>
      <c r="L10" s="50" t="str">
        <f>IF(AND('Mapa final'!$AI$25="Muy Alta",'Mapa final'!$AK$25="Leve"),CONCATENATE("R5C",'Mapa final'!$Y$25),"")</f>
        <v/>
      </c>
      <c r="M10" s="50" t="str">
        <f>IF(AND('Mapa final'!$AI$26="Muy Alta",'Mapa final'!$AK$26="Leve"),CONCATENATE("R5C",'Mapa final'!$Y$26),"")</f>
        <v/>
      </c>
      <c r="N10" s="50" t="str">
        <f>IF(AND('Mapa final'!$AI$27="Muy Alta",'Mapa final'!$AK$27="Leve"),CONCATENATE("R5C",'Mapa final'!$Y$27),"")</f>
        <v/>
      </c>
      <c r="O10" s="51" t="str">
        <f>IF(AND('Mapa final'!$AI$28="Muy Alta",'Mapa final'!$AK$28="Leve"),CONCATENATE("R5C",'Mapa final'!$Y$28),"")</f>
        <v/>
      </c>
      <c r="P10" s="49" t="str">
        <f>IF(AND('Mapa final'!$AI$23="Muy Alta",'Mapa final'!$AK$23="Menor"),CONCATENATE("R5C",'Mapa final'!$Y$23),"")</f>
        <v/>
      </c>
      <c r="Q10" s="50" t="str">
        <f>IF(AND('Mapa final'!$AI$24="Muy Alta",'Mapa final'!$AK$24="Menor"),CONCATENATE("R5C",'Mapa final'!$Y$24),"")</f>
        <v/>
      </c>
      <c r="R10" s="50" t="str">
        <f>IF(AND('Mapa final'!$AI$25="Muy Alta",'Mapa final'!$AK$25="Menor"),CONCATENATE("R5C",'Mapa final'!$Y$25),"")</f>
        <v/>
      </c>
      <c r="S10" s="50" t="str">
        <f>IF(AND('Mapa final'!$AI$26="Muy Alta",'Mapa final'!$AK$26="Menor"),CONCATENATE("R5C",'Mapa final'!$Y$26),"")</f>
        <v/>
      </c>
      <c r="T10" s="50" t="str">
        <f>IF(AND('Mapa final'!$AI$27="Muy Alta",'Mapa final'!$AK$27="Menor"),CONCATENATE("R5C",'Mapa final'!$Y$27),"")</f>
        <v/>
      </c>
      <c r="U10" s="51" t="str">
        <f>IF(AND('Mapa final'!$AI$28="Muy Alta",'Mapa final'!$AK$28="Menor"),CONCATENATE("R5C",'Mapa final'!$Y$28),"")</f>
        <v/>
      </c>
      <c r="V10" s="49" t="str">
        <f>IF(AND('Mapa final'!$AI$23="Muy Alta",'Mapa final'!$AK$23="Moderado"),CONCATENATE("R5C",'Mapa final'!$Y$23),"")</f>
        <v/>
      </c>
      <c r="W10" s="50" t="str">
        <f>IF(AND('Mapa final'!$AI$24="Muy Alta",'Mapa final'!$AK$24="Moderado"),CONCATENATE("R5C",'Mapa final'!$Y$24),"")</f>
        <v/>
      </c>
      <c r="X10" s="50" t="str">
        <f>IF(AND('Mapa final'!$AI$25="Muy Alta",'Mapa final'!$AK$25="Moderado"),CONCATENATE("R5C",'Mapa final'!$Y$25),"")</f>
        <v/>
      </c>
      <c r="Y10" s="50" t="str">
        <f>IF(AND('Mapa final'!$AI$26="Muy Alta",'Mapa final'!$AK$26="Moderado"),CONCATENATE("R5C",'Mapa final'!$Y$26),"")</f>
        <v/>
      </c>
      <c r="Z10" s="50" t="str">
        <f>IF(AND('Mapa final'!$AI$27="Muy Alta",'Mapa final'!$AK$27="Moderado"),CONCATENATE("R5C",'Mapa final'!$Y$27),"")</f>
        <v/>
      </c>
      <c r="AA10" s="51" t="str">
        <f>IF(AND('Mapa final'!$AI$28="Muy Alta",'Mapa final'!$AK$28="Moderado"),CONCATENATE("R5C",'Mapa final'!$Y$28),"")</f>
        <v/>
      </c>
      <c r="AB10" s="49" t="str">
        <f>IF(AND('Mapa final'!$AI$23="Muy Alta",'Mapa final'!$AK$23="Mayor"),CONCATENATE("R5C",'Mapa final'!$Y$23),"")</f>
        <v/>
      </c>
      <c r="AC10" s="50" t="str">
        <f>IF(AND('Mapa final'!$AI$24="Muy Alta",'Mapa final'!$AK$24="Mayor"),CONCATENATE("R5C",'Mapa final'!$Y$24),"")</f>
        <v/>
      </c>
      <c r="AD10" s="50" t="str">
        <f>IF(AND('Mapa final'!$AI$25="Muy Alta",'Mapa final'!$AK$25="Mayor"),CONCATENATE("R5C",'Mapa final'!$Y$25),"")</f>
        <v/>
      </c>
      <c r="AE10" s="50" t="str">
        <f>IF(AND('Mapa final'!$AI$26="Muy Alta",'Mapa final'!$AK$26="Mayor"),CONCATENATE("R5C",'Mapa final'!$Y$26),"")</f>
        <v/>
      </c>
      <c r="AF10" s="50" t="str">
        <f>IF(AND('Mapa final'!$AI$27="Muy Alta",'Mapa final'!$AK$27="Mayor"),CONCATENATE("R5C",'Mapa final'!$Y$27),"")</f>
        <v/>
      </c>
      <c r="AG10" s="51" t="str">
        <f>IF(AND('Mapa final'!$AI$28="Muy Alta",'Mapa final'!$AK$28="Mayor"),CONCATENATE("R5C",'Mapa final'!$Y$28),"")</f>
        <v/>
      </c>
      <c r="AH10" s="52" t="str">
        <f>IF(AND('Mapa final'!$AI$23="Muy Alta",'Mapa final'!$AK$23="Catastrófico"),CONCATENATE("R5C",'Mapa final'!$Y$23),"")</f>
        <v/>
      </c>
      <c r="AI10" s="53" t="str">
        <f>IF(AND('Mapa final'!$AI$24="Muy Alta",'Mapa final'!$AK$24="Catastrófico"),CONCATENATE("R5C",'Mapa final'!$Y$24),"")</f>
        <v/>
      </c>
      <c r="AJ10" s="53" t="str">
        <f>IF(AND('Mapa final'!$AI$25="Muy Alta",'Mapa final'!$AK$25="Catastrófico"),CONCATENATE("R5C",'Mapa final'!$Y$25),"")</f>
        <v/>
      </c>
      <c r="AK10" s="53" t="str">
        <f>IF(AND('Mapa final'!$AI$26="Muy Alta",'Mapa final'!$AK$26="Catastrófico"),CONCATENATE("R5C",'Mapa final'!$Y$26),"")</f>
        <v/>
      </c>
      <c r="AL10" s="53" t="str">
        <f>IF(AND('Mapa final'!$AI$27="Muy Alta",'Mapa final'!$AK$27="Catastrófico"),CONCATENATE("R5C",'Mapa final'!$Y$27),"")</f>
        <v/>
      </c>
      <c r="AM10" s="54" t="str">
        <f>IF(AND('Mapa final'!$AI$28="Muy Alta",'Mapa final'!$AK$28="Catastrófico"),CONCATENATE("R5C",'Mapa final'!$Y$28),"")</f>
        <v/>
      </c>
      <c r="AN10" s="80"/>
      <c r="AO10" s="447"/>
      <c r="AP10" s="448"/>
      <c r="AQ10" s="448"/>
      <c r="AR10" s="448"/>
      <c r="AS10" s="448"/>
      <c r="AT10" s="449"/>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342"/>
      <c r="C11" s="342"/>
      <c r="D11" s="343"/>
      <c r="E11" s="441"/>
      <c r="F11" s="440"/>
      <c r="G11" s="440"/>
      <c r="H11" s="440"/>
      <c r="I11" s="456"/>
      <c r="J11" s="49" t="str">
        <f>IF(AND('Mapa final'!$AI$29="Muy Alta",'Mapa final'!$AK$29="Leve"),CONCATENATE("R6C",'Mapa final'!$Y$29),"")</f>
        <v/>
      </c>
      <c r="K11" s="50" t="str">
        <f>IF(AND('Mapa final'!$AI$30="Muy Alta",'Mapa final'!$AK$30="Leve"),CONCATENATE("R6C",'Mapa final'!$Y$30),"")</f>
        <v/>
      </c>
      <c r="L11" s="50" t="str">
        <f>IF(AND('Mapa final'!$AI$31="Muy Alta",'Mapa final'!$AK$31="Leve"),CONCATENATE("R6C",'Mapa final'!$Y$31),"")</f>
        <v/>
      </c>
      <c r="M11" s="50" t="str">
        <f>IF(AND('Mapa final'!$AI$32="Muy Alta",'Mapa final'!$AK$32="Leve"),CONCATENATE("R6C",'Mapa final'!$Y$32),"")</f>
        <v/>
      </c>
      <c r="N11" s="50" t="str">
        <f>IF(AND('Mapa final'!$AI$33="Muy Alta",'Mapa final'!$AK$33="Leve"),CONCATENATE("R6C",'Mapa final'!$Y$33),"")</f>
        <v/>
      </c>
      <c r="O11" s="51" t="str">
        <f>IF(AND('Mapa final'!$AI$34="Muy Alta",'Mapa final'!$AK$34="Leve"),CONCATENATE("R6C",'Mapa final'!$Y$34),"")</f>
        <v/>
      </c>
      <c r="P11" s="49" t="str">
        <f>IF(AND('Mapa final'!$AI$29="Muy Alta",'Mapa final'!$AK$29="Menor"),CONCATENATE("R6C",'Mapa final'!$Y$29),"")</f>
        <v/>
      </c>
      <c r="Q11" s="50" t="str">
        <f>IF(AND('Mapa final'!$AI$30="Muy Alta",'Mapa final'!$AK$30="Menor"),CONCATENATE("R6C",'Mapa final'!$Y$30),"")</f>
        <v/>
      </c>
      <c r="R11" s="50" t="str">
        <f>IF(AND('Mapa final'!$AI$31="Muy Alta",'Mapa final'!$AK$31="Menor"),CONCATENATE("R6C",'Mapa final'!$Y$31),"")</f>
        <v/>
      </c>
      <c r="S11" s="50" t="str">
        <f>IF(AND('Mapa final'!$AI$32="Muy Alta",'Mapa final'!$AK$32="Menor"),CONCATENATE("R6C",'Mapa final'!$Y$32),"")</f>
        <v/>
      </c>
      <c r="T11" s="50" t="str">
        <f>IF(AND('Mapa final'!$AI$33="Muy Alta",'Mapa final'!$AK$33="Menor"),CONCATENATE("R6C",'Mapa final'!$Y$33),"")</f>
        <v/>
      </c>
      <c r="U11" s="51" t="str">
        <f>IF(AND('Mapa final'!$AI$34="Muy Alta",'Mapa final'!$AK$34="Menor"),CONCATENATE("R6C",'Mapa final'!$Y$34),"")</f>
        <v/>
      </c>
      <c r="V11" s="49" t="str">
        <f>IF(AND('Mapa final'!$AI$29="Muy Alta",'Mapa final'!$AK$29="Moderado"),CONCATENATE("R6C",'Mapa final'!$Y$29),"")</f>
        <v/>
      </c>
      <c r="W11" s="50" t="str">
        <f>IF(AND('Mapa final'!$AI$30="Muy Alta",'Mapa final'!$AK$30="Moderado"),CONCATENATE("R6C",'Mapa final'!$Y$30),"")</f>
        <v/>
      </c>
      <c r="X11" s="50" t="str">
        <f>IF(AND('Mapa final'!$AI$31="Muy Alta",'Mapa final'!$AK$31="Moderado"),CONCATENATE("R6C",'Mapa final'!$Y$31),"")</f>
        <v/>
      </c>
      <c r="Y11" s="50" t="str">
        <f>IF(AND('Mapa final'!$AI$32="Muy Alta",'Mapa final'!$AK$32="Moderado"),CONCATENATE("R6C",'Mapa final'!$Y$32),"")</f>
        <v/>
      </c>
      <c r="Z11" s="50" t="str">
        <f>IF(AND('Mapa final'!$AI$33="Muy Alta",'Mapa final'!$AK$33="Moderado"),CONCATENATE("R6C",'Mapa final'!$Y$33),"")</f>
        <v/>
      </c>
      <c r="AA11" s="51" t="str">
        <f>IF(AND('Mapa final'!$AI$34="Muy Alta",'Mapa final'!$AK$34="Moderado"),CONCATENATE("R6C",'Mapa final'!$Y$34),"")</f>
        <v/>
      </c>
      <c r="AB11" s="49" t="str">
        <f>IF(AND('Mapa final'!$AI$29="Muy Alta",'Mapa final'!$AK$29="Mayor"),CONCATENATE("R6C",'Mapa final'!$Y$29),"")</f>
        <v/>
      </c>
      <c r="AC11" s="50" t="str">
        <f>IF(AND('Mapa final'!$AI$30="Muy Alta",'Mapa final'!$AK$30="Mayor"),CONCATENATE("R6C",'Mapa final'!$Y$30),"")</f>
        <v/>
      </c>
      <c r="AD11" s="50" t="str">
        <f>IF(AND('Mapa final'!$AI$31="Muy Alta",'Mapa final'!$AK$31="Mayor"),CONCATENATE("R6C",'Mapa final'!$Y$31),"")</f>
        <v/>
      </c>
      <c r="AE11" s="50" t="str">
        <f>IF(AND('Mapa final'!$AI$32="Muy Alta",'Mapa final'!$AK$32="Mayor"),CONCATENATE("R6C",'Mapa final'!$Y$32),"")</f>
        <v/>
      </c>
      <c r="AF11" s="50" t="str">
        <f>IF(AND('Mapa final'!$AI$33="Muy Alta",'Mapa final'!$AK$33="Mayor"),CONCATENATE("R6C",'Mapa final'!$Y$33),"")</f>
        <v/>
      </c>
      <c r="AG11" s="51" t="str">
        <f>IF(AND('Mapa final'!$AI$34="Muy Alta",'Mapa final'!$AK$34="Mayor"),CONCATENATE("R6C",'Mapa final'!$Y$34),"")</f>
        <v/>
      </c>
      <c r="AH11" s="52" t="str">
        <f>IF(AND('Mapa final'!$AI$29="Muy Alta",'Mapa final'!$AK$29="Catastrófico"),CONCATENATE("R6C",'Mapa final'!$Y$29),"")</f>
        <v/>
      </c>
      <c r="AI11" s="53" t="str">
        <f>IF(AND('Mapa final'!$AI$30="Muy Alta",'Mapa final'!$AK$30="Catastrófico"),CONCATENATE("R6C",'Mapa final'!$Y$30),"")</f>
        <v/>
      </c>
      <c r="AJ11" s="53" t="str">
        <f>IF(AND('Mapa final'!$AI$31="Muy Alta",'Mapa final'!$AK$31="Catastrófico"),CONCATENATE("R6C",'Mapa final'!$Y$31),"")</f>
        <v/>
      </c>
      <c r="AK11" s="53" t="str">
        <f>IF(AND('Mapa final'!$AI$32="Muy Alta",'Mapa final'!$AK$32="Catastrófico"),CONCATENATE("R6C",'Mapa final'!$Y$32),"")</f>
        <v/>
      </c>
      <c r="AL11" s="53" t="str">
        <f>IF(AND('Mapa final'!$AI$33="Muy Alta",'Mapa final'!$AK$33="Catastrófico"),CONCATENATE("R6C",'Mapa final'!$Y$33),"")</f>
        <v/>
      </c>
      <c r="AM11" s="54" t="str">
        <f>IF(AND('Mapa final'!$AI$34="Muy Alta",'Mapa final'!$AK$34="Catastrófico"),CONCATENATE("R6C",'Mapa final'!$Y$34),"")</f>
        <v/>
      </c>
      <c r="AN11" s="80"/>
      <c r="AO11" s="447"/>
      <c r="AP11" s="448"/>
      <c r="AQ11" s="448"/>
      <c r="AR11" s="448"/>
      <c r="AS11" s="448"/>
      <c r="AT11" s="449"/>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342"/>
      <c r="C12" s="342"/>
      <c r="D12" s="343"/>
      <c r="E12" s="441"/>
      <c r="F12" s="440"/>
      <c r="G12" s="440"/>
      <c r="H12" s="440"/>
      <c r="I12" s="456"/>
      <c r="J12" s="49" t="str">
        <f>IF(AND('Mapa final'!$AI$35="Muy Alta",'Mapa final'!$AK$35="Leve"),CONCATENATE("R7C",'Mapa final'!$Y$35),"")</f>
        <v/>
      </c>
      <c r="K12" s="50" t="str">
        <f>IF(AND('Mapa final'!$AI$36="Muy Alta",'Mapa final'!$AK$36="Leve"),CONCATENATE("R7C",'Mapa final'!$Y$36),"")</f>
        <v/>
      </c>
      <c r="L12" s="50" t="str">
        <f>IF(AND('Mapa final'!$AI$37="Muy Alta",'Mapa final'!$AK$37="Leve"),CONCATENATE("R7C",'Mapa final'!$Y$37),"")</f>
        <v/>
      </c>
      <c r="M12" s="50" t="str">
        <f>IF(AND('Mapa final'!$AI$38="Muy Alta",'Mapa final'!$AK$38="Leve"),CONCATENATE("R7C",'Mapa final'!$Y$38),"")</f>
        <v/>
      </c>
      <c r="N12" s="50" t="str">
        <f>IF(AND('Mapa final'!$AI$39="Muy Alta",'Mapa final'!$AK$39="Leve"),CONCATENATE("R7C",'Mapa final'!$Y$39),"")</f>
        <v/>
      </c>
      <c r="O12" s="51" t="str">
        <f>IF(AND('Mapa final'!$AI$40="Muy Alta",'Mapa final'!$AK$40="Leve"),CONCATENATE("R7C",'Mapa final'!$Y$40),"")</f>
        <v/>
      </c>
      <c r="P12" s="49" t="str">
        <f>IF(AND('Mapa final'!$AI$35="Muy Alta",'Mapa final'!$AK$35="Menor"),CONCATENATE("R7C",'Mapa final'!$Y$35),"")</f>
        <v/>
      </c>
      <c r="Q12" s="50" t="str">
        <f>IF(AND('Mapa final'!$AI$36="Muy Alta",'Mapa final'!$AK$36="Menor"),CONCATENATE("R7C",'Mapa final'!$Y$36),"")</f>
        <v/>
      </c>
      <c r="R12" s="50" t="str">
        <f>IF(AND('Mapa final'!$AI$37="Muy Alta",'Mapa final'!$AK$37="Menor"),CONCATENATE("R7C",'Mapa final'!$Y$37),"")</f>
        <v/>
      </c>
      <c r="S12" s="50" t="str">
        <f>IF(AND('Mapa final'!$AI$38="Muy Alta",'Mapa final'!$AK$38="Menor"),CONCATENATE("R7C",'Mapa final'!$Y$38),"")</f>
        <v/>
      </c>
      <c r="T12" s="50" t="str">
        <f>IF(AND('Mapa final'!$AI$39="Muy Alta",'Mapa final'!$AK$39="Menor"),CONCATENATE("R7C",'Mapa final'!$Y$39),"")</f>
        <v/>
      </c>
      <c r="U12" s="51" t="str">
        <f>IF(AND('Mapa final'!$AI$40="Muy Alta",'Mapa final'!$AK$40="Menor"),CONCATENATE("R7C",'Mapa final'!$Y$40),"")</f>
        <v/>
      </c>
      <c r="V12" s="49" t="str">
        <f>IF(AND('Mapa final'!$AI$35="Muy Alta",'Mapa final'!$AK$35="Moderado"),CONCATENATE("R7C",'Mapa final'!$Y$35),"")</f>
        <v/>
      </c>
      <c r="W12" s="50" t="str">
        <f>IF(AND('Mapa final'!$AI$36="Muy Alta",'Mapa final'!$AK$36="Moderado"),CONCATENATE("R7C",'Mapa final'!$Y$36),"")</f>
        <v/>
      </c>
      <c r="X12" s="50" t="str">
        <f>IF(AND('Mapa final'!$AI$37="Muy Alta",'Mapa final'!$AK$37="Moderado"),CONCATENATE("R7C",'Mapa final'!$Y$37),"")</f>
        <v/>
      </c>
      <c r="Y12" s="50" t="str">
        <f>IF(AND('Mapa final'!$AI$38="Muy Alta",'Mapa final'!$AK$38="Moderado"),CONCATENATE("R7C",'Mapa final'!$Y$38),"")</f>
        <v/>
      </c>
      <c r="Z12" s="50" t="str">
        <f>IF(AND('Mapa final'!$AI$39="Muy Alta",'Mapa final'!$AK$39="Moderado"),CONCATENATE("R7C",'Mapa final'!$Y$39),"")</f>
        <v/>
      </c>
      <c r="AA12" s="51" t="str">
        <f>IF(AND('Mapa final'!$AI$40="Muy Alta",'Mapa final'!$AK$40="Moderado"),CONCATENATE("R7C",'Mapa final'!$Y$40),"")</f>
        <v/>
      </c>
      <c r="AB12" s="49" t="str">
        <f>IF(AND('Mapa final'!$AI$35="Muy Alta",'Mapa final'!$AK$35="Mayor"),CONCATENATE("R7C",'Mapa final'!$Y$35),"")</f>
        <v/>
      </c>
      <c r="AC12" s="50" t="str">
        <f>IF(AND('Mapa final'!$AI$36="Muy Alta",'Mapa final'!$AK$36="Mayor"),CONCATENATE("R7C",'Mapa final'!$Y$36),"")</f>
        <v/>
      </c>
      <c r="AD12" s="50" t="str">
        <f>IF(AND('Mapa final'!$AI$37="Muy Alta",'Mapa final'!$AK$37="Mayor"),CONCATENATE("R7C",'Mapa final'!$Y$37),"")</f>
        <v/>
      </c>
      <c r="AE12" s="50" t="str">
        <f>IF(AND('Mapa final'!$AI$38="Muy Alta",'Mapa final'!$AK$38="Mayor"),CONCATENATE("R7C",'Mapa final'!$Y$38),"")</f>
        <v/>
      </c>
      <c r="AF12" s="50" t="str">
        <f>IF(AND('Mapa final'!$AI$39="Muy Alta",'Mapa final'!$AK$39="Mayor"),CONCATENATE("R7C",'Mapa final'!$Y$39),"")</f>
        <v/>
      </c>
      <c r="AG12" s="51" t="str">
        <f>IF(AND('Mapa final'!$AI$40="Muy Alta",'Mapa final'!$AK$40="Mayor"),CONCATENATE("R7C",'Mapa final'!$Y$40),"")</f>
        <v/>
      </c>
      <c r="AH12" s="52" t="str">
        <f>IF(AND('Mapa final'!$AI$35="Muy Alta",'Mapa final'!$AK$35="Catastrófico"),CONCATENATE("R7C",'Mapa final'!$Y$35),"")</f>
        <v/>
      </c>
      <c r="AI12" s="53" t="str">
        <f>IF(AND('Mapa final'!$AI$36="Muy Alta",'Mapa final'!$AK$36="Catastrófico"),CONCATENATE("R7C",'Mapa final'!$Y$36),"")</f>
        <v/>
      </c>
      <c r="AJ12" s="53" t="str">
        <f>IF(AND('Mapa final'!$AI$37="Muy Alta",'Mapa final'!$AK$37="Catastrófico"),CONCATENATE("R7C",'Mapa final'!$Y$37),"")</f>
        <v/>
      </c>
      <c r="AK12" s="53" t="str">
        <f>IF(AND('Mapa final'!$AI$38="Muy Alta",'Mapa final'!$AK$38="Catastrófico"),CONCATENATE("R7C",'Mapa final'!$Y$38),"")</f>
        <v/>
      </c>
      <c r="AL12" s="53" t="str">
        <f>IF(AND('Mapa final'!$AI$39="Muy Alta",'Mapa final'!$AK$39="Catastrófico"),CONCATENATE("R7C",'Mapa final'!$Y$39),"")</f>
        <v/>
      </c>
      <c r="AM12" s="54" t="str">
        <f>IF(AND('Mapa final'!$AI$40="Muy Alta",'Mapa final'!$AK$40="Catastrófico"),CONCATENATE("R7C",'Mapa final'!$Y$40),"")</f>
        <v/>
      </c>
      <c r="AN12" s="80"/>
      <c r="AO12" s="447"/>
      <c r="AP12" s="448"/>
      <c r="AQ12" s="448"/>
      <c r="AR12" s="448"/>
      <c r="AS12" s="448"/>
      <c r="AT12" s="449"/>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342"/>
      <c r="C13" s="342"/>
      <c r="D13" s="343"/>
      <c r="E13" s="441"/>
      <c r="F13" s="440"/>
      <c r="G13" s="440"/>
      <c r="H13" s="440"/>
      <c r="I13" s="456"/>
      <c r="J13" s="49" t="str">
        <f>IF(AND('Mapa final'!$AI$41="Muy Alta",'Mapa final'!$AK$41="Leve"),CONCATENATE("R8C",'Mapa final'!$Y$41),"")</f>
        <v/>
      </c>
      <c r="K13" s="50" t="str">
        <f>IF(AND('Mapa final'!$AI$42="Muy Alta",'Mapa final'!$AK$42="Leve"),CONCATENATE("R8C",'Mapa final'!$Y$42),"")</f>
        <v/>
      </c>
      <c r="L13" s="50" t="str">
        <f>IF(AND('Mapa final'!$AI$43="Muy Alta",'Mapa final'!$AK$43="Leve"),CONCATENATE("R8C",'Mapa final'!$Y$43),"")</f>
        <v/>
      </c>
      <c r="M13" s="50" t="str">
        <f>IF(AND('Mapa final'!$AI$44="Muy Alta",'Mapa final'!$AK$44="Leve"),CONCATENATE("R8C",'Mapa final'!$Y$44),"")</f>
        <v/>
      </c>
      <c r="N13" s="50" t="str">
        <f>IF(AND('Mapa final'!$AI$45="Muy Alta",'Mapa final'!$AK$45="Leve"),CONCATENATE("R8C",'Mapa final'!$Y$45),"")</f>
        <v/>
      </c>
      <c r="O13" s="51" t="str">
        <f>IF(AND('Mapa final'!$AI$46="Muy Alta",'Mapa final'!$AK$46="Leve"),CONCATENATE("R8C",'Mapa final'!$Y$46),"")</f>
        <v/>
      </c>
      <c r="P13" s="49" t="str">
        <f>IF(AND('Mapa final'!$AI$41="Muy Alta",'Mapa final'!$AK$41="Menor"),CONCATENATE("R8C",'Mapa final'!$Y$41),"")</f>
        <v/>
      </c>
      <c r="Q13" s="50" t="str">
        <f>IF(AND('Mapa final'!$AI$42="Muy Alta",'Mapa final'!$AK$42="Menor"),CONCATENATE("R8C",'Mapa final'!$Y$42),"")</f>
        <v/>
      </c>
      <c r="R13" s="50" t="str">
        <f>IF(AND('Mapa final'!$AI$43="Muy Alta",'Mapa final'!$AK$43="Menor"),CONCATENATE("R8C",'Mapa final'!$Y$43),"")</f>
        <v/>
      </c>
      <c r="S13" s="50" t="str">
        <f>IF(AND('Mapa final'!$AI$44="Muy Alta",'Mapa final'!$AK$44="Menor"),CONCATENATE("R8C",'Mapa final'!$Y$44),"")</f>
        <v/>
      </c>
      <c r="T13" s="50" t="str">
        <f>IF(AND('Mapa final'!$AI$45="Muy Alta",'Mapa final'!$AK$45="Menor"),CONCATENATE("R8C",'Mapa final'!$Y$45),"")</f>
        <v/>
      </c>
      <c r="U13" s="51" t="str">
        <f>IF(AND('Mapa final'!$AI$46="Muy Alta",'Mapa final'!$AK$46="Menor"),CONCATENATE("R8C",'Mapa final'!$Y$46),"")</f>
        <v/>
      </c>
      <c r="V13" s="49" t="str">
        <f>IF(AND('Mapa final'!$AI$41="Muy Alta",'Mapa final'!$AK$41="Moderado"),CONCATENATE("R8C",'Mapa final'!$Y$41),"")</f>
        <v/>
      </c>
      <c r="W13" s="50" t="str">
        <f>IF(AND('Mapa final'!$AI$42="Muy Alta",'Mapa final'!$AK$42="Moderado"),CONCATENATE("R8C",'Mapa final'!$Y$42),"")</f>
        <v/>
      </c>
      <c r="X13" s="50" t="str">
        <f>IF(AND('Mapa final'!$AI$43="Muy Alta",'Mapa final'!$AK$43="Moderado"),CONCATENATE("R8C",'Mapa final'!$Y$43),"")</f>
        <v/>
      </c>
      <c r="Y13" s="50" t="str">
        <f>IF(AND('Mapa final'!$AI$44="Muy Alta",'Mapa final'!$AK$44="Moderado"),CONCATENATE("R8C",'Mapa final'!$Y$44),"")</f>
        <v/>
      </c>
      <c r="Z13" s="50" t="str">
        <f>IF(AND('Mapa final'!$AI$45="Muy Alta",'Mapa final'!$AK$45="Moderado"),CONCATENATE("R8C",'Mapa final'!$Y$45),"")</f>
        <v/>
      </c>
      <c r="AA13" s="51" t="str">
        <f>IF(AND('Mapa final'!$AI$46="Muy Alta",'Mapa final'!$AK$46="Moderado"),CONCATENATE("R8C",'Mapa final'!$Y$46),"")</f>
        <v/>
      </c>
      <c r="AB13" s="49" t="str">
        <f>IF(AND('Mapa final'!$AI$41="Muy Alta",'Mapa final'!$AK$41="Mayor"),CONCATENATE("R8C",'Mapa final'!$Y$41),"")</f>
        <v/>
      </c>
      <c r="AC13" s="50" t="str">
        <f>IF(AND('Mapa final'!$AI$42="Muy Alta",'Mapa final'!$AK$42="Mayor"),CONCATENATE("R8C",'Mapa final'!$Y$42),"")</f>
        <v/>
      </c>
      <c r="AD13" s="50" t="str">
        <f>IF(AND('Mapa final'!$AI$43="Muy Alta",'Mapa final'!$AK$43="Mayor"),CONCATENATE("R8C",'Mapa final'!$Y$43),"")</f>
        <v/>
      </c>
      <c r="AE13" s="50" t="str">
        <f>IF(AND('Mapa final'!$AI$44="Muy Alta",'Mapa final'!$AK$44="Mayor"),CONCATENATE("R8C",'Mapa final'!$Y$44),"")</f>
        <v/>
      </c>
      <c r="AF13" s="50" t="str">
        <f>IF(AND('Mapa final'!$AI$45="Muy Alta",'Mapa final'!$AK$45="Mayor"),CONCATENATE("R8C",'Mapa final'!$Y$45),"")</f>
        <v/>
      </c>
      <c r="AG13" s="51" t="str">
        <f>IF(AND('Mapa final'!$AI$46="Muy Alta",'Mapa final'!$AK$46="Mayor"),CONCATENATE("R8C",'Mapa final'!$Y$46),"")</f>
        <v/>
      </c>
      <c r="AH13" s="52" t="str">
        <f>IF(AND('Mapa final'!$AI$41="Muy Alta",'Mapa final'!$AK$41="Catastrófico"),CONCATENATE("R8C",'Mapa final'!$Y$41),"")</f>
        <v/>
      </c>
      <c r="AI13" s="53" t="str">
        <f>IF(AND('Mapa final'!$AI$42="Muy Alta",'Mapa final'!$AK$42="Catastrófico"),CONCATENATE("R8C",'Mapa final'!$Y$42),"")</f>
        <v/>
      </c>
      <c r="AJ13" s="53" t="str">
        <f>IF(AND('Mapa final'!$AI$43="Muy Alta",'Mapa final'!$AK$43="Catastrófico"),CONCATENATE("R8C",'Mapa final'!$Y$43),"")</f>
        <v/>
      </c>
      <c r="AK13" s="53" t="str">
        <f>IF(AND('Mapa final'!$AI$44="Muy Alta",'Mapa final'!$AK$44="Catastrófico"),CONCATENATE("R8C",'Mapa final'!$Y$44),"")</f>
        <v/>
      </c>
      <c r="AL13" s="53" t="str">
        <f>IF(AND('Mapa final'!$AI$45="Muy Alta",'Mapa final'!$AK$45="Catastrófico"),CONCATENATE("R8C",'Mapa final'!$Y$45),"")</f>
        <v/>
      </c>
      <c r="AM13" s="54" t="str">
        <f>IF(AND('Mapa final'!$AI$46="Muy Alta",'Mapa final'!$AK$46="Catastrófico"),CONCATENATE("R8C",'Mapa final'!$Y$46),"")</f>
        <v/>
      </c>
      <c r="AN13" s="80"/>
      <c r="AO13" s="447"/>
      <c r="AP13" s="448"/>
      <c r="AQ13" s="448"/>
      <c r="AR13" s="448"/>
      <c r="AS13" s="448"/>
      <c r="AT13" s="449"/>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342"/>
      <c r="C14" s="342"/>
      <c r="D14" s="343"/>
      <c r="E14" s="441"/>
      <c r="F14" s="440"/>
      <c r="G14" s="440"/>
      <c r="H14" s="440"/>
      <c r="I14" s="456"/>
      <c r="J14" s="49" t="str">
        <f>IF(AND('Mapa final'!$AI$47="Muy Alta",'Mapa final'!$AK$47="Leve"),CONCATENATE("R9C",'Mapa final'!$Y$47),"")</f>
        <v/>
      </c>
      <c r="K14" s="50" t="str">
        <f>IF(AND('Mapa final'!$AI$48="Muy Alta",'Mapa final'!$AK$48="Leve"),CONCATENATE("R9C",'Mapa final'!$Y$48),"")</f>
        <v/>
      </c>
      <c r="L14" s="50" t="str">
        <f>IF(AND('Mapa final'!$AI$49="Muy Alta",'Mapa final'!$AK$49="Leve"),CONCATENATE("R9C",'Mapa final'!$Y$49),"")</f>
        <v/>
      </c>
      <c r="M14" s="50" t="str">
        <f>IF(AND('Mapa final'!$AI$50="Muy Alta",'Mapa final'!$AK$50="Leve"),CONCATENATE("R9C",'Mapa final'!$Y$50),"")</f>
        <v/>
      </c>
      <c r="N14" s="50" t="str">
        <f>IF(AND('Mapa final'!$AI$51="Muy Alta",'Mapa final'!$AK$51="Leve"),CONCATENATE("R9C",'Mapa final'!$Y$51),"")</f>
        <v/>
      </c>
      <c r="O14" s="51" t="str">
        <f>IF(AND('Mapa final'!$AI$52="Muy Alta",'Mapa final'!$AK$52="Leve"),CONCATENATE("R9C",'Mapa final'!$Y$52),"")</f>
        <v/>
      </c>
      <c r="P14" s="49" t="str">
        <f>IF(AND('Mapa final'!$AI$47="Muy Alta",'Mapa final'!$AK$47="Menor"),CONCATENATE("R9C",'Mapa final'!$Y$47),"")</f>
        <v/>
      </c>
      <c r="Q14" s="50" t="str">
        <f>IF(AND('Mapa final'!$AI$48="Muy Alta",'Mapa final'!$AK$48="Menor"),CONCATENATE("R9C",'Mapa final'!$Y$48),"")</f>
        <v/>
      </c>
      <c r="R14" s="50" t="str">
        <f>IF(AND('Mapa final'!$AI$49="Muy Alta",'Mapa final'!$AK$49="Menor"),CONCATENATE("R9C",'Mapa final'!$Y$49),"")</f>
        <v/>
      </c>
      <c r="S14" s="50" t="str">
        <f>IF(AND('Mapa final'!$AI$50="Muy Alta",'Mapa final'!$AK$50="Menor"),CONCATENATE("R9C",'Mapa final'!$Y$50),"")</f>
        <v/>
      </c>
      <c r="T14" s="50" t="str">
        <f>IF(AND('Mapa final'!$AI$51="Muy Alta",'Mapa final'!$AK$51="Menor"),CONCATENATE("R9C",'Mapa final'!$Y$51),"")</f>
        <v/>
      </c>
      <c r="U14" s="51" t="str">
        <f>IF(AND('Mapa final'!$AI$52="Muy Alta",'Mapa final'!$AK$52="Menor"),CONCATENATE("R9C",'Mapa final'!$Y$52),"")</f>
        <v/>
      </c>
      <c r="V14" s="49" t="str">
        <f>IF(AND('Mapa final'!$AI$47="Muy Alta",'Mapa final'!$AK$47="Moderado"),CONCATENATE("R9C",'Mapa final'!$Y$47),"")</f>
        <v/>
      </c>
      <c r="W14" s="50" t="str">
        <f>IF(AND('Mapa final'!$AI$48="Muy Alta",'Mapa final'!$AK$48="Moderado"),CONCATENATE("R9C",'Mapa final'!$Y$48),"")</f>
        <v/>
      </c>
      <c r="X14" s="50" t="str">
        <f>IF(AND('Mapa final'!$AI$49="Muy Alta",'Mapa final'!$AK$49="Moderado"),CONCATENATE("R9C",'Mapa final'!$Y$49),"")</f>
        <v/>
      </c>
      <c r="Y14" s="50" t="str">
        <f>IF(AND('Mapa final'!$AI$50="Muy Alta",'Mapa final'!$AK$50="Moderado"),CONCATENATE("R9C",'Mapa final'!$Y$50),"")</f>
        <v/>
      </c>
      <c r="Z14" s="50" t="str">
        <f>IF(AND('Mapa final'!$AI$51="Muy Alta",'Mapa final'!$AK$51="Moderado"),CONCATENATE("R9C",'Mapa final'!$Y$51),"")</f>
        <v/>
      </c>
      <c r="AA14" s="51" t="str">
        <f>IF(AND('Mapa final'!$AI$52="Muy Alta",'Mapa final'!$AK$52="Moderado"),CONCATENATE("R9C",'Mapa final'!$Y$52),"")</f>
        <v/>
      </c>
      <c r="AB14" s="49" t="str">
        <f>IF(AND('Mapa final'!$AI$47="Muy Alta",'Mapa final'!$AK$47="Mayor"),CONCATENATE("R9C",'Mapa final'!$Y$47),"")</f>
        <v/>
      </c>
      <c r="AC14" s="50" t="str">
        <f>IF(AND('Mapa final'!$AI$48="Muy Alta",'Mapa final'!$AK$48="Mayor"),CONCATENATE("R9C",'Mapa final'!$Y$48),"")</f>
        <v/>
      </c>
      <c r="AD14" s="50" t="str">
        <f>IF(AND('Mapa final'!$AI$49="Muy Alta",'Mapa final'!$AK$49="Mayor"),CONCATENATE("R9C",'Mapa final'!$Y$49),"")</f>
        <v/>
      </c>
      <c r="AE14" s="50" t="str">
        <f>IF(AND('Mapa final'!$AI$50="Muy Alta",'Mapa final'!$AK$50="Mayor"),CONCATENATE("R9C",'Mapa final'!$Y$50),"")</f>
        <v/>
      </c>
      <c r="AF14" s="50" t="str">
        <f>IF(AND('Mapa final'!$AI$51="Muy Alta",'Mapa final'!$AK$51="Mayor"),CONCATENATE("R9C",'Mapa final'!$Y$51),"")</f>
        <v/>
      </c>
      <c r="AG14" s="51" t="str">
        <f>IF(AND('Mapa final'!$AI$52="Muy Alta",'Mapa final'!$AK$52="Mayor"),CONCATENATE("R9C",'Mapa final'!$Y$52),"")</f>
        <v/>
      </c>
      <c r="AH14" s="52" t="str">
        <f>IF(AND('Mapa final'!$AI$47="Muy Alta",'Mapa final'!$AK$47="Catastrófico"),CONCATENATE("R9C",'Mapa final'!$Y$47),"")</f>
        <v/>
      </c>
      <c r="AI14" s="53" t="str">
        <f>IF(AND('Mapa final'!$AI$48="Muy Alta",'Mapa final'!$AK$48="Catastrófico"),CONCATENATE("R9C",'Mapa final'!$Y$48),"")</f>
        <v/>
      </c>
      <c r="AJ14" s="53" t="str">
        <f>IF(AND('Mapa final'!$AI$49="Muy Alta",'Mapa final'!$AK$49="Catastrófico"),CONCATENATE("R9C",'Mapa final'!$Y$49),"")</f>
        <v/>
      </c>
      <c r="AK14" s="53" t="str">
        <f>IF(AND('Mapa final'!$AI$50="Muy Alta",'Mapa final'!$AK$50="Catastrófico"),CONCATENATE("R9C",'Mapa final'!$Y$50),"")</f>
        <v/>
      </c>
      <c r="AL14" s="53" t="str">
        <f>IF(AND('Mapa final'!$AI$51="Muy Alta",'Mapa final'!$AK$51="Catastrófico"),CONCATENATE("R9C",'Mapa final'!$Y$51),"")</f>
        <v/>
      </c>
      <c r="AM14" s="54" t="str">
        <f>IF(AND('Mapa final'!$AI$52="Muy Alta",'Mapa final'!$AK$52="Catastrófico"),CONCATENATE("R9C",'Mapa final'!$Y$52),"")</f>
        <v/>
      </c>
      <c r="AN14" s="80"/>
      <c r="AO14" s="447"/>
      <c r="AP14" s="448"/>
      <c r="AQ14" s="448"/>
      <c r="AR14" s="448"/>
      <c r="AS14" s="448"/>
      <c r="AT14" s="449"/>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342"/>
      <c r="C15" s="342"/>
      <c r="D15" s="343"/>
      <c r="E15" s="442"/>
      <c r="F15" s="443"/>
      <c r="G15" s="443"/>
      <c r="H15" s="443"/>
      <c r="I15" s="457"/>
      <c r="J15" s="55" t="str">
        <f>IF(AND('Mapa final'!$AI$53="Muy Alta",'Mapa final'!$AK$53="Leve"),CONCATENATE("R10C",'Mapa final'!$Y$53),"")</f>
        <v/>
      </c>
      <c r="K15" s="56" t="str">
        <f>IF(AND('Mapa final'!$AI$54="Muy Alta",'Mapa final'!$AK$54="Leve"),CONCATENATE("R10C",'Mapa final'!$Y$54),"")</f>
        <v/>
      </c>
      <c r="L15" s="56" t="str">
        <f>IF(AND('Mapa final'!$AI$55="Muy Alta",'Mapa final'!$AK$55="Leve"),CONCATENATE("R10C",'Mapa final'!$Y$55),"")</f>
        <v/>
      </c>
      <c r="M15" s="56" t="str">
        <f>IF(AND('Mapa final'!$AI$56="Muy Alta",'Mapa final'!$AK$56="Leve"),CONCATENATE("R10C",'Mapa final'!$Y$56),"")</f>
        <v/>
      </c>
      <c r="N15" s="56" t="str">
        <f>IF(AND('Mapa final'!$AI$57="Muy Alta",'Mapa final'!$AK$57="Leve"),CONCATENATE("R10C",'Mapa final'!$Y$57),"")</f>
        <v/>
      </c>
      <c r="O15" s="57" t="str">
        <f>IF(AND('Mapa final'!$AI$58="Muy Alta",'Mapa final'!$AK$58="Leve"),CONCATENATE("R10C",'Mapa final'!$Y$58),"")</f>
        <v/>
      </c>
      <c r="P15" s="49" t="str">
        <f>IF(AND('Mapa final'!$AI$53="Muy Alta",'Mapa final'!$AK$53="Menor"),CONCATENATE("R10C",'Mapa final'!$Y$53),"")</f>
        <v/>
      </c>
      <c r="Q15" s="50" t="str">
        <f>IF(AND('Mapa final'!$AI$54="Muy Alta",'Mapa final'!$AK$54="Menor"),CONCATENATE("R10C",'Mapa final'!$Y$54),"")</f>
        <v/>
      </c>
      <c r="R15" s="50" t="str">
        <f>IF(AND('Mapa final'!$AI$55="Muy Alta",'Mapa final'!$AK$55="Menor"),CONCATENATE("R10C",'Mapa final'!$Y$55),"")</f>
        <v/>
      </c>
      <c r="S15" s="50" t="str">
        <f>IF(AND('Mapa final'!$AI$56="Muy Alta",'Mapa final'!$AK$56="Menor"),CONCATENATE("R10C",'Mapa final'!$Y$56),"")</f>
        <v/>
      </c>
      <c r="T15" s="50" t="str">
        <f>IF(AND('Mapa final'!$AI$57="Muy Alta",'Mapa final'!$AK$57="Menor"),CONCATENATE("R10C",'Mapa final'!$Y$57),"")</f>
        <v/>
      </c>
      <c r="U15" s="51" t="str">
        <f>IF(AND('Mapa final'!$AI$58="Muy Alta",'Mapa final'!$AK$58="Menor"),CONCATENATE("R10C",'Mapa final'!$Y$58),"")</f>
        <v/>
      </c>
      <c r="V15" s="55" t="str">
        <f>IF(AND('Mapa final'!$AI$53="Muy Alta",'Mapa final'!$AK$53="Moderado"),CONCATENATE("R10C",'Mapa final'!$Y$53),"")</f>
        <v/>
      </c>
      <c r="W15" s="56" t="str">
        <f>IF(AND('Mapa final'!$AI$54="Muy Alta",'Mapa final'!$AK$54="Moderado"),CONCATENATE("R10C",'Mapa final'!$Y$54),"")</f>
        <v/>
      </c>
      <c r="X15" s="56" t="str">
        <f>IF(AND('Mapa final'!$AI$55="Muy Alta",'Mapa final'!$AK$55="Moderado"),CONCATENATE("R10C",'Mapa final'!$Y$55),"")</f>
        <v/>
      </c>
      <c r="Y15" s="56" t="str">
        <f>IF(AND('Mapa final'!$AI$56="Muy Alta",'Mapa final'!$AK$56="Moderado"),CONCATENATE("R10C",'Mapa final'!$Y$56),"")</f>
        <v/>
      </c>
      <c r="Z15" s="56" t="str">
        <f>IF(AND('Mapa final'!$AI$57="Muy Alta",'Mapa final'!$AK$57="Moderado"),CONCATENATE("R10C",'Mapa final'!$Y$57),"")</f>
        <v/>
      </c>
      <c r="AA15" s="57" t="str">
        <f>IF(AND('Mapa final'!$AI$58="Muy Alta",'Mapa final'!$AK$58="Moderado"),CONCATENATE("R10C",'Mapa final'!$Y$58),"")</f>
        <v/>
      </c>
      <c r="AB15" s="49" t="str">
        <f>IF(AND('Mapa final'!$AI$53="Muy Alta",'Mapa final'!$AK$53="Mayor"),CONCATENATE("R10C",'Mapa final'!$Y$53),"")</f>
        <v/>
      </c>
      <c r="AC15" s="50" t="str">
        <f>IF(AND('Mapa final'!$AI$54="Muy Alta",'Mapa final'!$AK$54="Mayor"),CONCATENATE("R10C",'Mapa final'!$Y$54),"")</f>
        <v/>
      </c>
      <c r="AD15" s="50" t="str">
        <f>IF(AND('Mapa final'!$AI$55="Muy Alta",'Mapa final'!$AK$55="Mayor"),CONCATENATE("R10C",'Mapa final'!$Y$55),"")</f>
        <v/>
      </c>
      <c r="AE15" s="50" t="str">
        <f>IF(AND('Mapa final'!$AI$56="Muy Alta",'Mapa final'!$AK$56="Mayor"),CONCATENATE("R10C",'Mapa final'!$Y$56),"")</f>
        <v/>
      </c>
      <c r="AF15" s="50" t="str">
        <f>IF(AND('Mapa final'!$AI$57="Muy Alta",'Mapa final'!$AK$57="Mayor"),CONCATENATE("R10C",'Mapa final'!$Y$57),"")</f>
        <v/>
      </c>
      <c r="AG15" s="51" t="str">
        <f>IF(AND('Mapa final'!$AI$58="Muy Alta",'Mapa final'!$AK$58="Mayor"),CONCATENATE("R10C",'Mapa final'!$Y$58),"")</f>
        <v/>
      </c>
      <c r="AH15" s="58" t="str">
        <f>IF(AND('Mapa final'!$AI$53="Muy Alta",'Mapa final'!$AK$53="Catastrófico"),CONCATENATE("R10C",'Mapa final'!$Y$53),"")</f>
        <v/>
      </c>
      <c r="AI15" s="59" t="str">
        <f>IF(AND('Mapa final'!$AI$54="Muy Alta",'Mapa final'!$AK$54="Catastrófico"),CONCATENATE("R10C",'Mapa final'!$Y$54),"")</f>
        <v/>
      </c>
      <c r="AJ15" s="59" t="str">
        <f>IF(AND('Mapa final'!$AI$55="Muy Alta",'Mapa final'!$AK$55="Catastrófico"),CONCATENATE("R10C",'Mapa final'!$Y$55),"")</f>
        <v/>
      </c>
      <c r="AK15" s="59" t="str">
        <f>IF(AND('Mapa final'!$AI$56="Muy Alta",'Mapa final'!$AK$56="Catastrófico"),CONCATENATE("R10C",'Mapa final'!$Y$56),"")</f>
        <v/>
      </c>
      <c r="AL15" s="59" t="str">
        <f>IF(AND('Mapa final'!$AI$57="Muy Alta",'Mapa final'!$AK$57="Catastrófico"),CONCATENATE("R10C",'Mapa final'!$Y$57),"")</f>
        <v/>
      </c>
      <c r="AM15" s="60" t="str">
        <f>IF(AND('Mapa final'!$AI$58="Muy Alta",'Mapa final'!$AK$58="Catastrófico"),CONCATENATE("R10C",'Mapa final'!$Y$58),"")</f>
        <v/>
      </c>
      <c r="AN15" s="80"/>
      <c r="AO15" s="450"/>
      <c r="AP15" s="451"/>
      <c r="AQ15" s="451"/>
      <c r="AR15" s="451"/>
      <c r="AS15" s="451"/>
      <c r="AT15" s="452"/>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342"/>
      <c r="C16" s="342"/>
      <c r="D16" s="343"/>
      <c r="E16" s="437" t="s">
        <v>170</v>
      </c>
      <c r="F16" s="438"/>
      <c r="G16" s="438"/>
      <c r="H16" s="438"/>
      <c r="I16" s="438"/>
      <c r="J16" s="61" t="str">
        <f>IF(AND('Mapa final'!$AI$11="Alta",'Mapa final'!$AK$11="Leve"),CONCATENATE("R1C",'Mapa final'!$Y$11),"")</f>
        <v/>
      </c>
      <c r="K16" s="62" t="str">
        <f>IF(AND('Mapa final'!$AI$12="Alta",'Mapa final'!$AK$12="Leve"),CONCATENATE("R1C",'Mapa final'!$Y$12),"")</f>
        <v/>
      </c>
      <c r="L16" s="62" t="str">
        <f>IF(AND('Mapa final'!$AI$13="Alta",'Mapa final'!$AK$13="Leve"),CONCATENATE("R1C",'Mapa final'!$Y$13),"")</f>
        <v/>
      </c>
      <c r="M16" s="62" t="e">
        <f>IF(AND('Mapa final'!#REF!="Alta",'Mapa final'!#REF!="Leve"),CONCATENATE("R1C",'Mapa final'!#REF!),"")</f>
        <v>#REF!</v>
      </c>
      <c r="N16" s="62" t="e">
        <f>IF(AND('Mapa final'!#REF!="Alta",'Mapa final'!#REF!="Leve"),CONCATENATE("R1C",'Mapa final'!#REF!),"")</f>
        <v>#REF!</v>
      </c>
      <c r="O16" s="63" t="e">
        <f>IF(AND('Mapa final'!#REF!="Alta",'Mapa final'!#REF!="Leve"),CONCATENATE("R1C",'Mapa final'!#REF!),"")</f>
        <v>#REF!</v>
      </c>
      <c r="P16" s="61" t="str">
        <f>IF(AND('Mapa final'!$AI$11="Alta",'Mapa final'!$AK$11="Menor"),CONCATENATE("R1C",'Mapa final'!$Y$11),"")</f>
        <v/>
      </c>
      <c r="Q16" s="62" t="str">
        <f>IF(AND('Mapa final'!$AI$12="Alta",'Mapa final'!$AK$12="Menor"),CONCATENATE("R1C",'Mapa final'!$Y$12),"")</f>
        <v/>
      </c>
      <c r="R16" s="62" t="str">
        <f>IF(AND('Mapa final'!$AI$13="Alta",'Mapa final'!$AK$13="Menor"),CONCATENATE("R1C",'Mapa final'!$Y$13),"")</f>
        <v/>
      </c>
      <c r="S16" s="62" t="e">
        <f>IF(AND('Mapa final'!#REF!="Alta",'Mapa final'!#REF!="Menor"),CONCATENATE("R1C",'Mapa final'!#REF!),"")</f>
        <v>#REF!</v>
      </c>
      <c r="T16" s="62" t="e">
        <f>IF(AND('Mapa final'!#REF!="Alta",'Mapa final'!#REF!="Menor"),CONCATENATE("R1C",'Mapa final'!#REF!),"")</f>
        <v>#REF!</v>
      </c>
      <c r="U16" s="63" t="e">
        <f>IF(AND('Mapa final'!#REF!="Alta",'Mapa final'!#REF!="Menor"),CONCATENATE("R1C",'Mapa final'!#REF!),"")</f>
        <v>#REF!</v>
      </c>
      <c r="V16" s="43" t="str">
        <f>IF(AND('Mapa final'!$AI$11="Alta",'Mapa final'!$AK$11="Moderado"),CONCATENATE("R1C",'Mapa final'!$Y$11),"")</f>
        <v/>
      </c>
      <c r="W16" s="44" t="str">
        <f>IF(AND('Mapa final'!$AI$12="Alta",'Mapa final'!$AK$12="Moderado"),CONCATENATE("R1C",'Mapa final'!$Y$12),"")</f>
        <v/>
      </c>
      <c r="X16" s="44" t="str">
        <f>IF(AND('Mapa final'!$AI$13="Alta",'Mapa final'!$AK$13="Moderado"),CONCATENATE("R1C",'Mapa final'!$Y$13),"")</f>
        <v/>
      </c>
      <c r="Y16" s="44" t="e">
        <f>IF(AND('Mapa final'!#REF!="Alta",'Mapa final'!#REF!="Moderado"),CONCATENATE("R1C",'Mapa final'!#REF!),"")</f>
        <v>#REF!</v>
      </c>
      <c r="Z16" s="44" t="e">
        <f>IF(AND('Mapa final'!#REF!="Alta",'Mapa final'!#REF!="Moderado"),CONCATENATE("R1C",'Mapa final'!#REF!),"")</f>
        <v>#REF!</v>
      </c>
      <c r="AA16" s="45" t="e">
        <f>IF(AND('Mapa final'!#REF!="Alta",'Mapa final'!#REF!="Moderado"),CONCATENATE("R1C",'Mapa final'!#REF!),"")</f>
        <v>#REF!</v>
      </c>
      <c r="AB16" s="43" t="str">
        <f>IF(AND('Mapa final'!$AI$11="Alta",'Mapa final'!$AK$11="Mayor"),CONCATENATE("R1C",'Mapa final'!$Y$11),"")</f>
        <v/>
      </c>
      <c r="AC16" s="44" t="str">
        <f>IF(AND('Mapa final'!$AI$12="Alta",'Mapa final'!$AK$12="Mayor"),CONCATENATE("R1C",'Mapa final'!$Y$12),"")</f>
        <v/>
      </c>
      <c r="AD16" s="44" t="str">
        <f>IF(AND('Mapa final'!$AI$13="Alta",'Mapa final'!$AK$13="Mayor"),CONCATENATE("R1C",'Mapa final'!$Y$13),"")</f>
        <v/>
      </c>
      <c r="AE16" s="44" t="e">
        <f>IF(AND('Mapa final'!#REF!="Alta",'Mapa final'!#REF!="Mayor"),CONCATENATE("R1C",'Mapa final'!#REF!),"")</f>
        <v>#REF!</v>
      </c>
      <c r="AF16" s="44" t="e">
        <f>IF(AND('Mapa final'!#REF!="Alta",'Mapa final'!#REF!="Mayor"),CONCATENATE("R1C",'Mapa final'!#REF!),"")</f>
        <v>#REF!</v>
      </c>
      <c r="AG16" s="45" t="e">
        <f>IF(AND('Mapa final'!#REF!="Alta",'Mapa final'!#REF!="Mayor"),CONCATENATE("R1C",'Mapa final'!#REF!),"")</f>
        <v>#REF!</v>
      </c>
      <c r="AH16" s="46" t="str">
        <f>IF(AND('Mapa final'!$AI$11="Alta",'Mapa final'!$AK$11="Catastrófico"),CONCATENATE("R1C",'Mapa final'!$Y$11),"")</f>
        <v/>
      </c>
      <c r="AI16" s="47" t="str">
        <f>IF(AND('Mapa final'!$AI$12="Alta",'Mapa final'!$AK$12="Catastrófico"),CONCATENATE("R1C",'Mapa final'!$Y$12),"")</f>
        <v/>
      </c>
      <c r="AJ16" s="47" t="str">
        <f>IF(AND('Mapa final'!$AI$13="Alta",'Mapa final'!$AK$13="Catastrófico"),CONCATENATE("R1C",'Mapa final'!$Y$13),"")</f>
        <v/>
      </c>
      <c r="AK16" s="47" t="e">
        <f>IF(AND('Mapa final'!#REF!="Alta",'Mapa final'!#REF!="Catastrófico"),CONCATENATE("R1C",'Mapa final'!#REF!),"")</f>
        <v>#REF!</v>
      </c>
      <c r="AL16" s="47" t="e">
        <f>IF(AND('Mapa final'!#REF!="Alta",'Mapa final'!#REF!="Catastrófico"),CONCATENATE("R1C",'Mapa final'!#REF!),"")</f>
        <v>#REF!</v>
      </c>
      <c r="AM16" s="48" t="e">
        <f>IF(AND('Mapa final'!#REF!="Alta",'Mapa final'!#REF!="Catastrófico"),CONCATENATE("R1C",'Mapa final'!#REF!),"")</f>
        <v>#REF!</v>
      </c>
      <c r="AN16" s="80"/>
      <c r="AO16" s="428" t="s">
        <v>171</v>
      </c>
      <c r="AP16" s="429"/>
      <c r="AQ16" s="429"/>
      <c r="AR16" s="429"/>
      <c r="AS16" s="429"/>
      <c r="AT16" s="43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342"/>
      <c r="C17" s="342"/>
      <c r="D17" s="343"/>
      <c r="E17" s="439"/>
      <c r="F17" s="440"/>
      <c r="G17" s="440"/>
      <c r="H17" s="440"/>
      <c r="I17" s="440"/>
      <c r="J17" s="64" t="str">
        <f>IF(AND('Mapa final'!$AI$14="Alta",'Mapa final'!$AK$14="Leve"),CONCATENATE("R2C",'Mapa final'!$Y$14),"")</f>
        <v/>
      </c>
      <c r="K17" s="65" t="str">
        <f>IF(AND('Mapa final'!$AI$15="Alta",'Mapa final'!$AK$15="Leve"),CONCATENATE("R2C",'Mapa final'!$Y$15),"")</f>
        <v/>
      </c>
      <c r="L17" s="65" t="str">
        <f>IF(AND('Mapa final'!$AI$16="Alta",'Mapa final'!$AK$16="Leve"),CONCATENATE("R2C",'Mapa final'!$Y$16),"")</f>
        <v/>
      </c>
      <c r="M17" s="65" t="e">
        <f>IF(AND('Mapa final'!#REF!="Alta",'Mapa final'!#REF!="Leve"),CONCATENATE("R2C",'Mapa final'!#REF!),"")</f>
        <v>#REF!</v>
      </c>
      <c r="N17" s="65" t="e">
        <f>IF(AND('Mapa final'!#REF!="Alta",'Mapa final'!#REF!="Leve"),CONCATENATE("R2C",'Mapa final'!#REF!),"")</f>
        <v>#REF!</v>
      </c>
      <c r="O17" s="66" t="e">
        <f>IF(AND('Mapa final'!#REF!="Alta",'Mapa final'!#REF!="Leve"),CONCATENATE("R2C",'Mapa final'!#REF!),"")</f>
        <v>#REF!</v>
      </c>
      <c r="P17" s="64" t="str">
        <f>IF(AND('Mapa final'!$AI$14="Alta",'Mapa final'!$AK$14="Menor"),CONCATENATE("R2C",'Mapa final'!$Y$14),"")</f>
        <v/>
      </c>
      <c r="Q17" s="65" t="str">
        <f>IF(AND('Mapa final'!$AI$15="Alta",'Mapa final'!$AK$15="Menor"),CONCATENATE("R2C",'Mapa final'!$Y$15),"")</f>
        <v/>
      </c>
      <c r="R17" s="65" t="str">
        <f>IF(AND('Mapa final'!$AI$16="Alta",'Mapa final'!$AK$16="Menor"),CONCATENATE("R2C",'Mapa final'!$Y$16),"")</f>
        <v/>
      </c>
      <c r="S17" s="65" t="e">
        <f>IF(AND('Mapa final'!#REF!="Alta",'Mapa final'!#REF!="Menor"),CONCATENATE("R2C",'Mapa final'!#REF!),"")</f>
        <v>#REF!</v>
      </c>
      <c r="T17" s="65" t="e">
        <f>IF(AND('Mapa final'!#REF!="Alta",'Mapa final'!#REF!="Menor"),CONCATENATE("R2C",'Mapa final'!#REF!),"")</f>
        <v>#REF!</v>
      </c>
      <c r="U17" s="66" t="e">
        <f>IF(AND('Mapa final'!#REF!="Alta",'Mapa final'!#REF!="Menor"),CONCATENATE("R2C",'Mapa final'!#REF!),"")</f>
        <v>#REF!</v>
      </c>
      <c r="V17" s="49" t="str">
        <f>IF(AND('Mapa final'!$AI$14="Alta",'Mapa final'!$AK$14="Moderado"),CONCATENATE("R2C",'Mapa final'!$Y$14),"")</f>
        <v/>
      </c>
      <c r="W17" s="50" t="str">
        <f>IF(AND('Mapa final'!$AI$15="Alta",'Mapa final'!$AK$15="Moderado"),CONCATENATE("R2C",'Mapa final'!$Y$15),"")</f>
        <v/>
      </c>
      <c r="X17" s="50" t="str">
        <f>IF(AND('Mapa final'!$AI$16="Alta",'Mapa final'!$AK$16="Moderado"),CONCATENATE("R2C",'Mapa final'!$Y$16),"")</f>
        <v/>
      </c>
      <c r="Y17" s="50" t="e">
        <f>IF(AND('Mapa final'!#REF!="Alta",'Mapa final'!#REF!="Moderado"),CONCATENATE("R2C",'Mapa final'!#REF!),"")</f>
        <v>#REF!</v>
      </c>
      <c r="Z17" s="50" t="e">
        <f>IF(AND('Mapa final'!#REF!="Alta",'Mapa final'!#REF!="Moderado"),CONCATENATE("R2C",'Mapa final'!#REF!),"")</f>
        <v>#REF!</v>
      </c>
      <c r="AA17" s="51" t="e">
        <f>IF(AND('Mapa final'!#REF!="Alta",'Mapa final'!#REF!="Moderado"),CONCATENATE("R2C",'Mapa final'!#REF!),"")</f>
        <v>#REF!</v>
      </c>
      <c r="AB17" s="49" t="str">
        <f>IF(AND('Mapa final'!$AI$14="Alta",'Mapa final'!$AK$14="Mayor"),CONCATENATE("R2C",'Mapa final'!$Y$14),"")</f>
        <v/>
      </c>
      <c r="AC17" s="50" t="str">
        <f>IF(AND('Mapa final'!$AI$15="Alta",'Mapa final'!$AK$15="Mayor"),CONCATENATE("R2C",'Mapa final'!$Y$15),"")</f>
        <v/>
      </c>
      <c r="AD17" s="50" t="str">
        <f>IF(AND('Mapa final'!$AI$16="Alta",'Mapa final'!$AK$16="Mayor"),CONCATENATE("R2C",'Mapa final'!$Y$16),"")</f>
        <v/>
      </c>
      <c r="AE17" s="50" t="e">
        <f>IF(AND('Mapa final'!#REF!="Alta",'Mapa final'!#REF!="Mayor"),CONCATENATE("R2C",'Mapa final'!#REF!),"")</f>
        <v>#REF!</v>
      </c>
      <c r="AF17" s="50" t="e">
        <f>IF(AND('Mapa final'!#REF!="Alta",'Mapa final'!#REF!="Mayor"),CONCATENATE("R2C",'Mapa final'!#REF!),"")</f>
        <v>#REF!</v>
      </c>
      <c r="AG17" s="51" t="e">
        <f>IF(AND('Mapa final'!#REF!="Alta",'Mapa final'!#REF!="Mayor"),CONCATENATE("R2C",'Mapa final'!#REF!),"")</f>
        <v>#REF!</v>
      </c>
      <c r="AH17" s="52" t="str">
        <f>IF(AND('Mapa final'!$AI$14="Alta",'Mapa final'!$AK$14="Catastrófico"),CONCATENATE("R2C",'Mapa final'!$Y$14),"")</f>
        <v/>
      </c>
      <c r="AI17" s="53" t="str">
        <f>IF(AND('Mapa final'!$AI$15="Alta",'Mapa final'!$AK$15="Catastrófico"),CONCATENATE("R2C",'Mapa final'!$Y$15),"")</f>
        <v/>
      </c>
      <c r="AJ17" s="53" t="str">
        <f>IF(AND('Mapa final'!$AI$16="Alta",'Mapa final'!$AK$16="Catastrófico"),CONCATENATE("R2C",'Mapa final'!$Y$16),"")</f>
        <v/>
      </c>
      <c r="AK17" s="53" t="e">
        <f>IF(AND('Mapa final'!#REF!="Alta",'Mapa final'!#REF!="Catastrófico"),CONCATENATE("R2C",'Mapa final'!#REF!),"")</f>
        <v>#REF!</v>
      </c>
      <c r="AL17" s="53" t="e">
        <f>IF(AND('Mapa final'!#REF!="Alta",'Mapa final'!#REF!="Catastrófico"),CONCATENATE("R2C",'Mapa final'!#REF!),"")</f>
        <v>#REF!</v>
      </c>
      <c r="AM17" s="54" t="e">
        <f>IF(AND('Mapa final'!#REF!="Alta",'Mapa final'!#REF!="Catastrófico"),CONCATENATE("R2C",'Mapa final'!#REF!),"")</f>
        <v>#REF!</v>
      </c>
      <c r="AN17" s="80"/>
      <c r="AO17" s="431"/>
      <c r="AP17" s="432"/>
      <c r="AQ17" s="432"/>
      <c r="AR17" s="432"/>
      <c r="AS17" s="432"/>
      <c r="AT17" s="433"/>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342"/>
      <c r="C18" s="342"/>
      <c r="D18" s="343"/>
      <c r="E18" s="441"/>
      <c r="F18" s="440"/>
      <c r="G18" s="440"/>
      <c r="H18" s="440"/>
      <c r="I18" s="440"/>
      <c r="J18" s="64" t="str">
        <f>IF(AND('Mapa final'!$AI$17="Alta",'Mapa final'!$AK$17="Leve"),CONCATENATE("R3C",'Mapa final'!$Y$17),"")</f>
        <v/>
      </c>
      <c r="K18" s="65" t="str">
        <f>IF(AND('Mapa final'!$AI$18="Alta",'Mapa final'!$AK$18="Leve"),CONCATENATE("R3C",'Mapa final'!$Y$18),"")</f>
        <v/>
      </c>
      <c r="L18" s="65" t="str">
        <f>IF(AND('Mapa final'!$AI$19="Alta",'Mapa final'!$AK$19="Leve"),CONCATENATE("R3C",'Mapa final'!$Y$19),"")</f>
        <v/>
      </c>
      <c r="M18" s="65" t="e">
        <f>IF(AND('Mapa final'!#REF!="Alta",'Mapa final'!#REF!="Leve"),CONCATENATE("R3C",'Mapa final'!#REF!),"")</f>
        <v>#REF!</v>
      </c>
      <c r="N18" s="65" t="e">
        <f>IF(AND('Mapa final'!#REF!="Alta",'Mapa final'!#REF!="Leve"),CONCATENATE("R3C",'Mapa final'!#REF!),"")</f>
        <v>#REF!</v>
      </c>
      <c r="O18" s="66" t="e">
        <f>IF(AND('Mapa final'!#REF!="Alta",'Mapa final'!#REF!="Leve"),CONCATENATE("R3C",'Mapa final'!#REF!),"")</f>
        <v>#REF!</v>
      </c>
      <c r="P18" s="64" t="str">
        <f>IF(AND('Mapa final'!$AI$17="Alta",'Mapa final'!$AK$17="Menor"),CONCATENATE("R3C",'Mapa final'!$Y$17),"")</f>
        <v/>
      </c>
      <c r="Q18" s="65" t="str">
        <f>IF(AND('Mapa final'!$AI$18="Alta",'Mapa final'!$AK$18="Menor"),CONCATENATE("R3C",'Mapa final'!$Y$18),"")</f>
        <v/>
      </c>
      <c r="R18" s="65" t="str">
        <f>IF(AND('Mapa final'!$AI$19="Alta",'Mapa final'!$AK$19="Menor"),CONCATENATE("R3C",'Mapa final'!$Y$19),"")</f>
        <v/>
      </c>
      <c r="S18" s="65" t="e">
        <f>IF(AND('Mapa final'!#REF!="Alta",'Mapa final'!#REF!="Menor"),CONCATENATE("R3C",'Mapa final'!#REF!),"")</f>
        <v>#REF!</v>
      </c>
      <c r="T18" s="65" t="e">
        <f>IF(AND('Mapa final'!#REF!="Alta",'Mapa final'!#REF!="Menor"),CONCATENATE("R3C",'Mapa final'!#REF!),"")</f>
        <v>#REF!</v>
      </c>
      <c r="U18" s="66" t="e">
        <f>IF(AND('Mapa final'!#REF!="Alta",'Mapa final'!#REF!="Menor"),CONCATENATE("R3C",'Mapa final'!#REF!),"")</f>
        <v>#REF!</v>
      </c>
      <c r="V18" s="49" t="str">
        <f>IF(AND('Mapa final'!$AI$17="Alta",'Mapa final'!$AK$17="Moderado"),CONCATENATE("R3C",'Mapa final'!$Y$17),"")</f>
        <v/>
      </c>
      <c r="W18" s="50" t="str">
        <f>IF(AND('Mapa final'!$AI$18="Alta",'Mapa final'!$AK$18="Moderado"),CONCATENATE("R3C",'Mapa final'!$Y$18),"")</f>
        <v/>
      </c>
      <c r="X18" s="50" t="str">
        <f>IF(AND('Mapa final'!$AI$19="Alta",'Mapa final'!$AK$19="Moderado"),CONCATENATE("R3C",'Mapa final'!$Y$19),"")</f>
        <v/>
      </c>
      <c r="Y18" s="50" t="e">
        <f>IF(AND('Mapa final'!#REF!="Alta",'Mapa final'!#REF!="Moderado"),CONCATENATE("R3C",'Mapa final'!#REF!),"")</f>
        <v>#REF!</v>
      </c>
      <c r="Z18" s="50" t="e">
        <f>IF(AND('Mapa final'!#REF!="Alta",'Mapa final'!#REF!="Moderado"),CONCATENATE("R3C",'Mapa final'!#REF!),"")</f>
        <v>#REF!</v>
      </c>
      <c r="AA18" s="51" t="e">
        <f>IF(AND('Mapa final'!#REF!="Alta",'Mapa final'!#REF!="Moderado"),CONCATENATE("R3C",'Mapa final'!#REF!),"")</f>
        <v>#REF!</v>
      </c>
      <c r="AB18" s="49" t="str">
        <f>IF(AND('Mapa final'!$AI$17="Alta",'Mapa final'!$AK$17="Mayor"),CONCATENATE("R3C",'Mapa final'!$Y$17),"")</f>
        <v/>
      </c>
      <c r="AC18" s="50" t="str">
        <f>IF(AND('Mapa final'!$AI$18="Alta",'Mapa final'!$AK$18="Mayor"),CONCATENATE("R3C",'Mapa final'!$Y$18),"")</f>
        <v/>
      </c>
      <c r="AD18" s="50" t="str">
        <f>IF(AND('Mapa final'!$AI$19="Alta",'Mapa final'!$AK$19="Mayor"),CONCATENATE("R3C",'Mapa final'!$Y$19),"")</f>
        <v/>
      </c>
      <c r="AE18" s="50" t="e">
        <f>IF(AND('Mapa final'!#REF!="Alta",'Mapa final'!#REF!="Mayor"),CONCATENATE("R3C",'Mapa final'!#REF!),"")</f>
        <v>#REF!</v>
      </c>
      <c r="AF18" s="50" t="e">
        <f>IF(AND('Mapa final'!#REF!="Alta",'Mapa final'!#REF!="Mayor"),CONCATENATE("R3C",'Mapa final'!#REF!),"")</f>
        <v>#REF!</v>
      </c>
      <c r="AG18" s="51" t="e">
        <f>IF(AND('Mapa final'!#REF!="Alta",'Mapa final'!#REF!="Mayor"),CONCATENATE("R3C",'Mapa final'!#REF!),"")</f>
        <v>#REF!</v>
      </c>
      <c r="AH18" s="52" t="str">
        <f>IF(AND('Mapa final'!$AI$17="Alta",'Mapa final'!$AK$17="Catastrófico"),CONCATENATE("R3C",'Mapa final'!$Y$17),"")</f>
        <v/>
      </c>
      <c r="AI18" s="53" t="str">
        <f>IF(AND('Mapa final'!$AI$18="Alta",'Mapa final'!$AK$18="Catastrófico"),CONCATENATE("R3C",'Mapa final'!$Y$18),"")</f>
        <v/>
      </c>
      <c r="AJ18" s="53" t="str">
        <f>IF(AND('Mapa final'!$AI$19="Alta",'Mapa final'!$AK$19="Catastrófico"),CONCATENATE("R3C",'Mapa final'!$Y$19),"")</f>
        <v/>
      </c>
      <c r="AK18" s="53" t="e">
        <f>IF(AND('Mapa final'!#REF!="Alta",'Mapa final'!#REF!="Catastrófico"),CONCATENATE("R3C",'Mapa final'!#REF!),"")</f>
        <v>#REF!</v>
      </c>
      <c r="AL18" s="53" t="e">
        <f>IF(AND('Mapa final'!#REF!="Alta",'Mapa final'!#REF!="Catastrófico"),CONCATENATE("R3C",'Mapa final'!#REF!),"")</f>
        <v>#REF!</v>
      </c>
      <c r="AM18" s="54" t="e">
        <f>IF(AND('Mapa final'!#REF!="Alta",'Mapa final'!#REF!="Catastrófico"),CONCATENATE("R3C",'Mapa final'!#REF!),"")</f>
        <v>#REF!</v>
      </c>
      <c r="AN18" s="80"/>
      <c r="AO18" s="431"/>
      <c r="AP18" s="432"/>
      <c r="AQ18" s="432"/>
      <c r="AR18" s="432"/>
      <c r="AS18" s="432"/>
      <c r="AT18" s="433"/>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342"/>
      <c r="C19" s="342"/>
      <c r="D19" s="343"/>
      <c r="E19" s="441"/>
      <c r="F19" s="440"/>
      <c r="G19" s="440"/>
      <c r="H19" s="440"/>
      <c r="I19" s="440"/>
      <c r="J19" s="64" t="str">
        <f>IF(AND('Mapa final'!$AI$20="Alta",'Mapa final'!$AK$20="Leve"),CONCATENATE("R4C",'Mapa final'!$Y$20),"")</f>
        <v/>
      </c>
      <c r="K19" s="65" t="str">
        <f>IF(AND('Mapa final'!$AI$21="Alta",'Mapa final'!$AK$21="Leve"),CONCATENATE("R4C",'Mapa final'!$Y$21),"")</f>
        <v/>
      </c>
      <c r="L19" s="65" t="str">
        <f>IF(AND('Mapa final'!$AI$22="Alta",'Mapa final'!$AK$22="Leve"),CONCATENATE("R4C",'Mapa final'!$Y$22),"")</f>
        <v/>
      </c>
      <c r="M19" s="65" t="e">
        <f>IF(AND('Mapa final'!#REF!="Alta",'Mapa final'!#REF!="Leve"),CONCATENATE("R4C",'Mapa final'!#REF!),"")</f>
        <v>#REF!</v>
      </c>
      <c r="N19" s="65" t="e">
        <f>IF(AND('Mapa final'!#REF!="Alta",'Mapa final'!#REF!="Leve"),CONCATENATE("R4C",'Mapa final'!#REF!),"")</f>
        <v>#REF!</v>
      </c>
      <c r="O19" s="66" t="e">
        <f>IF(AND('Mapa final'!#REF!="Alta",'Mapa final'!#REF!="Leve"),CONCATENATE("R4C",'Mapa final'!#REF!),"")</f>
        <v>#REF!</v>
      </c>
      <c r="P19" s="64" t="str">
        <f>IF(AND('Mapa final'!$AI$20="Alta",'Mapa final'!$AK$20="Menor"),CONCATENATE("R4C",'Mapa final'!$Y$20),"")</f>
        <v/>
      </c>
      <c r="Q19" s="65" t="str">
        <f>IF(AND('Mapa final'!$AI$21="Alta",'Mapa final'!$AK$21="Menor"),CONCATENATE("R4C",'Mapa final'!$Y$21),"")</f>
        <v/>
      </c>
      <c r="R19" s="65" t="str">
        <f>IF(AND('Mapa final'!$AI$22="Alta",'Mapa final'!$AK$22="Menor"),CONCATENATE("R4C",'Mapa final'!$Y$22),"")</f>
        <v/>
      </c>
      <c r="S19" s="65" t="e">
        <f>IF(AND('Mapa final'!#REF!="Alta",'Mapa final'!#REF!="Menor"),CONCATENATE("R4C",'Mapa final'!#REF!),"")</f>
        <v>#REF!</v>
      </c>
      <c r="T19" s="65" t="e">
        <f>IF(AND('Mapa final'!#REF!="Alta",'Mapa final'!#REF!="Menor"),CONCATENATE("R4C",'Mapa final'!#REF!),"")</f>
        <v>#REF!</v>
      </c>
      <c r="U19" s="66" t="e">
        <f>IF(AND('Mapa final'!#REF!="Alta",'Mapa final'!#REF!="Menor"),CONCATENATE("R4C",'Mapa final'!#REF!),"")</f>
        <v>#REF!</v>
      </c>
      <c r="V19" s="49" t="str">
        <f>IF(AND('Mapa final'!$AI$20="Alta",'Mapa final'!$AK$20="Moderado"),CONCATENATE("R4C",'Mapa final'!$Y$20),"")</f>
        <v/>
      </c>
      <c r="W19" s="50" t="str">
        <f>IF(AND('Mapa final'!$AI$21="Alta",'Mapa final'!$AK$21="Moderado"),CONCATENATE("R4C",'Mapa final'!$Y$21),"")</f>
        <v/>
      </c>
      <c r="X19" s="50" t="str">
        <f>IF(AND('Mapa final'!$AI$22="Alta",'Mapa final'!$AK$22="Moderado"),CONCATENATE("R4C",'Mapa final'!$Y$22),"")</f>
        <v/>
      </c>
      <c r="Y19" s="50" t="e">
        <f>IF(AND('Mapa final'!#REF!="Alta",'Mapa final'!#REF!="Moderado"),CONCATENATE("R4C",'Mapa final'!#REF!),"")</f>
        <v>#REF!</v>
      </c>
      <c r="Z19" s="50" t="e">
        <f>IF(AND('Mapa final'!#REF!="Alta",'Mapa final'!#REF!="Moderado"),CONCATENATE("R4C",'Mapa final'!#REF!),"")</f>
        <v>#REF!</v>
      </c>
      <c r="AA19" s="51" t="e">
        <f>IF(AND('Mapa final'!#REF!="Alta",'Mapa final'!#REF!="Moderado"),CONCATENATE("R4C",'Mapa final'!#REF!),"")</f>
        <v>#REF!</v>
      </c>
      <c r="AB19" s="49" t="str">
        <f>IF(AND('Mapa final'!$AI$20="Alta",'Mapa final'!$AK$20="Mayor"),CONCATENATE("R4C",'Mapa final'!$Y$20),"")</f>
        <v/>
      </c>
      <c r="AC19" s="50" t="str">
        <f>IF(AND('Mapa final'!$AI$21="Alta",'Mapa final'!$AK$21="Mayor"),CONCATENATE("R4C",'Mapa final'!$Y$21),"")</f>
        <v/>
      </c>
      <c r="AD19" s="50" t="str">
        <f>IF(AND('Mapa final'!$AI$22="Alta",'Mapa final'!$AK$22="Mayor"),CONCATENATE("R4C",'Mapa final'!$Y$22),"")</f>
        <v/>
      </c>
      <c r="AE19" s="50" t="e">
        <f>IF(AND('Mapa final'!#REF!="Alta",'Mapa final'!#REF!="Mayor"),CONCATENATE("R4C",'Mapa final'!#REF!),"")</f>
        <v>#REF!</v>
      </c>
      <c r="AF19" s="50" t="e">
        <f>IF(AND('Mapa final'!#REF!="Alta",'Mapa final'!#REF!="Mayor"),CONCATENATE("R4C",'Mapa final'!#REF!),"")</f>
        <v>#REF!</v>
      </c>
      <c r="AG19" s="51" t="e">
        <f>IF(AND('Mapa final'!#REF!="Alta",'Mapa final'!#REF!="Mayor"),CONCATENATE("R4C",'Mapa final'!#REF!),"")</f>
        <v>#REF!</v>
      </c>
      <c r="AH19" s="52" t="str">
        <f>IF(AND('Mapa final'!$AI$20="Alta",'Mapa final'!$AK$20="Catastrófico"),CONCATENATE("R4C",'Mapa final'!$Y$20),"")</f>
        <v/>
      </c>
      <c r="AI19" s="53" t="str">
        <f>IF(AND('Mapa final'!$AI$21="Alta",'Mapa final'!$AK$21="Catastrófico"),CONCATENATE("R4C",'Mapa final'!$Y$21),"")</f>
        <v/>
      </c>
      <c r="AJ19" s="53" t="str">
        <f>IF(AND('Mapa final'!$AI$22="Alta",'Mapa final'!$AK$22="Catastrófico"),CONCATENATE("R4C",'Mapa final'!$Y$22),"")</f>
        <v/>
      </c>
      <c r="AK19" s="53" t="e">
        <f>IF(AND('Mapa final'!#REF!="Alta",'Mapa final'!#REF!="Catastrófico"),CONCATENATE("R4C",'Mapa final'!#REF!),"")</f>
        <v>#REF!</v>
      </c>
      <c r="AL19" s="53" t="e">
        <f>IF(AND('Mapa final'!#REF!="Alta",'Mapa final'!#REF!="Catastrófico"),CONCATENATE("R4C",'Mapa final'!#REF!),"")</f>
        <v>#REF!</v>
      </c>
      <c r="AM19" s="54" t="e">
        <f>IF(AND('Mapa final'!#REF!="Alta",'Mapa final'!#REF!="Catastrófico"),CONCATENATE("R4C",'Mapa final'!#REF!),"")</f>
        <v>#REF!</v>
      </c>
      <c r="AN19" s="80"/>
      <c r="AO19" s="431"/>
      <c r="AP19" s="432"/>
      <c r="AQ19" s="432"/>
      <c r="AR19" s="432"/>
      <c r="AS19" s="432"/>
      <c r="AT19" s="433"/>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342"/>
      <c r="C20" s="342"/>
      <c r="D20" s="343"/>
      <c r="E20" s="441"/>
      <c r="F20" s="440"/>
      <c r="G20" s="440"/>
      <c r="H20" s="440"/>
      <c r="I20" s="440"/>
      <c r="J20" s="64" t="str">
        <f>IF(AND('Mapa final'!$AI$23="Alta",'Mapa final'!$AK$23="Leve"),CONCATENATE("R5C",'Mapa final'!$Y$23),"")</f>
        <v/>
      </c>
      <c r="K20" s="65" t="str">
        <f>IF(AND('Mapa final'!$AI$24="Alta",'Mapa final'!$AK$24="Leve"),CONCATENATE("R5C",'Mapa final'!$Y$24),"")</f>
        <v/>
      </c>
      <c r="L20" s="65" t="str">
        <f>IF(AND('Mapa final'!$AI$25="Alta",'Mapa final'!$AK$25="Leve"),CONCATENATE("R5C",'Mapa final'!$Y$25),"")</f>
        <v/>
      </c>
      <c r="M20" s="65" t="str">
        <f>IF(AND('Mapa final'!$AI$26="Alta",'Mapa final'!$AK$26="Leve"),CONCATENATE("R5C",'Mapa final'!$Y$26),"")</f>
        <v/>
      </c>
      <c r="N20" s="65" t="str">
        <f>IF(AND('Mapa final'!$AI$27="Alta",'Mapa final'!$AK$27="Leve"),CONCATENATE("R5C",'Mapa final'!$Y$27),"")</f>
        <v/>
      </c>
      <c r="O20" s="66" t="str">
        <f>IF(AND('Mapa final'!$AI$28="Alta",'Mapa final'!$AK$28="Leve"),CONCATENATE("R5C",'Mapa final'!$Y$28),"")</f>
        <v/>
      </c>
      <c r="P20" s="64" t="str">
        <f>IF(AND('Mapa final'!$AI$23="Alta",'Mapa final'!$AK$23="Menor"),CONCATENATE("R5C",'Mapa final'!$Y$23),"")</f>
        <v/>
      </c>
      <c r="Q20" s="65" t="str">
        <f>IF(AND('Mapa final'!$AI$24="Alta",'Mapa final'!$AK$24="Menor"),CONCATENATE("R5C",'Mapa final'!$Y$24),"")</f>
        <v/>
      </c>
      <c r="R20" s="65" t="str">
        <f>IF(AND('Mapa final'!$AI$25="Alta",'Mapa final'!$AK$25="Menor"),CONCATENATE("R5C",'Mapa final'!$Y$25),"")</f>
        <v/>
      </c>
      <c r="S20" s="65" t="str">
        <f>IF(AND('Mapa final'!$AI$26="Alta",'Mapa final'!$AK$26="Menor"),CONCATENATE("R5C",'Mapa final'!$Y$26),"")</f>
        <v/>
      </c>
      <c r="T20" s="65" t="str">
        <f>IF(AND('Mapa final'!$AI$27="Alta",'Mapa final'!$AK$27="Menor"),CONCATENATE("R5C",'Mapa final'!$Y$27),"")</f>
        <v/>
      </c>
      <c r="U20" s="66" t="str">
        <f>IF(AND('Mapa final'!$AI$28="Alta",'Mapa final'!$AK$28="Menor"),CONCATENATE("R5C",'Mapa final'!$Y$28),"")</f>
        <v/>
      </c>
      <c r="V20" s="49" t="str">
        <f>IF(AND('Mapa final'!$AI$23="Alta",'Mapa final'!$AK$23="Moderado"),CONCATENATE("R5C",'Mapa final'!$Y$23),"")</f>
        <v/>
      </c>
      <c r="W20" s="50" t="str">
        <f>IF(AND('Mapa final'!$AI$24="Alta",'Mapa final'!$AK$24="Moderado"),CONCATENATE("R5C",'Mapa final'!$Y$24),"")</f>
        <v/>
      </c>
      <c r="X20" s="50" t="str">
        <f>IF(AND('Mapa final'!$AI$25="Alta",'Mapa final'!$AK$25="Moderado"),CONCATENATE("R5C",'Mapa final'!$Y$25),"")</f>
        <v/>
      </c>
      <c r="Y20" s="50" t="str">
        <f>IF(AND('Mapa final'!$AI$26="Alta",'Mapa final'!$AK$26="Moderado"),CONCATENATE("R5C",'Mapa final'!$Y$26),"")</f>
        <v/>
      </c>
      <c r="Z20" s="50" t="str">
        <f>IF(AND('Mapa final'!$AI$27="Alta",'Mapa final'!$AK$27="Moderado"),CONCATENATE("R5C",'Mapa final'!$Y$27),"")</f>
        <v/>
      </c>
      <c r="AA20" s="51" t="str">
        <f>IF(AND('Mapa final'!$AI$28="Alta",'Mapa final'!$AK$28="Moderado"),CONCATENATE("R5C",'Mapa final'!$Y$28),"")</f>
        <v/>
      </c>
      <c r="AB20" s="49" t="str">
        <f>IF(AND('Mapa final'!$AI$23="Alta",'Mapa final'!$AK$23="Mayor"),CONCATENATE("R5C",'Mapa final'!$Y$23),"")</f>
        <v/>
      </c>
      <c r="AC20" s="50" t="str">
        <f>IF(AND('Mapa final'!$AI$24="Alta",'Mapa final'!$AK$24="Mayor"),CONCATENATE("R5C",'Mapa final'!$Y$24),"")</f>
        <v/>
      </c>
      <c r="AD20" s="50" t="str">
        <f>IF(AND('Mapa final'!$AI$25="Alta",'Mapa final'!$AK$25="Mayor"),CONCATENATE("R5C",'Mapa final'!$Y$25),"")</f>
        <v/>
      </c>
      <c r="AE20" s="50" t="str">
        <f>IF(AND('Mapa final'!$AI$26="Alta",'Mapa final'!$AK$26="Mayor"),CONCATENATE("R5C",'Mapa final'!$Y$26),"")</f>
        <v/>
      </c>
      <c r="AF20" s="50" t="str">
        <f>IF(AND('Mapa final'!$AI$27="Alta",'Mapa final'!$AK$27="Mayor"),CONCATENATE("R5C",'Mapa final'!$Y$27),"")</f>
        <v/>
      </c>
      <c r="AG20" s="51" t="str">
        <f>IF(AND('Mapa final'!$AI$28="Alta",'Mapa final'!$AK$28="Mayor"),CONCATENATE("R5C",'Mapa final'!$Y$28),"")</f>
        <v/>
      </c>
      <c r="AH20" s="52" t="str">
        <f>IF(AND('Mapa final'!$AI$23="Alta",'Mapa final'!$AK$23="Catastrófico"),CONCATENATE("R5C",'Mapa final'!$Y$23),"")</f>
        <v/>
      </c>
      <c r="AI20" s="53" t="str">
        <f>IF(AND('Mapa final'!$AI$24="Alta",'Mapa final'!$AK$24="Catastrófico"),CONCATENATE("R5C",'Mapa final'!$Y$24),"")</f>
        <v/>
      </c>
      <c r="AJ20" s="53" t="str">
        <f>IF(AND('Mapa final'!$AI$25="Alta",'Mapa final'!$AK$25="Catastrófico"),CONCATENATE("R5C",'Mapa final'!$Y$25),"")</f>
        <v/>
      </c>
      <c r="AK20" s="53" t="str">
        <f>IF(AND('Mapa final'!$AI$26="Alta",'Mapa final'!$AK$26="Catastrófico"),CONCATENATE("R5C",'Mapa final'!$Y$26),"")</f>
        <v/>
      </c>
      <c r="AL20" s="53" t="str">
        <f>IF(AND('Mapa final'!$AI$27="Alta",'Mapa final'!$AK$27="Catastrófico"),CONCATENATE("R5C",'Mapa final'!$Y$27),"")</f>
        <v/>
      </c>
      <c r="AM20" s="54" t="str">
        <f>IF(AND('Mapa final'!$AI$28="Alta",'Mapa final'!$AK$28="Catastrófico"),CONCATENATE("R5C",'Mapa final'!$Y$28),"")</f>
        <v/>
      </c>
      <c r="AN20" s="80"/>
      <c r="AO20" s="431"/>
      <c r="AP20" s="432"/>
      <c r="AQ20" s="432"/>
      <c r="AR20" s="432"/>
      <c r="AS20" s="432"/>
      <c r="AT20" s="433"/>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342"/>
      <c r="C21" s="342"/>
      <c r="D21" s="343"/>
      <c r="E21" s="441"/>
      <c r="F21" s="440"/>
      <c r="G21" s="440"/>
      <c r="H21" s="440"/>
      <c r="I21" s="440"/>
      <c r="J21" s="64" t="str">
        <f>IF(AND('Mapa final'!$AI$29="Alta",'Mapa final'!$AK$29="Leve"),CONCATENATE("R6C",'Mapa final'!$Y$29),"")</f>
        <v/>
      </c>
      <c r="K21" s="65" t="str">
        <f>IF(AND('Mapa final'!$AI$30="Alta",'Mapa final'!$AK$30="Leve"),CONCATENATE("R6C",'Mapa final'!$Y$30),"")</f>
        <v/>
      </c>
      <c r="L21" s="65" t="str">
        <f>IF(AND('Mapa final'!$AI$31="Alta",'Mapa final'!$AK$31="Leve"),CONCATENATE("R6C",'Mapa final'!$Y$31),"")</f>
        <v/>
      </c>
      <c r="M21" s="65" t="str">
        <f>IF(AND('Mapa final'!$AI$32="Alta",'Mapa final'!$AK$32="Leve"),CONCATENATE("R6C",'Mapa final'!$Y$32),"")</f>
        <v/>
      </c>
      <c r="N21" s="65" t="str">
        <f>IF(AND('Mapa final'!$AI$33="Alta",'Mapa final'!$AK$33="Leve"),CONCATENATE("R6C",'Mapa final'!$Y$33),"")</f>
        <v/>
      </c>
      <c r="O21" s="66" t="str">
        <f>IF(AND('Mapa final'!$AI$34="Alta",'Mapa final'!$AK$34="Leve"),CONCATENATE("R6C",'Mapa final'!$Y$34),"")</f>
        <v/>
      </c>
      <c r="P21" s="64" t="str">
        <f>IF(AND('Mapa final'!$AI$29="Alta",'Mapa final'!$AK$29="Menor"),CONCATENATE("R6C",'Mapa final'!$Y$29),"")</f>
        <v/>
      </c>
      <c r="Q21" s="65" t="str">
        <f>IF(AND('Mapa final'!$AI$30="Alta",'Mapa final'!$AK$30="Menor"),CONCATENATE("R6C",'Mapa final'!$Y$30),"")</f>
        <v/>
      </c>
      <c r="R21" s="65" t="str">
        <f>IF(AND('Mapa final'!$AI$31="Alta",'Mapa final'!$AK$31="Menor"),CONCATENATE("R6C",'Mapa final'!$Y$31),"")</f>
        <v/>
      </c>
      <c r="S21" s="65" t="str">
        <f>IF(AND('Mapa final'!$AI$32="Alta",'Mapa final'!$AK$32="Menor"),CONCATENATE("R6C",'Mapa final'!$Y$32),"")</f>
        <v/>
      </c>
      <c r="T21" s="65" t="str">
        <f>IF(AND('Mapa final'!$AI$33="Alta",'Mapa final'!$AK$33="Menor"),CONCATENATE("R6C",'Mapa final'!$Y$33),"")</f>
        <v/>
      </c>
      <c r="U21" s="66" t="str">
        <f>IF(AND('Mapa final'!$AI$34="Alta",'Mapa final'!$AK$34="Menor"),CONCATENATE("R6C",'Mapa final'!$Y$34),"")</f>
        <v/>
      </c>
      <c r="V21" s="49" t="str">
        <f>IF(AND('Mapa final'!$AI$29="Alta",'Mapa final'!$AK$29="Moderado"),CONCATENATE("R6C",'Mapa final'!$Y$29),"")</f>
        <v/>
      </c>
      <c r="W21" s="50" t="str">
        <f>IF(AND('Mapa final'!$AI$30="Alta",'Mapa final'!$AK$30="Moderado"),CONCATENATE("R6C",'Mapa final'!$Y$30),"")</f>
        <v/>
      </c>
      <c r="X21" s="50" t="str">
        <f>IF(AND('Mapa final'!$AI$31="Alta",'Mapa final'!$AK$31="Moderado"),CONCATENATE("R6C",'Mapa final'!$Y$31),"")</f>
        <v/>
      </c>
      <c r="Y21" s="50" t="str">
        <f>IF(AND('Mapa final'!$AI$32="Alta",'Mapa final'!$AK$32="Moderado"),CONCATENATE("R6C",'Mapa final'!$Y$32),"")</f>
        <v/>
      </c>
      <c r="Z21" s="50" t="str">
        <f>IF(AND('Mapa final'!$AI$33="Alta",'Mapa final'!$AK$33="Moderado"),CONCATENATE("R6C",'Mapa final'!$Y$33),"")</f>
        <v/>
      </c>
      <c r="AA21" s="51" t="str">
        <f>IF(AND('Mapa final'!$AI$34="Alta",'Mapa final'!$AK$34="Moderado"),CONCATENATE("R6C",'Mapa final'!$Y$34),"")</f>
        <v/>
      </c>
      <c r="AB21" s="49" t="str">
        <f>IF(AND('Mapa final'!$AI$29="Alta",'Mapa final'!$AK$29="Mayor"),CONCATENATE("R6C",'Mapa final'!$Y$29),"")</f>
        <v/>
      </c>
      <c r="AC21" s="50" t="str">
        <f>IF(AND('Mapa final'!$AI$30="Alta",'Mapa final'!$AK$30="Mayor"),CONCATENATE("R6C",'Mapa final'!$Y$30),"")</f>
        <v/>
      </c>
      <c r="AD21" s="50" t="str">
        <f>IF(AND('Mapa final'!$AI$31="Alta",'Mapa final'!$AK$31="Mayor"),CONCATENATE("R6C",'Mapa final'!$Y$31),"")</f>
        <v/>
      </c>
      <c r="AE21" s="50" t="str">
        <f>IF(AND('Mapa final'!$AI$32="Alta",'Mapa final'!$AK$32="Mayor"),CONCATENATE("R6C",'Mapa final'!$Y$32),"")</f>
        <v/>
      </c>
      <c r="AF21" s="50" t="str">
        <f>IF(AND('Mapa final'!$AI$33="Alta",'Mapa final'!$AK$33="Mayor"),CONCATENATE("R6C",'Mapa final'!$Y$33),"")</f>
        <v/>
      </c>
      <c r="AG21" s="51" t="str">
        <f>IF(AND('Mapa final'!$AI$34="Alta",'Mapa final'!$AK$34="Mayor"),CONCATENATE("R6C",'Mapa final'!$Y$34),"")</f>
        <v/>
      </c>
      <c r="AH21" s="52" t="str">
        <f>IF(AND('Mapa final'!$AI$29="Alta",'Mapa final'!$AK$29="Catastrófico"),CONCATENATE("R6C",'Mapa final'!$Y$29),"")</f>
        <v/>
      </c>
      <c r="AI21" s="53" t="str">
        <f>IF(AND('Mapa final'!$AI$30="Alta",'Mapa final'!$AK$30="Catastrófico"),CONCATENATE("R6C",'Mapa final'!$Y$30),"")</f>
        <v/>
      </c>
      <c r="AJ21" s="53" t="str">
        <f>IF(AND('Mapa final'!$AI$31="Alta",'Mapa final'!$AK$31="Catastrófico"),CONCATENATE("R6C",'Mapa final'!$Y$31),"")</f>
        <v/>
      </c>
      <c r="AK21" s="53" t="str">
        <f>IF(AND('Mapa final'!$AI$32="Alta",'Mapa final'!$AK$32="Catastrófico"),CONCATENATE("R6C",'Mapa final'!$Y$32),"")</f>
        <v/>
      </c>
      <c r="AL21" s="53" t="str">
        <f>IF(AND('Mapa final'!$AI$33="Alta",'Mapa final'!$AK$33="Catastrófico"),CONCATENATE("R6C",'Mapa final'!$Y$33),"")</f>
        <v/>
      </c>
      <c r="AM21" s="54" t="str">
        <f>IF(AND('Mapa final'!$AI$34="Alta",'Mapa final'!$AK$34="Catastrófico"),CONCATENATE("R6C",'Mapa final'!$Y$34),"")</f>
        <v/>
      </c>
      <c r="AN21" s="80"/>
      <c r="AO21" s="431"/>
      <c r="AP21" s="432"/>
      <c r="AQ21" s="432"/>
      <c r="AR21" s="432"/>
      <c r="AS21" s="432"/>
      <c r="AT21" s="433"/>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342"/>
      <c r="C22" s="342"/>
      <c r="D22" s="343"/>
      <c r="E22" s="441"/>
      <c r="F22" s="440"/>
      <c r="G22" s="440"/>
      <c r="H22" s="440"/>
      <c r="I22" s="440"/>
      <c r="J22" s="64" t="str">
        <f>IF(AND('Mapa final'!$AI$35="Alta",'Mapa final'!$AK$35="Leve"),CONCATENATE("R7C",'Mapa final'!$Y$35),"")</f>
        <v/>
      </c>
      <c r="K22" s="65" t="str">
        <f>IF(AND('Mapa final'!$AI$36="Alta",'Mapa final'!$AK$36="Leve"),CONCATENATE("R7C",'Mapa final'!$Y$36),"")</f>
        <v/>
      </c>
      <c r="L22" s="65" t="str">
        <f>IF(AND('Mapa final'!$AI$37="Alta",'Mapa final'!$AK$37="Leve"),CONCATENATE("R7C",'Mapa final'!$Y$37),"")</f>
        <v/>
      </c>
      <c r="M22" s="65" t="str">
        <f>IF(AND('Mapa final'!$AI$38="Alta",'Mapa final'!$AK$38="Leve"),CONCATENATE("R7C",'Mapa final'!$Y$38),"")</f>
        <v/>
      </c>
      <c r="N22" s="65" t="str">
        <f>IF(AND('Mapa final'!$AI$39="Alta",'Mapa final'!$AK$39="Leve"),CONCATENATE("R7C",'Mapa final'!$Y$39),"")</f>
        <v/>
      </c>
      <c r="O22" s="66" t="str">
        <f>IF(AND('Mapa final'!$AI$40="Alta",'Mapa final'!$AK$40="Leve"),CONCATENATE("R7C",'Mapa final'!$Y$40),"")</f>
        <v/>
      </c>
      <c r="P22" s="64" t="str">
        <f>IF(AND('Mapa final'!$AI$35="Alta",'Mapa final'!$AK$35="Menor"),CONCATENATE("R7C",'Mapa final'!$Y$35),"")</f>
        <v/>
      </c>
      <c r="Q22" s="65" t="str">
        <f>IF(AND('Mapa final'!$AI$36="Alta",'Mapa final'!$AK$36="Menor"),CONCATENATE("R7C",'Mapa final'!$Y$36),"")</f>
        <v/>
      </c>
      <c r="R22" s="65" t="str">
        <f>IF(AND('Mapa final'!$AI$37="Alta",'Mapa final'!$AK$37="Menor"),CONCATENATE("R7C",'Mapa final'!$Y$37),"")</f>
        <v/>
      </c>
      <c r="S22" s="65" t="str">
        <f>IF(AND('Mapa final'!$AI$38="Alta",'Mapa final'!$AK$38="Menor"),CONCATENATE("R7C",'Mapa final'!$Y$38),"")</f>
        <v/>
      </c>
      <c r="T22" s="65" t="str">
        <f>IF(AND('Mapa final'!$AI$39="Alta",'Mapa final'!$AK$39="Menor"),CONCATENATE("R7C",'Mapa final'!$Y$39),"")</f>
        <v/>
      </c>
      <c r="U22" s="66" t="str">
        <f>IF(AND('Mapa final'!$AI$40="Alta",'Mapa final'!$AK$40="Menor"),CONCATENATE("R7C",'Mapa final'!$Y$40),"")</f>
        <v/>
      </c>
      <c r="V22" s="49" t="str">
        <f>IF(AND('Mapa final'!$AI$35="Alta",'Mapa final'!$AK$35="Moderado"),CONCATENATE("R7C",'Mapa final'!$Y$35),"")</f>
        <v/>
      </c>
      <c r="W22" s="50" t="str">
        <f>IF(AND('Mapa final'!$AI$36="Alta",'Mapa final'!$AK$36="Moderado"),CONCATENATE("R7C",'Mapa final'!$Y$36),"")</f>
        <v/>
      </c>
      <c r="X22" s="50" t="str">
        <f>IF(AND('Mapa final'!$AI$37="Alta",'Mapa final'!$AK$37="Moderado"),CONCATENATE("R7C",'Mapa final'!$Y$37),"")</f>
        <v/>
      </c>
      <c r="Y22" s="50" t="str">
        <f>IF(AND('Mapa final'!$AI$38="Alta",'Mapa final'!$AK$38="Moderado"),CONCATENATE("R7C",'Mapa final'!$Y$38),"")</f>
        <v/>
      </c>
      <c r="Z22" s="50" t="str">
        <f>IF(AND('Mapa final'!$AI$39="Alta",'Mapa final'!$AK$39="Moderado"),CONCATENATE("R7C",'Mapa final'!$Y$39),"")</f>
        <v/>
      </c>
      <c r="AA22" s="51" t="str">
        <f>IF(AND('Mapa final'!$AI$40="Alta",'Mapa final'!$AK$40="Moderado"),CONCATENATE("R7C",'Mapa final'!$Y$40),"")</f>
        <v/>
      </c>
      <c r="AB22" s="49" t="str">
        <f>IF(AND('Mapa final'!$AI$35="Alta",'Mapa final'!$AK$35="Mayor"),CONCATENATE("R7C",'Mapa final'!$Y$35),"")</f>
        <v/>
      </c>
      <c r="AC22" s="50" t="str">
        <f>IF(AND('Mapa final'!$AI$36="Alta",'Mapa final'!$AK$36="Mayor"),CONCATENATE("R7C",'Mapa final'!$Y$36),"")</f>
        <v/>
      </c>
      <c r="AD22" s="50" t="str">
        <f>IF(AND('Mapa final'!$AI$37="Alta",'Mapa final'!$AK$37="Mayor"),CONCATENATE("R7C",'Mapa final'!$Y$37),"")</f>
        <v/>
      </c>
      <c r="AE22" s="50" t="str">
        <f>IF(AND('Mapa final'!$AI$38="Alta",'Mapa final'!$AK$38="Mayor"),CONCATENATE("R7C",'Mapa final'!$Y$38),"")</f>
        <v/>
      </c>
      <c r="AF22" s="50" t="str">
        <f>IF(AND('Mapa final'!$AI$39="Alta",'Mapa final'!$AK$39="Mayor"),CONCATENATE("R7C",'Mapa final'!$Y$39),"")</f>
        <v/>
      </c>
      <c r="AG22" s="51" t="str">
        <f>IF(AND('Mapa final'!$AI$40="Alta",'Mapa final'!$AK$40="Mayor"),CONCATENATE("R7C",'Mapa final'!$Y$40),"")</f>
        <v/>
      </c>
      <c r="AH22" s="52" t="str">
        <f>IF(AND('Mapa final'!$AI$35="Alta",'Mapa final'!$AK$35="Catastrófico"),CONCATENATE("R7C",'Mapa final'!$Y$35),"")</f>
        <v/>
      </c>
      <c r="AI22" s="53" t="str">
        <f>IF(AND('Mapa final'!$AI$36="Alta",'Mapa final'!$AK$36="Catastrófico"),CONCATENATE("R7C",'Mapa final'!$Y$36),"")</f>
        <v/>
      </c>
      <c r="AJ22" s="53" t="str">
        <f>IF(AND('Mapa final'!$AI$37="Alta",'Mapa final'!$AK$37="Catastrófico"),CONCATENATE("R7C",'Mapa final'!$Y$37),"")</f>
        <v/>
      </c>
      <c r="AK22" s="53" t="str">
        <f>IF(AND('Mapa final'!$AI$38="Alta",'Mapa final'!$AK$38="Catastrófico"),CONCATENATE("R7C",'Mapa final'!$Y$38),"")</f>
        <v/>
      </c>
      <c r="AL22" s="53" t="str">
        <f>IF(AND('Mapa final'!$AI$39="Alta",'Mapa final'!$AK$39="Catastrófico"),CONCATENATE("R7C",'Mapa final'!$Y$39),"")</f>
        <v/>
      </c>
      <c r="AM22" s="54" t="str">
        <f>IF(AND('Mapa final'!$AI$40="Alta",'Mapa final'!$AK$40="Catastrófico"),CONCATENATE("R7C",'Mapa final'!$Y$40),"")</f>
        <v/>
      </c>
      <c r="AN22" s="80"/>
      <c r="AO22" s="431"/>
      <c r="AP22" s="432"/>
      <c r="AQ22" s="432"/>
      <c r="AR22" s="432"/>
      <c r="AS22" s="432"/>
      <c r="AT22" s="433"/>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342"/>
      <c r="C23" s="342"/>
      <c r="D23" s="343"/>
      <c r="E23" s="441"/>
      <c r="F23" s="440"/>
      <c r="G23" s="440"/>
      <c r="H23" s="440"/>
      <c r="I23" s="440"/>
      <c r="J23" s="64" t="str">
        <f>IF(AND('Mapa final'!$AI$41="Alta",'Mapa final'!$AK$41="Leve"),CONCATENATE("R8C",'Mapa final'!$Y$41),"")</f>
        <v/>
      </c>
      <c r="K23" s="65" t="str">
        <f>IF(AND('Mapa final'!$AI$42="Alta",'Mapa final'!$AK$42="Leve"),CONCATENATE("R8C",'Mapa final'!$Y$42),"")</f>
        <v/>
      </c>
      <c r="L23" s="65" t="str">
        <f>IF(AND('Mapa final'!$AI$43="Alta",'Mapa final'!$AK$43="Leve"),CONCATENATE("R8C",'Mapa final'!$Y$43),"")</f>
        <v/>
      </c>
      <c r="M23" s="65" t="str">
        <f>IF(AND('Mapa final'!$AI$44="Alta",'Mapa final'!$AK$44="Leve"),CONCATENATE("R8C",'Mapa final'!$Y$44),"")</f>
        <v/>
      </c>
      <c r="N23" s="65" t="str">
        <f>IF(AND('Mapa final'!$AI$45="Alta",'Mapa final'!$AK$45="Leve"),CONCATENATE("R8C",'Mapa final'!$Y$45),"")</f>
        <v/>
      </c>
      <c r="O23" s="66" t="str">
        <f>IF(AND('Mapa final'!$AI$46="Alta",'Mapa final'!$AK$46="Leve"),CONCATENATE("R8C",'Mapa final'!$Y$46),"")</f>
        <v/>
      </c>
      <c r="P23" s="64" t="str">
        <f>IF(AND('Mapa final'!$AI$41="Alta",'Mapa final'!$AK$41="Menor"),CONCATENATE("R8C",'Mapa final'!$Y$41),"")</f>
        <v/>
      </c>
      <c r="Q23" s="65" t="str">
        <f>IF(AND('Mapa final'!$AI$42="Alta",'Mapa final'!$AK$42="Menor"),CONCATENATE("R8C",'Mapa final'!$Y$42),"")</f>
        <v/>
      </c>
      <c r="R23" s="65" t="str">
        <f>IF(AND('Mapa final'!$AI$43="Alta",'Mapa final'!$AK$43="Menor"),CONCATENATE("R8C",'Mapa final'!$Y$43),"")</f>
        <v/>
      </c>
      <c r="S23" s="65" t="str">
        <f>IF(AND('Mapa final'!$AI$44="Alta",'Mapa final'!$AK$44="Menor"),CONCATENATE("R8C",'Mapa final'!$Y$44),"")</f>
        <v/>
      </c>
      <c r="T23" s="65" t="str">
        <f>IF(AND('Mapa final'!$AI$45="Alta",'Mapa final'!$AK$45="Menor"),CONCATENATE("R8C",'Mapa final'!$Y$45),"")</f>
        <v/>
      </c>
      <c r="U23" s="66" t="str">
        <f>IF(AND('Mapa final'!$AI$46="Alta",'Mapa final'!$AK$46="Menor"),CONCATENATE("R8C",'Mapa final'!$Y$46),"")</f>
        <v/>
      </c>
      <c r="V23" s="49" t="str">
        <f>IF(AND('Mapa final'!$AI$41="Alta",'Mapa final'!$AK$41="Moderado"),CONCATENATE("R8C",'Mapa final'!$Y$41),"")</f>
        <v/>
      </c>
      <c r="W23" s="50" t="str">
        <f>IF(AND('Mapa final'!$AI$42="Alta",'Mapa final'!$AK$42="Moderado"),CONCATENATE("R8C",'Mapa final'!$Y$42),"")</f>
        <v/>
      </c>
      <c r="X23" s="50" t="str">
        <f>IF(AND('Mapa final'!$AI$43="Alta",'Mapa final'!$AK$43="Moderado"),CONCATENATE("R8C",'Mapa final'!$Y$43),"")</f>
        <v/>
      </c>
      <c r="Y23" s="50" t="str">
        <f>IF(AND('Mapa final'!$AI$44="Alta",'Mapa final'!$AK$44="Moderado"),CONCATENATE("R8C",'Mapa final'!$Y$44),"")</f>
        <v/>
      </c>
      <c r="Z23" s="50" t="str">
        <f>IF(AND('Mapa final'!$AI$45="Alta",'Mapa final'!$AK$45="Moderado"),CONCATENATE("R8C",'Mapa final'!$Y$45),"")</f>
        <v/>
      </c>
      <c r="AA23" s="51" t="str">
        <f>IF(AND('Mapa final'!$AI$46="Alta",'Mapa final'!$AK$46="Moderado"),CONCATENATE("R8C",'Mapa final'!$Y$46),"")</f>
        <v/>
      </c>
      <c r="AB23" s="49" t="str">
        <f>IF(AND('Mapa final'!$AI$41="Alta",'Mapa final'!$AK$41="Mayor"),CONCATENATE("R8C",'Mapa final'!$Y$41),"")</f>
        <v/>
      </c>
      <c r="AC23" s="50" t="str">
        <f>IF(AND('Mapa final'!$AI$42="Alta",'Mapa final'!$AK$42="Mayor"),CONCATENATE("R8C",'Mapa final'!$Y$42),"")</f>
        <v/>
      </c>
      <c r="AD23" s="50" t="str">
        <f>IF(AND('Mapa final'!$AI$43="Alta",'Mapa final'!$AK$43="Mayor"),CONCATENATE("R8C",'Mapa final'!$Y$43),"")</f>
        <v/>
      </c>
      <c r="AE23" s="50" t="str">
        <f>IF(AND('Mapa final'!$AI$44="Alta",'Mapa final'!$AK$44="Mayor"),CONCATENATE("R8C",'Mapa final'!$Y$44),"")</f>
        <v/>
      </c>
      <c r="AF23" s="50" t="str">
        <f>IF(AND('Mapa final'!$AI$45="Alta",'Mapa final'!$AK$45="Mayor"),CONCATENATE("R8C",'Mapa final'!$Y$45),"")</f>
        <v/>
      </c>
      <c r="AG23" s="51" t="str">
        <f>IF(AND('Mapa final'!$AI$46="Alta",'Mapa final'!$AK$46="Mayor"),CONCATENATE("R8C",'Mapa final'!$Y$46),"")</f>
        <v/>
      </c>
      <c r="AH23" s="52" t="str">
        <f>IF(AND('Mapa final'!$AI$41="Alta",'Mapa final'!$AK$41="Catastrófico"),CONCATENATE("R8C",'Mapa final'!$Y$41),"")</f>
        <v/>
      </c>
      <c r="AI23" s="53" t="str">
        <f>IF(AND('Mapa final'!$AI$42="Alta",'Mapa final'!$AK$42="Catastrófico"),CONCATENATE("R8C",'Mapa final'!$Y$42),"")</f>
        <v/>
      </c>
      <c r="AJ23" s="53" t="str">
        <f>IF(AND('Mapa final'!$AI$43="Alta",'Mapa final'!$AK$43="Catastrófico"),CONCATENATE("R8C",'Mapa final'!$Y$43),"")</f>
        <v/>
      </c>
      <c r="AK23" s="53" t="str">
        <f>IF(AND('Mapa final'!$AI$44="Alta",'Mapa final'!$AK$44="Catastrófico"),CONCATENATE("R8C",'Mapa final'!$Y$44),"")</f>
        <v/>
      </c>
      <c r="AL23" s="53" t="str">
        <f>IF(AND('Mapa final'!$AI$45="Alta",'Mapa final'!$AK$45="Catastrófico"),CONCATENATE("R8C",'Mapa final'!$Y$45),"")</f>
        <v/>
      </c>
      <c r="AM23" s="54" t="str">
        <f>IF(AND('Mapa final'!$AI$46="Alta",'Mapa final'!$AK$46="Catastrófico"),CONCATENATE("R8C",'Mapa final'!$Y$46),"")</f>
        <v/>
      </c>
      <c r="AN23" s="80"/>
      <c r="AO23" s="431"/>
      <c r="AP23" s="432"/>
      <c r="AQ23" s="432"/>
      <c r="AR23" s="432"/>
      <c r="AS23" s="432"/>
      <c r="AT23" s="433"/>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342"/>
      <c r="C24" s="342"/>
      <c r="D24" s="343"/>
      <c r="E24" s="441"/>
      <c r="F24" s="440"/>
      <c r="G24" s="440"/>
      <c r="H24" s="440"/>
      <c r="I24" s="440"/>
      <c r="J24" s="64" t="str">
        <f>IF(AND('Mapa final'!$AI$47="Alta",'Mapa final'!$AK$47="Leve"),CONCATENATE("R9C",'Mapa final'!$Y$47),"")</f>
        <v/>
      </c>
      <c r="K24" s="65" t="str">
        <f>IF(AND('Mapa final'!$AI$48="Alta",'Mapa final'!$AK$48="Leve"),CONCATENATE("R9C",'Mapa final'!$Y$48),"")</f>
        <v/>
      </c>
      <c r="L24" s="65" t="str">
        <f>IF(AND('Mapa final'!$AI$49="Alta",'Mapa final'!$AK$49="Leve"),CONCATENATE("R9C",'Mapa final'!$Y$49),"")</f>
        <v/>
      </c>
      <c r="M24" s="65" t="str">
        <f>IF(AND('Mapa final'!$AI$50="Alta",'Mapa final'!$AK$50="Leve"),CONCATENATE("R9C",'Mapa final'!$Y$50),"")</f>
        <v/>
      </c>
      <c r="N24" s="65" t="str">
        <f>IF(AND('Mapa final'!$AI$51="Alta",'Mapa final'!$AK$51="Leve"),CONCATENATE("R9C",'Mapa final'!$Y$51),"")</f>
        <v/>
      </c>
      <c r="O24" s="66" t="str">
        <f>IF(AND('Mapa final'!$AI$52="Alta",'Mapa final'!$AK$52="Leve"),CONCATENATE("R9C",'Mapa final'!$Y$52),"")</f>
        <v/>
      </c>
      <c r="P24" s="64" t="str">
        <f>IF(AND('Mapa final'!$AI$47="Alta",'Mapa final'!$AK$47="Menor"),CONCATENATE("R9C",'Mapa final'!$Y$47),"")</f>
        <v/>
      </c>
      <c r="Q24" s="65" t="str">
        <f>IF(AND('Mapa final'!$AI$48="Alta",'Mapa final'!$AK$48="Menor"),CONCATENATE("R9C",'Mapa final'!$Y$48),"")</f>
        <v/>
      </c>
      <c r="R24" s="65" t="str">
        <f>IF(AND('Mapa final'!$AI$49="Alta",'Mapa final'!$AK$49="Menor"),CONCATENATE("R9C",'Mapa final'!$Y$49),"")</f>
        <v/>
      </c>
      <c r="S24" s="65" t="str">
        <f>IF(AND('Mapa final'!$AI$50="Alta",'Mapa final'!$AK$50="Menor"),CONCATENATE("R9C",'Mapa final'!$Y$50),"")</f>
        <v/>
      </c>
      <c r="T24" s="65" t="str">
        <f>IF(AND('Mapa final'!$AI$51="Alta",'Mapa final'!$AK$51="Menor"),CONCATENATE("R9C",'Mapa final'!$Y$51),"")</f>
        <v/>
      </c>
      <c r="U24" s="66" t="str">
        <f>IF(AND('Mapa final'!$AI$52="Alta",'Mapa final'!$AK$52="Menor"),CONCATENATE("R9C",'Mapa final'!$Y$52),"")</f>
        <v/>
      </c>
      <c r="V24" s="49" t="str">
        <f>IF(AND('Mapa final'!$AI$47="Alta",'Mapa final'!$AK$47="Moderado"),CONCATENATE("R9C",'Mapa final'!$Y$47),"")</f>
        <v/>
      </c>
      <c r="W24" s="50" t="str">
        <f>IF(AND('Mapa final'!$AI$48="Alta",'Mapa final'!$AK$48="Moderado"),CONCATENATE("R9C",'Mapa final'!$Y$48),"")</f>
        <v/>
      </c>
      <c r="X24" s="50" t="str">
        <f>IF(AND('Mapa final'!$AI$49="Alta",'Mapa final'!$AK$49="Moderado"),CONCATENATE("R9C",'Mapa final'!$Y$49),"")</f>
        <v/>
      </c>
      <c r="Y24" s="50" t="str">
        <f>IF(AND('Mapa final'!$AI$50="Alta",'Mapa final'!$AK$50="Moderado"),CONCATENATE("R9C",'Mapa final'!$Y$50),"")</f>
        <v/>
      </c>
      <c r="Z24" s="50" t="str">
        <f>IF(AND('Mapa final'!$AI$51="Alta",'Mapa final'!$AK$51="Moderado"),CONCATENATE("R9C",'Mapa final'!$Y$51),"")</f>
        <v/>
      </c>
      <c r="AA24" s="51" t="str">
        <f>IF(AND('Mapa final'!$AI$52="Alta",'Mapa final'!$AK$52="Moderado"),CONCATENATE("R9C",'Mapa final'!$Y$52),"")</f>
        <v/>
      </c>
      <c r="AB24" s="49" t="str">
        <f>IF(AND('Mapa final'!$AI$47="Alta",'Mapa final'!$AK$47="Mayor"),CONCATENATE("R9C",'Mapa final'!$Y$47),"")</f>
        <v/>
      </c>
      <c r="AC24" s="50" t="str">
        <f>IF(AND('Mapa final'!$AI$48="Alta",'Mapa final'!$AK$48="Mayor"),CONCATENATE("R9C",'Mapa final'!$Y$48),"")</f>
        <v/>
      </c>
      <c r="AD24" s="50" t="str">
        <f>IF(AND('Mapa final'!$AI$49="Alta",'Mapa final'!$AK$49="Mayor"),CONCATENATE("R9C",'Mapa final'!$Y$49),"")</f>
        <v/>
      </c>
      <c r="AE24" s="50" t="str">
        <f>IF(AND('Mapa final'!$AI$50="Alta",'Mapa final'!$AK$50="Mayor"),CONCATENATE("R9C",'Mapa final'!$Y$50),"")</f>
        <v/>
      </c>
      <c r="AF24" s="50" t="str">
        <f>IF(AND('Mapa final'!$AI$51="Alta",'Mapa final'!$AK$51="Mayor"),CONCATENATE("R9C",'Mapa final'!$Y$51),"")</f>
        <v/>
      </c>
      <c r="AG24" s="51" t="str">
        <f>IF(AND('Mapa final'!$AI$52="Alta",'Mapa final'!$AK$52="Mayor"),CONCATENATE("R9C",'Mapa final'!$Y$52),"")</f>
        <v/>
      </c>
      <c r="AH24" s="52" t="str">
        <f>IF(AND('Mapa final'!$AI$47="Alta",'Mapa final'!$AK$47="Catastrófico"),CONCATENATE("R9C",'Mapa final'!$Y$47),"")</f>
        <v/>
      </c>
      <c r="AI24" s="53" t="str">
        <f>IF(AND('Mapa final'!$AI$48="Alta",'Mapa final'!$AK$48="Catastrófico"),CONCATENATE("R9C",'Mapa final'!$Y$48),"")</f>
        <v/>
      </c>
      <c r="AJ24" s="53" t="str">
        <f>IF(AND('Mapa final'!$AI$49="Alta",'Mapa final'!$AK$49="Catastrófico"),CONCATENATE("R9C",'Mapa final'!$Y$49),"")</f>
        <v/>
      </c>
      <c r="AK24" s="53" t="str">
        <f>IF(AND('Mapa final'!$AI$50="Alta",'Mapa final'!$AK$50="Catastrófico"),CONCATENATE("R9C",'Mapa final'!$Y$50),"")</f>
        <v/>
      </c>
      <c r="AL24" s="53" t="str">
        <f>IF(AND('Mapa final'!$AI$51="Alta",'Mapa final'!$AK$51="Catastrófico"),CONCATENATE("R9C",'Mapa final'!$Y$51),"")</f>
        <v/>
      </c>
      <c r="AM24" s="54" t="str">
        <f>IF(AND('Mapa final'!$AI$52="Alta",'Mapa final'!$AK$52="Catastrófico"),CONCATENATE("R9C",'Mapa final'!$Y$52),"")</f>
        <v/>
      </c>
      <c r="AN24" s="80"/>
      <c r="AO24" s="431"/>
      <c r="AP24" s="432"/>
      <c r="AQ24" s="432"/>
      <c r="AR24" s="432"/>
      <c r="AS24" s="432"/>
      <c r="AT24" s="433"/>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342"/>
      <c r="C25" s="342"/>
      <c r="D25" s="343"/>
      <c r="E25" s="442"/>
      <c r="F25" s="443"/>
      <c r="G25" s="443"/>
      <c r="H25" s="443"/>
      <c r="I25" s="443"/>
      <c r="J25" s="67" t="str">
        <f>IF(AND('Mapa final'!$AI$53="Alta",'Mapa final'!$AK$53="Leve"),CONCATENATE("R10C",'Mapa final'!$Y$53),"")</f>
        <v/>
      </c>
      <c r="K25" s="68" t="str">
        <f>IF(AND('Mapa final'!$AI$54="Alta",'Mapa final'!$AK$54="Leve"),CONCATENATE("R10C",'Mapa final'!$Y$54),"")</f>
        <v/>
      </c>
      <c r="L25" s="68" t="str">
        <f>IF(AND('Mapa final'!$AI$55="Alta",'Mapa final'!$AK$55="Leve"),CONCATENATE("R10C",'Mapa final'!$Y$55),"")</f>
        <v/>
      </c>
      <c r="M25" s="68" t="str">
        <f>IF(AND('Mapa final'!$AI$56="Alta",'Mapa final'!$AK$56="Leve"),CONCATENATE("R10C",'Mapa final'!$Y$56),"")</f>
        <v/>
      </c>
      <c r="N25" s="68" t="str">
        <f>IF(AND('Mapa final'!$AI$57="Alta",'Mapa final'!$AK$57="Leve"),CONCATENATE("R10C",'Mapa final'!$Y$57),"")</f>
        <v/>
      </c>
      <c r="O25" s="69" t="str">
        <f>IF(AND('Mapa final'!$AI$58="Alta",'Mapa final'!$AK$58="Leve"),CONCATENATE("R10C",'Mapa final'!$Y$58),"")</f>
        <v/>
      </c>
      <c r="P25" s="67" t="str">
        <f>IF(AND('Mapa final'!$AI$53="Alta",'Mapa final'!$AK$53="Menor"),CONCATENATE("R10C",'Mapa final'!$Y$53),"")</f>
        <v/>
      </c>
      <c r="Q25" s="68" t="str">
        <f>IF(AND('Mapa final'!$AI$54="Alta",'Mapa final'!$AK$54="Menor"),CONCATENATE("R10C",'Mapa final'!$Y$54),"")</f>
        <v/>
      </c>
      <c r="R25" s="68" t="str">
        <f>IF(AND('Mapa final'!$AI$55="Alta",'Mapa final'!$AK$55="Menor"),CONCATENATE("R10C",'Mapa final'!$Y$55),"")</f>
        <v/>
      </c>
      <c r="S25" s="68" t="str">
        <f>IF(AND('Mapa final'!$AI$56="Alta",'Mapa final'!$AK$56="Menor"),CONCATENATE("R10C",'Mapa final'!$Y$56),"")</f>
        <v/>
      </c>
      <c r="T25" s="68" t="str">
        <f>IF(AND('Mapa final'!$AI$57="Alta",'Mapa final'!$AK$57="Menor"),CONCATENATE("R10C",'Mapa final'!$Y$57),"")</f>
        <v/>
      </c>
      <c r="U25" s="69" t="str">
        <f>IF(AND('Mapa final'!$AI$58="Alta",'Mapa final'!$AK$58="Menor"),CONCATENATE("R10C",'Mapa final'!$Y$58),"")</f>
        <v/>
      </c>
      <c r="V25" s="55" t="str">
        <f>IF(AND('Mapa final'!$AI$53="Alta",'Mapa final'!$AK$53="Moderado"),CONCATENATE("R10C",'Mapa final'!$Y$53),"")</f>
        <v/>
      </c>
      <c r="W25" s="56" t="str">
        <f>IF(AND('Mapa final'!$AI$54="Alta",'Mapa final'!$AK$54="Moderado"),CONCATENATE("R10C",'Mapa final'!$Y$54),"")</f>
        <v/>
      </c>
      <c r="X25" s="56" t="str">
        <f>IF(AND('Mapa final'!$AI$55="Alta",'Mapa final'!$AK$55="Moderado"),CONCATENATE("R10C",'Mapa final'!$Y$55),"")</f>
        <v/>
      </c>
      <c r="Y25" s="56" t="str">
        <f>IF(AND('Mapa final'!$AI$56="Alta",'Mapa final'!$AK$56="Moderado"),CONCATENATE("R10C",'Mapa final'!$Y$56),"")</f>
        <v/>
      </c>
      <c r="Z25" s="56" t="str">
        <f>IF(AND('Mapa final'!$AI$57="Alta",'Mapa final'!$AK$57="Moderado"),CONCATENATE("R10C",'Mapa final'!$Y$57),"")</f>
        <v/>
      </c>
      <c r="AA25" s="57" t="str">
        <f>IF(AND('Mapa final'!$AI$58="Alta",'Mapa final'!$AK$58="Moderado"),CONCATENATE("R10C",'Mapa final'!$Y$58),"")</f>
        <v/>
      </c>
      <c r="AB25" s="55" t="str">
        <f>IF(AND('Mapa final'!$AI$53="Alta",'Mapa final'!$AK$53="Mayor"),CONCATENATE("R10C",'Mapa final'!$Y$53),"")</f>
        <v/>
      </c>
      <c r="AC25" s="56" t="str">
        <f>IF(AND('Mapa final'!$AI$54="Alta",'Mapa final'!$AK$54="Mayor"),CONCATENATE("R10C",'Mapa final'!$Y$54),"")</f>
        <v/>
      </c>
      <c r="AD25" s="56" t="str">
        <f>IF(AND('Mapa final'!$AI$55="Alta",'Mapa final'!$AK$55="Mayor"),CONCATENATE("R10C",'Mapa final'!$Y$55),"")</f>
        <v/>
      </c>
      <c r="AE25" s="56" t="str">
        <f>IF(AND('Mapa final'!$AI$56="Alta",'Mapa final'!$AK$56="Mayor"),CONCATENATE("R10C",'Mapa final'!$Y$56),"")</f>
        <v/>
      </c>
      <c r="AF25" s="56" t="str">
        <f>IF(AND('Mapa final'!$AI$57="Alta",'Mapa final'!$AK$57="Mayor"),CONCATENATE("R10C",'Mapa final'!$Y$57),"")</f>
        <v/>
      </c>
      <c r="AG25" s="57" t="str">
        <f>IF(AND('Mapa final'!$AI$58="Alta",'Mapa final'!$AK$58="Mayor"),CONCATENATE("R10C",'Mapa final'!$Y$58),"")</f>
        <v/>
      </c>
      <c r="AH25" s="58" t="str">
        <f>IF(AND('Mapa final'!$AI$53="Alta",'Mapa final'!$AK$53="Catastrófico"),CONCATENATE("R10C",'Mapa final'!$Y$53),"")</f>
        <v/>
      </c>
      <c r="AI25" s="59" t="str">
        <f>IF(AND('Mapa final'!$AI$54="Alta",'Mapa final'!$AK$54="Catastrófico"),CONCATENATE("R10C",'Mapa final'!$Y$54),"")</f>
        <v/>
      </c>
      <c r="AJ25" s="59" t="str">
        <f>IF(AND('Mapa final'!$AI$55="Alta",'Mapa final'!$AK$55="Catastrófico"),CONCATENATE("R10C",'Mapa final'!$Y$55),"")</f>
        <v/>
      </c>
      <c r="AK25" s="59" t="str">
        <f>IF(AND('Mapa final'!$AI$56="Alta",'Mapa final'!$AK$56="Catastrófico"),CONCATENATE("R10C",'Mapa final'!$Y$56),"")</f>
        <v/>
      </c>
      <c r="AL25" s="59" t="str">
        <f>IF(AND('Mapa final'!$AI$57="Alta",'Mapa final'!$AK$57="Catastrófico"),CONCATENATE("R10C",'Mapa final'!$Y$57),"")</f>
        <v/>
      </c>
      <c r="AM25" s="60" t="str">
        <f>IF(AND('Mapa final'!$AI$58="Alta",'Mapa final'!$AK$58="Catastrófico"),CONCATENATE("R10C",'Mapa final'!$Y$58),"")</f>
        <v/>
      </c>
      <c r="AN25" s="80"/>
      <c r="AO25" s="434"/>
      <c r="AP25" s="435"/>
      <c r="AQ25" s="435"/>
      <c r="AR25" s="435"/>
      <c r="AS25" s="435"/>
      <c r="AT25" s="436"/>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342"/>
      <c r="C26" s="342"/>
      <c r="D26" s="343"/>
      <c r="E26" s="437" t="s">
        <v>172</v>
      </c>
      <c r="F26" s="438"/>
      <c r="G26" s="438"/>
      <c r="H26" s="438"/>
      <c r="I26" s="455"/>
      <c r="J26" s="61" t="str">
        <f>IF(AND('Mapa final'!$AI$11="Media",'Mapa final'!$AK$11="Leve"),CONCATENATE("R1C",'Mapa final'!$Y$11),"")</f>
        <v/>
      </c>
      <c r="K26" s="62" t="str">
        <f>IF(AND('Mapa final'!$AI$12="Media",'Mapa final'!$AK$12="Leve"),CONCATENATE("R1C",'Mapa final'!$Y$12),"")</f>
        <v/>
      </c>
      <c r="L26" s="62" t="str">
        <f>IF(AND('Mapa final'!$AI$13="Media",'Mapa final'!$AK$13="Leve"),CONCATENATE("R1C",'Mapa final'!$Y$13),"")</f>
        <v/>
      </c>
      <c r="M26" s="62" t="e">
        <f>IF(AND('Mapa final'!#REF!="Media",'Mapa final'!#REF!="Leve"),CONCATENATE("R1C",'Mapa final'!#REF!),"")</f>
        <v>#REF!</v>
      </c>
      <c r="N26" s="62" t="e">
        <f>IF(AND('Mapa final'!#REF!="Media",'Mapa final'!#REF!="Leve"),CONCATENATE("R1C",'Mapa final'!#REF!),"")</f>
        <v>#REF!</v>
      </c>
      <c r="O26" s="63" t="e">
        <f>IF(AND('Mapa final'!#REF!="Media",'Mapa final'!#REF!="Leve"),CONCATENATE("R1C",'Mapa final'!#REF!),"")</f>
        <v>#REF!</v>
      </c>
      <c r="P26" s="61" t="str">
        <f>IF(AND('Mapa final'!$AI$11="Media",'Mapa final'!$AK$11="Menor"),CONCATENATE("R1C",'Mapa final'!$Y$11),"")</f>
        <v/>
      </c>
      <c r="Q26" s="62" t="str">
        <f>IF(AND('Mapa final'!$AI$12="Media",'Mapa final'!$AK$12="Menor"),CONCATENATE("R1C",'Mapa final'!$Y$12),"")</f>
        <v/>
      </c>
      <c r="R26" s="62" t="str">
        <f>IF(AND('Mapa final'!$AI$13="Media",'Mapa final'!$AK$13="Menor"),CONCATENATE("R1C",'Mapa final'!$Y$13),"")</f>
        <v/>
      </c>
      <c r="S26" s="62" t="e">
        <f>IF(AND('Mapa final'!#REF!="Media",'Mapa final'!#REF!="Menor"),CONCATENATE("R1C",'Mapa final'!#REF!),"")</f>
        <v>#REF!</v>
      </c>
      <c r="T26" s="62" t="e">
        <f>IF(AND('Mapa final'!#REF!="Media",'Mapa final'!#REF!="Menor"),CONCATENATE("R1C",'Mapa final'!#REF!),"")</f>
        <v>#REF!</v>
      </c>
      <c r="U26" s="63" t="e">
        <f>IF(AND('Mapa final'!#REF!="Media",'Mapa final'!#REF!="Menor"),CONCATENATE("R1C",'Mapa final'!#REF!),"")</f>
        <v>#REF!</v>
      </c>
      <c r="V26" s="61" t="str">
        <f>IF(AND('Mapa final'!$AI$11="Media",'Mapa final'!$AK$11="Moderado"),CONCATENATE("R1C",'Mapa final'!$Y$11),"")</f>
        <v/>
      </c>
      <c r="W26" s="62" t="str">
        <f>IF(AND('Mapa final'!$AI$12="Media",'Mapa final'!$AK$12="Moderado"),CONCATENATE("R1C",'Mapa final'!$Y$12),"")</f>
        <v/>
      </c>
      <c r="X26" s="62" t="str">
        <f>IF(AND('Mapa final'!$AI$13="Media",'Mapa final'!$AK$13="Moderado"),CONCATENATE("R1C",'Mapa final'!$Y$13),"")</f>
        <v/>
      </c>
      <c r="Y26" s="62" t="e">
        <f>IF(AND('Mapa final'!#REF!="Media",'Mapa final'!#REF!="Moderado"),CONCATENATE("R1C",'Mapa final'!#REF!),"")</f>
        <v>#REF!</v>
      </c>
      <c r="Z26" s="62" t="e">
        <f>IF(AND('Mapa final'!#REF!="Media",'Mapa final'!#REF!="Moderado"),CONCATENATE("R1C",'Mapa final'!#REF!),"")</f>
        <v>#REF!</v>
      </c>
      <c r="AA26" s="63" t="e">
        <f>IF(AND('Mapa final'!#REF!="Media",'Mapa final'!#REF!="Moderado"),CONCATENATE("R1C",'Mapa final'!#REF!),"")</f>
        <v>#REF!</v>
      </c>
      <c r="AB26" s="43" t="str">
        <f>IF(AND('Mapa final'!$AI$11="Media",'Mapa final'!$AK$11="Mayor"),CONCATENATE("R1C",'Mapa final'!$Y$11),"")</f>
        <v/>
      </c>
      <c r="AC26" s="44" t="str">
        <f>IF(AND('Mapa final'!$AI$12="Media",'Mapa final'!$AK$12="Mayor"),CONCATENATE("R1C",'Mapa final'!$Y$12),"")</f>
        <v/>
      </c>
      <c r="AD26" s="44" t="str">
        <f>IF(AND('Mapa final'!$AI$13="Media",'Mapa final'!$AK$13="Mayor"),CONCATENATE("R1C",'Mapa final'!$Y$13),"")</f>
        <v/>
      </c>
      <c r="AE26" s="44" t="e">
        <f>IF(AND('Mapa final'!#REF!="Media",'Mapa final'!#REF!="Mayor"),CONCATENATE("R1C",'Mapa final'!#REF!),"")</f>
        <v>#REF!</v>
      </c>
      <c r="AF26" s="44" t="e">
        <f>IF(AND('Mapa final'!#REF!="Media",'Mapa final'!#REF!="Mayor"),CONCATENATE("R1C",'Mapa final'!#REF!),"")</f>
        <v>#REF!</v>
      </c>
      <c r="AG26" s="45" t="e">
        <f>IF(AND('Mapa final'!#REF!="Media",'Mapa final'!#REF!="Mayor"),CONCATENATE("R1C",'Mapa final'!#REF!),"")</f>
        <v>#REF!</v>
      </c>
      <c r="AH26" s="46" t="str">
        <f>IF(AND('Mapa final'!$AI$11="Media",'Mapa final'!$AK$11="Catastrófico"),CONCATENATE("R1C",'Mapa final'!$Y$11),"")</f>
        <v/>
      </c>
      <c r="AI26" s="47" t="str">
        <f>IF(AND('Mapa final'!$AI$12="Media",'Mapa final'!$AK$12="Catastrófico"),CONCATENATE("R1C",'Mapa final'!$Y$12),"")</f>
        <v/>
      </c>
      <c r="AJ26" s="47" t="str">
        <f>IF(AND('Mapa final'!$AI$13="Media",'Mapa final'!$AK$13="Catastrófico"),CONCATENATE("R1C",'Mapa final'!$Y$13),"")</f>
        <v/>
      </c>
      <c r="AK26" s="47" t="e">
        <f>IF(AND('Mapa final'!#REF!="Media",'Mapa final'!#REF!="Catastrófico"),CONCATENATE("R1C",'Mapa final'!#REF!),"")</f>
        <v>#REF!</v>
      </c>
      <c r="AL26" s="47" t="e">
        <f>IF(AND('Mapa final'!#REF!="Media",'Mapa final'!#REF!="Catastrófico"),CONCATENATE("R1C",'Mapa final'!#REF!),"")</f>
        <v>#REF!</v>
      </c>
      <c r="AM26" s="48" t="e">
        <f>IF(AND('Mapa final'!#REF!="Media",'Mapa final'!#REF!="Catastrófico"),CONCATENATE("R1C",'Mapa final'!#REF!),"")</f>
        <v>#REF!</v>
      </c>
      <c r="AN26" s="80"/>
      <c r="AO26" s="467" t="s">
        <v>173</v>
      </c>
      <c r="AP26" s="468"/>
      <c r="AQ26" s="468"/>
      <c r="AR26" s="468"/>
      <c r="AS26" s="468"/>
      <c r="AT26" s="469"/>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342"/>
      <c r="C27" s="342"/>
      <c r="D27" s="343"/>
      <c r="E27" s="439"/>
      <c r="F27" s="440"/>
      <c r="G27" s="440"/>
      <c r="H27" s="440"/>
      <c r="I27" s="456"/>
      <c r="J27" s="64" t="str">
        <f>IF(AND('Mapa final'!$AI$14="Media",'Mapa final'!$AK$14="Leve"),CONCATENATE("R2C",'Mapa final'!$Y$14),"")</f>
        <v/>
      </c>
      <c r="K27" s="65" t="str">
        <f>IF(AND('Mapa final'!$AI$15="Media",'Mapa final'!$AK$15="Leve"),CONCATENATE("R2C",'Mapa final'!$Y$15),"")</f>
        <v/>
      </c>
      <c r="L27" s="65" t="str">
        <f>IF(AND('Mapa final'!$AI$16="Media",'Mapa final'!$AK$16="Leve"),CONCATENATE("R2C",'Mapa final'!$Y$16),"")</f>
        <v/>
      </c>
      <c r="M27" s="65" t="e">
        <f>IF(AND('Mapa final'!#REF!="Media",'Mapa final'!#REF!="Leve"),CONCATENATE("R2C",'Mapa final'!#REF!),"")</f>
        <v>#REF!</v>
      </c>
      <c r="N27" s="65" t="e">
        <f>IF(AND('Mapa final'!#REF!="Media",'Mapa final'!#REF!="Leve"),CONCATENATE("R2C",'Mapa final'!#REF!),"")</f>
        <v>#REF!</v>
      </c>
      <c r="O27" s="66" t="e">
        <f>IF(AND('Mapa final'!#REF!="Media",'Mapa final'!#REF!="Leve"),CONCATENATE("R2C",'Mapa final'!#REF!),"")</f>
        <v>#REF!</v>
      </c>
      <c r="P27" s="64" t="str">
        <f>IF(AND('Mapa final'!$AI$14="Media",'Mapa final'!$AK$14="Menor"),CONCATENATE("R2C",'Mapa final'!$Y$14),"")</f>
        <v/>
      </c>
      <c r="Q27" s="65" t="str">
        <f>IF(AND('Mapa final'!$AI$15="Media",'Mapa final'!$AK$15="Menor"),CONCATENATE("R2C",'Mapa final'!$Y$15),"")</f>
        <v/>
      </c>
      <c r="R27" s="65" t="str">
        <f>IF(AND('Mapa final'!$AI$16="Media",'Mapa final'!$AK$16="Menor"),CONCATENATE("R2C",'Mapa final'!$Y$16),"")</f>
        <v/>
      </c>
      <c r="S27" s="65" t="e">
        <f>IF(AND('Mapa final'!#REF!="Media",'Mapa final'!#REF!="Menor"),CONCATENATE("R2C",'Mapa final'!#REF!),"")</f>
        <v>#REF!</v>
      </c>
      <c r="T27" s="65" t="e">
        <f>IF(AND('Mapa final'!#REF!="Media",'Mapa final'!#REF!="Menor"),CONCATENATE("R2C",'Mapa final'!#REF!),"")</f>
        <v>#REF!</v>
      </c>
      <c r="U27" s="66" t="e">
        <f>IF(AND('Mapa final'!#REF!="Media",'Mapa final'!#REF!="Menor"),CONCATENATE("R2C",'Mapa final'!#REF!),"")</f>
        <v>#REF!</v>
      </c>
      <c r="V27" s="64" t="str">
        <f>IF(AND('Mapa final'!$AI$14="Media",'Mapa final'!$AK$14="Moderado"),CONCATENATE("R2C",'Mapa final'!$Y$14),"")</f>
        <v/>
      </c>
      <c r="W27" s="65" t="str">
        <f>IF(AND('Mapa final'!$AI$15="Media",'Mapa final'!$AK$15="Moderado"),CONCATENATE("R2C",'Mapa final'!$Y$15),"")</f>
        <v/>
      </c>
      <c r="X27" s="65" t="str">
        <f>IF(AND('Mapa final'!$AI$16="Media",'Mapa final'!$AK$16="Moderado"),CONCATENATE("R2C",'Mapa final'!$Y$16),"")</f>
        <v/>
      </c>
      <c r="Y27" s="65" t="e">
        <f>IF(AND('Mapa final'!#REF!="Media",'Mapa final'!#REF!="Moderado"),CONCATENATE("R2C",'Mapa final'!#REF!),"")</f>
        <v>#REF!</v>
      </c>
      <c r="Z27" s="65" t="e">
        <f>IF(AND('Mapa final'!#REF!="Media",'Mapa final'!#REF!="Moderado"),CONCATENATE("R2C",'Mapa final'!#REF!),"")</f>
        <v>#REF!</v>
      </c>
      <c r="AA27" s="66" t="e">
        <f>IF(AND('Mapa final'!#REF!="Media",'Mapa final'!#REF!="Moderado"),CONCATENATE("R2C",'Mapa final'!#REF!),"")</f>
        <v>#REF!</v>
      </c>
      <c r="AB27" s="49" t="str">
        <f>IF(AND('Mapa final'!$AI$14="Media",'Mapa final'!$AK$14="Mayor"),CONCATENATE("R2C",'Mapa final'!$Y$14),"")</f>
        <v/>
      </c>
      <c r="AC27" s="50" t="str">
        <f>IF(AND('Mapa final'!$AI$15="Media",'Mapa final'!$AK$15="Mayor"),CONCATENATE("R2C",'Mapa final'!$Y$15),"")</f>
        <v/>
      </c>
      <c r="AD27" s="50" t="str">
        <f>IF(AND('Mapa final'!$AI$16="Media",'Mapa final'!$AK$16="Mayor"),CONCATENATE("R2C",'Mapa final'!$Y$16),"")</f>
        <v/>
      </c>
      <c r="AE27" s="50" t="e">
        <f>IF(AND('Mapa final'!#REF!="Media",'Mapa final'!#REF!="Mayor"),CONCATENATE("R2C",'Mapa final'!#REF!),"")</f>
        <v>#REF!</v>
      </c>
      <c r="AF27" s="50" t="e">
        <f>IF(AND('Mapa final'!#REF!="Media",'Mapa final'!#REF!="Mayor"),CONCATENATE("R2C",'Mapa final'!#REF!),"")</f>
        <v>#REF!</v>
      </c>
      <c r="AG27" s="51" t="e">
        <f>IF(AND('Mapa final'!#REF!="Media",'Mapa final'!#REF!="Mayor"),CONCATENATE("R2C",'Mapa final'!#REF!),"")</f>
        <v>#REF!</v>
      </c>
      <c r="AH27" s="52" t="str">
        <f>IF(AND('Mapa final'!$AI$14="Media",'Mapa final'!$AK$14="Catastrófico"),CONCATENATE("R2C",'Mapa final'!$Y$14),"")</f>
        <v/>
      </c>
      <c r="AI27" s="53" t="str">
        <f>IF(AND('Mapa final'!$AI$15="Media",'Mapa final'!$AK$15="Catastrófico"),CONCATENATE("R2C",'Mapa final'!$Y$15),"")</f>
        <v/>
      </c>
      <c r="AJ27" s="53" t="str">
        <f>IF(AND('Mapa final'!$AI$16="Media",'Mapa final'!$AK$16="Catastrófico"),CONCATENATE("R2C",'Mapa final'!$Y$16),"")</f>
        <v/>
      </c>
      <c r="AK27" s="53" t="e">
        <f>IF(AND('Mapa final'!#REF!="Media",'Mapa final'!#REF!="Catastrófico"),CONCATENATE("R2C",'Mapa final'!#REF!),"")</f>
        <v>#REF!</v>
      </c>
      <c r="AL27" s="53" t="e">
        <f>IF(AND('Mapa final'!#REF!="Media",'Mapa final'!#REF!="Catastrófico"),CONCATENATE("R2C",'Mapa final'!#REF!),"")</f>
        <v>#REF!</v>
      </c>
      <c r="AM27" s="54" t="e">
        <f>IF(AND('Mapa final'!#REF!="Media",'Mapa final'!#REF!="Catastrófico"),CONCATENATE("R2C",'Mapa final'!#REF!),"")</f>
        <v>#REF!</v>
      </c>
      <c r="AN27" s="80"/>
      <c r="AO27" s="470"/>
      <c r="AP27" s="471"/>
      <c r="AQ27" s="471"/>
      <c r="AR27" s="471"/>
      <c r="AS27" s="471"/>
      <c r="AT27" s="472"/>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342"/>
      <c r="C28" s="342"/>
      <c r="D28" s="343"/>
      <c r="E28" s="441"/>
      <c r="F28" s="440"/>
      <c r="G28" s="440"/>
      <c r="H28" s="440"/>
      <c r="I28" s="456"/>
      <c r="J28" s="64" t="str">
        <f>IF(AND('Mapa final'!$AI$17="Media",'Mapa final'!$AK$17="Leve"),CONCATENATE("R3C",'Mapa final'!$Y$17),"")</f>
        <v/>
      </c>
      <c r="K28" s="65" t="str">
        <f>IF(AND('Mapa final'!$AI$18="Media",'Mapa final'!$AK$18="Leve"),CONCATENATE("R3C",'Mapa final'!$Y$18),"")</f>
        <v/>
      </c>
      <c r="L28" s="65" t="str">
        <f>IF(AND('Mapa final'!$AI$19="Media",'Mapa final'!$AK$19="Leve"),CONCATENATE("R3C",'Mapa final'!$Y$19),"")</f>
        <v/>
      </c>
      <c r="M28" s="65" t="e">
        <f>IF(AND('Mapa final'!#REF!="Media",'Mapa final'!#REF!="Leve"),CONCATENATE("R3C",'Mapa final'!#REF!),"")</f>
        <v>#REF!</v>
      </c>
      <c r="N28" s="65" t="e">
        <f>IF(AND('Mapa final'!#REF!="Media",'Mapa final'!#REF!="Leve"),CONCATENATE("R3C",'Mapa final'!#REF!),"")</f>
        <v>#REF!</v>
      </c>
      <c r="O28" s="66" t="e">
        <f>IF(AND('Mapa final'!#REF!="Media",'Mapa final'!#REF!="Leve"),CONCATENATE("R3C",'Mapa final'!#REF!),"")</f>
        <v>#REF!</v>
      </c>
      <c r="P28" s="64" t="str">
        <f>IF(AND('Mapa final'!$AI$17="Media",'Mapa final'!$AK$17="Menor"),CONCATENATE("R3C",'Mapa final'!$Y$17),"")</f>
        <v/>
      </c>
      <c r="Q28" s="65" t="str">
        <f>IF(AND('Mapa final'!$AI$18="Media",'Mapa final'!$AK$18="Menor"),CONCATENATE("R3C",'Mapa final'!$Y$18),"")</f>
        <v/>
      </c>
      <c r="R28" s="65" t="str">
        <f>IF(AND('Mapa final'!$AI$19="Media",'Mapa final'!$AK$19="Menor"),CONCATENATE("R3C",'Mapa final'!$Y$19),"")</f>
        <v/>
      </c>
      <c r="S28" s="65" t="e">
        <f>IF(AND('Mapa final'!#REF!="Media",'Mapa final'!#REF!="Menor"),CONCATENATE("R3C",'Mapa final'!#REF!),"")</f>
        <v>#REF!</v>
      </c>
      <c r="T28" s="65" t="e">
        <f>IF(AND('Mapa final'!#REF!="Media",'Mapa final'!#REF!="Menor"),CONCATENATE("R3C",'Mapa final'!#REF!),"")</f>
        <v>#REF!</v>
      </c>
      <c r="U28" s="66" t="e">
        <f>IF(AND('Mapa final'!#REF!="Media",'Mapa final'!#REF!="Menor"),CONCATENATE("R3C",'Mapa final'!#REF!),"")</f>
        <v>#REF!</v>
      </c>
      <c r="V28" s="64" t="str">
        <f>IF(AND('Mapa final'!$AI$17="Media",'Mapa final'!$AK$17="Moderado"),CONCATENATE("R3C",'Mapa final'!$Y$17),"")</f>
        <v/>
      </c>
      <c r="W28" s="65" t="str">
        <f>IF(AND('Mapa final'!$AI$18="Media",'Mapa final'!$AK$18="Moderado"),CONCATENATE("R3C",'Mapa final'!$Y$18),"")</f>
        <v/>
      </c>
      <c r="X28" s="65" t="str">
        <f>IF(AND('Mapa final'!$AI$19="Media",'Mapa final'!$AK$19="Moderado"),CONCATENATE("R3C",'Mapa final'!$Y$19),"")</f>
        <v/>
      </c>
      <c r="Y28" s="65" t="e">
        <f>IF(AND('Mapa final'!#REF!="Media",'Mapa final'!#REF!="Moderado"),CONCATENATE("R3C",'Mapa final'!#REF!),"")</f>
        <v>#REF!</v>
      </c>
      <c r="Z28" s="65" t="e">
        <f>IF(AND('Mapa final'!#REF!="Media",'Mapa final'!#REF!="Moderado"),CONCATENATE("R3C",'Mapa final'!#REF!),"")</f>
        <v>#REF!</v>
      </c>
      <c r="AA28" s="66" t="e">
        <f>IF(AND('Mapa final'!#REF!="Media",'Mapa final'!#REF!="Moderado"),CONCATENATE("R3C",'Mapa final'!#REF!),"")</f>
        <v>#REF!</v>
      </c>
      <c r="AB28" s="49" t="str">
        <f>IF(AND('Mapa final'!$AI$17="Media",'Mapa final'!$AK$17="Mayor"),CONCATENATE("R3C",'Mapa final'!$Y$17),"")</f>
        <v/>
      </c>
      <c r="AC28" s="50" t="str">
        <f>IF(AND('Mapa final'!$AI$18="Media",'Mapa final'!$AK$18="Mayor"),CONCATENATE("R3C",'Mapa final'!$Y$18),"")</f>
        <v/>
      </c>
      <c r="AD28" s="50" t="str">
        <f>IF(AND('Mapa final'!$AI$19="Media",'Mapa final'!$AK$19="Mayor"),CONCATENATE("R3C",'Mapa final'!$Y$19),"")</f>
        <v/>
      </c>
      <c r="AE28" s="50" t="e">
        <f>IF(AND('Mapa final'!#REF!="Media",'Mapa final'!#REF!="Mayor"),CONCATENATE("R3C",'Mapa final'!#REF!),"")</f>
        <v>#REF!</v>
      </c>
      <c r="AF28" s="50" t="e">
        <f>IF(AND('Mapa final'!#REF!="Media",'Mapa final'!#REF!="Mayor"),CONCATENATE("R3C",'Mapa final'!#REF!),"")</f>
        <v>#REF!</v>
      </c>
      <c r="AG28" s="51" t="e">
        <f>IF(AND('Mapa final'!#REF!="Media",'Mapa final'!#REF!="Mayor"),CONCATENATE("R3C",'Mapa final'!#REF!),"")</f>
        <v>#REF!</v>
      </c>
      <c r="AH28" s="52" t="str">
        <f>IF(AND('Mapa final'!$AI$17="Media",'Mapa final'!$AK$17="Catastrófico"),CONCATENATE("R3C",'Mapa final'!$Y$17),"")</f>
        <v/>
      </c>
      <c r="AI28" s="53" t="str">
        <f>IF(AND('Mapa final'!$AI$18="Media",'Mapa final'!$AK$18="Catastrófico"),CONCATENATE("R3C",'Mapa final'!$Y$18),"")</f>
        <v/>
      </c>
      <c r="AJ28" s="53" t="str">
        <f>IF(AND('Mapa final'!$AI$19="Media",'Mapa final'!$AK$19="Catastrófico"),CONCATENATE("R3C",'Mapa final'!$Y$19),"")</f>
        <v/>
      </c>
      <c r="AK28" s="53" t="e">
        <f>IF(AND('Mapa final'!#REF!="Media",'Mapa final'!#REF!="Catastrófico"),CONCATENATE("R3C",'Mapa final'!#REF!),"")</f>
        <v>#REF!</v>
      </c>
      <c r="AL28" s="53" t="e">
        <f>IF(AND('Mapa final'!#REF!="Media",'Mapa final'!#REF!="Catastrófico"),CONCATENATE("R3C",'Mapa final'!#REF!),"")</f>
        <v>#REF!</v>
      </c>
      <c r="AM28" s="54" t="e">
        <f>IF(AND('Mapa final'!#REF!="Media",'Mapa final'!#REF!="Catastrófico"),CONCATENATE("R3C",'Mapa final'!#REF!),"")</f>
        <v>#REF!</v>
      </c>
      <c r="AN28" s="80"/>
      <c r="AO28" s="470"/>
      <c r="AP28" s="471"/>
      <c r="AQ28" s="471"/>
      <c r="AR28" s="471"/>
      <c r="AS28" s="471"/>
      <c r="AT28" s="472"/>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342"/>
      <c r="C29" s="342"/>
      <c r="D29" s="343"/>
      <c r="E29" s="441"/>
      <c r="F29" s="440"/>
      <c r="G29" s="440"/>
      <c r="H29" s="440"/>
      <c r="I29" s="456"/>
      <c r="J29" s="64" t="str">
        <f>IF(AND('Mapa final'!$AI$20="Media",'Mapa final'!$AK$20="Leve"),CONCATENATE("R4C",'Mapa final'!$Y$20),"")</f>
        <v/>
      </c>
      <c r="K29" s="65" t="str">
        <f>IF(AND('Mapa final'!$AI$21="Media",'Mapa final'!$AK$21="Leve"),CONCATENATE("R4C",'Mapa final'!$Y$21),"")</f>
        <v/>
      </c>
      <c r="L29" s="65" t="str">
        <f>IF(AND('Mapa final'!$AI$22="Media",'Mapa final'!$AK$22="Leve"),CONCATENATE("R4C",'Mapa final'!$Y$22),"")</f>
        <v/>
      </c>
      <c r="M29" s="65" t="e">
        <f>IF(AND('Mapa final'!#REF!="Media",'Mapa final'!#REF!="Leve"),CONCATENATE("R4C",'Mapa final'!#REF!),"")</f>
        <v>#REF!</v>
      </c>
      <c r="N29" s="65" t="e">
        <f>IF(AND('Mapa final'!#REF!="Media",'Mapa final'!#REF!="Leve"),CONCATENATE("R4C",'Mapa final'!#REF!),"")</f>
        <v>#REF!</v>
      </c>
      <c r="O29" s="66" t="e">
        <f>IF(AND('Mapa final'!#REF!="Media",'Mapa final'!#REF!="Leve"),CONCATENATE("R4C",'Mapa final'!#REF!),"")</f>
        <v>#REF!</v>
      </c>
      <c r="P29" s="64" t="str">
        <f>IF(AND('Mapa final'!$AI$20="Media",'Mapa final'!$AK$20="Menor"),CONCATENATE("R4C",'Mapa final'!$Y$20),"")</f>
        <v/>
      </c>
      <c r="Q29" s="65" t="str">
        <f>IF(AND('Mapa final'!$AI$21="Media",'Mapa final'!$AK$21="Menor"),CONCATENATE("R4C",'Mapa final'!$Y$21),"")</f>
        <v/>
      </c>
      <c r="R29" s="65" t="str">
        <f>IF(AND('Mapa final'!$AI$22="Media",'Mapa final'!$AK$22="Menor"),CONCATENATE("R4C",'Mapa final'!$Y$22),"")</f>
        <v/>
      </c>
      <c r="S29" s="65" t="e">
        <f>IF(AND('Mapa final'!#REF!="Media",'Mapa final'!#REF!="Menor"),CONCATENATE("R4C",'Mapa final'!#REF!),"")</f>
        <v>#REF!</v>
      </c>
      <c r="T29" s="65" t="e">
        <f>IF(AND('Mapa final'!#REF!="Media",'Mapa final'!#REF!="Menor"),CONCATENATE("R4C",'Mapa final'!#REF!),"")</f>
        <v>#REF!</v>
      </c>
      <c r="U29" s="66" t="e">
        <f>IF(AND('Mapa final'!#REF!="Media",'Mapa final'!#REF!="Menor"),CONCATENATE("R4C",'Mapa final'!#REF!),"")</f>
        <v>#REF!</v>
      </c>
      <c r="V29" s="64" t="str">
        <f>IF(AND('Mapa final'!$AI$20="Media",'Mapa final'!$AK$20="Moderado"),CONCATENATE("R4C",'Mapa final'!$Y$20),"")</f>
        <v/>
      </c>
      <c r="W29" s="65" t="str">
        <f>IF(AND('Mapa final'!$AI$21="Media",'Mapa final'!$AK$21="Moderado"),CONCATENATE("R4C",'Mapa final'!$Y$21),"")</f>
        <v/>
      </c>
      <c r="X29" s="65" t="str">
        <f>IF(AND('Mapa final'!$AI$22="Media",'Mapa final'!$AK$22="Moderado"),CONCATENATE("R4C",'Mapa final'!$Y$22),"")</f>
        <v/>
      </c>
      <c r="Y29" s="65" t="e">
        <f>IF(AND('Mapa final'!#REF!="Media",'Mapa final'!#REF!="Moderado"),CONCATENATE("R4C",'Mapa final'!#REF!),"")</f>
        <v>#REF!</v>
      </c>
      <c r="Z29" s="65" t="e">
        <f>IF(AND('Mapa final'!#REF!="Media",'Mapa final'!#REF!="Moderado"),CONCATENATE("R4C",'Mapa final'!#REF!),"")</f>
        <v>#REF!</v>
      </c>
      <c r="AA29" s="66" t="e">
        <f>IF(AND('Mapa final'!#REF!="Media",'Mapa final'!#REF!="Moderado"),CONCATENATE("R4C",'Mapa final'!#REF!),"")</f>
        <v>#REF!</v>
      </c>
      <c r="AB29" s="49" t="str">
        <f>IF(AND('Mapa final'!$AI$20="Media",'Mapa final'!$AK$20="Mayor"),CONCATENATE("R4C",'Mapa final'!$Y$20),"")</f>
        <v/>
      </c>
      <c r="AC29" s="50" t="str">
        <f>IF(AND('Mapa final'!$AI$21="Media",'Mapa final'!$AK$21="Mayor"),CONCATENATE("R4C",'Mapa final'!$Y$21),"")</f>
        <v/>
      </c>
      <c r="AD29" s="50" t="str">
        <f>IF(AND('Mapa final'!$AI$22="Media",'Mapa final'!$AK$22="Mayor"),CONCATENATE("R4C",'Mapa final'!$Y$22),"")</f>
        <v/>
      </c>
      <c r="AE29" s="50" t="e">
        <f>IF(AND('Mapa final'!#REF!="Media",'Mapa final'!#REF!="Mayor"),CONCATENATE("R4C",'Mapa final'!#REF!),"")</f>
        <v>#REF!</v>
      </c>
      <c r="AF29" s="50" t="e">
        <f>IF(AND('Mapa final'!#REF!="Media",'Mapa final'!#REF!="Mayor"),CONCATENATE("R4C",'Mapa final'!#REF!),"")</f>
        <v>#REF!</v>
      </c>
      <c r="AG29" s="51" t="e">
        <f>IF(AND('Mapa final'!#REF!="Media",'Mapa final'!#REF!="Mayor"),CONCATENATE("R4C",'Mapa final'!#REF!),"")</f>
        <v>#REF!</v>
      </c>
      <c r="AH29" s="52" t="str">
        <f>IF(AND('Mapa final'!$AI$20="Media",'Mapa final'!$AK$20="Catastrófico"),CONCATENATE("R4C",'Mapa final'!$Y$20),"")</f>
        <v/>
      </c>
      <c r="AI29" s="53" t="str">
        <f>IF(AND('Mapa final'!$AI$21="Media",'Mapa final'!$AK$21="Catastrófico"),CONCATENATE("R4C",'Mapa final'!$Y$21),"")</f>
        <v/>
      </c>
      <c r="AJ29" s="53" t="str">
        <f>IF(AND('Mapa final'!$AI$22="Media",'Mapa final'!$AK$22="Catastrófico"),CONCATENATE("R4C",'Mapa final'!$Y$22),"")</f>
        <v/>
      </c>
      <c r="AK29" s="53" t="e">
        <f>IF(AND('Mapa final'!#REF!="Media",'Mapa final'!#REF!="Catastrófico"),CONCATENATE("R4C",'Mapa final'!#REF!),"")</f>
        <v>#REF!</v>
      </c>
      <c r="AL29" s="53" t="e">
        <f>IF(AND('Mapa final'!#REF!="Media",'Mapa final'!#REF!="Catastrófico"),CONCATENATE("R4C",'Mapa final'!#REF!),"")</f>
        <v>#REF!</v>
      </c>
      <c r="AM29" s="54" t="e">
        <f>IF(AND('Mapa final'!#REF!="Media",'Mapa final'!#REF!="Catastrófico"),CONCATENATE("R4C",'Mapa final'!#REF!),"")</f>
        <v>#REF!</v>
      </c>
      <c r="AN29" s="80"/>
      <c r="AO29" s="470"/>
      <c r="AP29" s="471"/>
      <c r="AQ29" s="471"/>
      <c r="AR29" s="471"/>
      <c r="AS29" s="471"/>
      <c r="AT29" s="472"/>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342"/>
      <c r="C30" s="342"/>
      <c r="D30" s="343"/>
      <c r="E30" s="441"/>
      <c r="F30" s="440"/>
      <c r="G30" s="440"/>
      <c r="H30" s="440"/>
      <c r="I30" s="456"/>
      <c r="J30" s="64" t="str">
        <f>IF(AND('Mapa final'!$AI$23="Media",'Mapa final'!$AK$23="Leve"),CONCATENATE("R5C",'Mapa final'!$Y$23),"")</f>
        <v/>
      </c>
      <c r="K30" s="65" t="str">
        <f>IF(AND('Mapa final'!$AI$24="Media",'Mapa final'!$AK$24="Leve"),CONCATENATE("R5C",'Mapa final'!$Y$24),"")</f>
        <v/>
      </c>
      <c r="L30" s="65" t="str">
        <f>IF(AND('Mapa final'!$AI$25="Media",'Mapa final'!$AK$25="Leve"),CONCATENATE("R5C",'Mapa final'!$Y$25),"")</f>
        <v/>
      </c>
      <c r="M30" s="65" t="str">
        <f>IF(AND('Mapa final'!$AI$26="Media",'Mapa final'!$AK$26="Leve"),CONCATENATE("R5C",'Mapa final'!$Y$26),"")</f>
        <v/>
      </c>
      <c r="N30" s="65" t="str">
        <f>IF(AND('Mapa final'!$AI$27="Media",'Mapa final'!$AK$27="Leve"),CONCATENATE("R5C",'Mapa final'!$Y$27),"")</f>
        <v/>
      </c>
      <c r="O30" s="66" t="str">
        <f>IF(AND('Mapa final'!$AI$28="Media",'Mapa final'!$AK$28="Leve"),CONCATENATE("R5C",'Mapa final'!$Y$28),"")</f>
        <v/>
      </c>
      <c r="P30" s="64" t="str">
        <f>IF(AND('Mapa final'!$AI$23="Media",'Mapa final'!$AK$23="Menor"),CONCATENATE("R5C",'Mapa final'!$Y$23),"")</f>
        <v/>
      </c>
      <c r="Q30" s="65" t="str">
        <f>IF(AND('Mapa final'!$AI$24="Media",'Mapa final'!$AK$24="Menor"),CONCATENATE("R5C",'Mapa final'!$Y$24),"")</f>
        <v/>
      </c>
      <c r="R30" s="65" t="str">
        <f>IF(AND('Mapa final'!$AI$25="Media",'Mapa final'!$AK$25="Menor"),CONCATENATE("R5C",'Mapa final'!$Y$25),"")</f>
        <v/>
      </c>
      <c r="S30" s="65" t="str">
        <f>IF(AND('Mapa final'!$AI$26="Media",'Mapa final'!$AK$26="Menor"),CONCATENATE("R5C",'Mapa final'!$Y$26),"")</f>
        <v/>
      </c>
      <c r="T30" s="65" t="str">
        <f>IF(AND('Mapa final'!$AI$27="Media",'Mapa final'!$AK$27="Menor"),CONCATENATE("R5C",'Mapa final'!$Y$27),"")</f>
        <v/>
      </c>
      <c r="U30" s="66" t="str">
        <f>IF(AND('Mapa final'!$AI$28="Media",'Mapa final'!$AK$28="Menor"),CONCATENATE("R5C",'Mapa final'!$Y$28),"")</f>
        <v/>
      </c>
      <c r="V30" s="64" t="str">
        <f>IF(AND('Mapa final'!$AI$23="Media",'Mapa final'!$AK$23="Moderado"),CONCATENATE("R5C",'Mapa final'!$Y$23),"")</f>
        <v/>
      </c>
      <c r="W30" s="65" t="str">
        <f>IF(AND('Mapa final'!$AI$24="Media",'Mapa final'!$AK$24="Moderado"),CONCATENATE("R5C",'Mapa final'!$Y$24),"")</f>
        <v/>
      </c>
      <c r="X30" s="65" t="str">
        <f>IF(AND('Mapa final'!$AI$25="Media",'Mapa final'!$AK$25="Moderado"),CONCATENATE("R5C",'Mapa final'!$Y$25),"")</f>
        <v/>
      </c>
      <c r="Y30" s="65" t="str">
        <f>IF(AND('Mapa final'!$AI$26="Media",'Mapa final'!$AK$26="Moderado"),CONCATENATE("R5C",'Mapa final'!$Y$26),"")</f>
        <v/>
      </c>
      <c r="Z30" s="65" t="str">
        <f>IF(AND('Mapa final'!$AI$27="Media",'Mapa final'!$AK$27="Moderado"),CONCATENATE("R5C",'Mapa final'!$Y$27),"")</f>
        <v/>
      </c>
      <c r="AA30" s="66" t="str">
        <f>IF(AND('Mapa final'!$AI$28="Media",'Mapa final'!$AK$28="Moderado"),CONCATENATE("R5C",'Mapa final'!$Y$28),"")</f>
        <v/>
      </c>
      <c r="AB30" s="49" t="str">
        <f>IF(AND('Mapa final'!$AI$23="Media",'Mapa final'!$AK$23="Mayor"),CONCATENATE("R5C",'Mapa final'!$Y$23),"")</f>
        <v/>
      </c>
      <c r="AC30" s="50" t="str">
        <f>IF(AND('Mapa final'!$AI$24="Media",'Mapa final'!$AK$24="Mayor"),CONCATENATE("R5C",'Mapa final'!$Y$24),"")</f>
        <v/>
      </c>
      <c r="AD30" s="50" t="str">
        <f>IF(AND('Mapa final'!$AI$25="Media",'Mapa final'!$AK$25="Mayor"),CONCATENATE("R5C",'Mapa final'!$Y$25),"")</f>
        <v/>
      </c>
      <c r="AE30" s="50" t="str">
        <f>IF(AND('Mapa final'!$AI$26="Media",'Mapa final'!$AK$26="Mayor"),CONCATENATE("R5C",'Mapa final'!$Y$26),"")</f>
        <v/>
      </c>
      <c r="AF30" s="50" t="str">
        <f>IF(AND('Mapa final'!$AI$27="Media",'Mapa final'!$AK$27="Mayor"),CONCATENATE("R5C",'Mapa final'!$Y$27),"")</f>
        <v/>
      </c>
      <c r="AG30" s="51" t="str">
        <f>IF(AND('Mapa final'!$AI$28="Media",'Mapa final'!$AK$28="Mayor"),CONCATENATE("R5C",'Mapa final'!$Y$28),"")</f>
        <v/>
      </c>
      <c r="AH30" s="52" t="str">
        <f>IF(AND('Mapa final'!$AI$23="Media",'Mapa final'!$AK$23="Catastrófico"),CONCATENATE("R5C",'Mapa final'!$Y$23),"")</f>
        <v/>
      </c>
      <c r="AI30" s="53" t="str">
        <f>IF(AND('Mapa final'!$AI$24="Media",'Mapa final'!$AK$24="Catastrófico"),CONCATENATE("R5C",'Mapa final'!$Y$24),"")</f>
        <v/>
      </c>
      <c r="AJ30" s="53" t="str">
        <f>IF(AND('Mapa final'!$AI$25="Media",'Mapa final'!$AK$25="Catastrófico"),CONCATENATE("R5C",'Mapa final'!$Y$25),"")</f>
        <v/>
      </c>
      <c r="AK30" s="53" t="str">
        <f>IF(AND('Mapa final'!$AI$26="Media",'Mapa final'!$AK$26="Catastrófico"),CONCATENATE("R5C",'Mapa final'!$Y$26),"")</f>
        <v/>
      </c>
      <c r="AL30" s="53" t="str">
        <f>IF(AND('Mapa final'!$AI$27="Media",'Mapa final'!$AK$27="Catastrófico"),CONCATENATE("R5C",'Mapa final'!$Y$27),"")</f>
        <v/>
      </c>
      <c r="AM30" s="54" t="str">
        <f>IF(AND('Mapa final'!$AI$28="Media",'Mapa final'!$AK$28="Catastrófico"),CONCATENATE("R5C",'Mapa final'!$Y$28),"")</f>
        <v/>
      </c>
      <c r="AN30" s="80"/>
      <c r="AO30" s="470"/>
      <c r="AP30" s="471"/>
      <c r="AQ30" s="471"/>
      <c r="AR30" s="471"/>
      <c r="AS30" s="471"/>
      <c r="AT30" s="472"/>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342"/>
      <c r="C31" s="342"/>
      <c r="D31" s="343"/>
      <c r="E31" s="441"/>
      <c r="F31" s="440"/>
      <c r="G31" s="440"/>
      <c r="H31" s="440"/>
      <c r="I31" s="456"/>
      <c r="J31" s="64" t="str">
        <f>IF(AND('Mapa final'!$AI$29="Media",'Mapa final'!$AK$29="Leve"),CONCATENATE("R6C",'Mapa final'!$Y$29),"")</f>
        <v/>
      </c>
      <c r="K31" s="65" t="str">
        <f>IF(AND('Mapa final'!$AI$30="Media",'Mapa final'!$AK$30="Leve"),CONCATENATE("R6C",'Mapa final'!$Y$30),"")</f>
        <v/>
      </c>
      <c r="L31" s="65" t="str">
        <f>IF(AND('Mapa final'!$AI$31="Media",'Mapa final'!$AK$31="Leve"),CONCATENATE("R6C",'Mapa final'!$Y$31),"")</f>
        <v/>
      </c>
      <c r="M31" s="65" t="str">
        <f>IF(AND('Mapa final'!$AI$32="Media",'Mapa final'!$AK$32="Leve"),CONCATENATE("R6C",'Mapa final'!$Y$32),"")</f>
        <v/>
      </c>
      <c r="N31" s="65" t="str">
        <f>IF(AND('Mapa final'!$AI$33="Media",'Mapa final'!$AK$33="Leve"),CONCATENATE("R6C",'Mapa final'!$Y$33),"")</f>
        <v/>
      </c>
      <c r="O31" s="66" t="str">
        <f>IF(AND('Mapa final'!$AI$34="Media",'Mapa final'!$AK$34="Leve"),CONCATENATE("R6C",'Mapa final'!$Y$34),"")</f>
        <v/>
      </c>
      <c r="P31" s="64" t="str">
        <f>IF(AND('Mapa final'!$AI$29="Media",'Mapa final'!$AK$29="Menor"),CONCATENATE("R6C",'Mapa final'!$Y$29),"")</f>
        <v/>
      </c>
      <c r="Q31" s="65" t="str">
        <f>IF(AND('Mapa final'!$AI$30="Media",'Mapa final'!$AK$30="Menor"),CONCATENATE("R6C",'Mapa final'!$Y$30),"")</f>
        <v/>
      </c>
      <c r="R31" s="65" t="str">
        <f>IF(AND('Mapa final'!$AI$31="Media",'Mapa final'!$AK$31="Menor"),CONCATENATE("R6C",'Mapa final'!$Y$31),"")</f>
        <v/>
      </c>
      <c r="S31" s="65" t="str">
        <f>IF(AND('Mapa final'!$AI$32="Media",'Mapa final'!$AK$32="Menor"),CONCATENATE("R6C",'Mapa final'!$Y$32),"")</f>
        <v/>
      </c>
      <c r="T31" s="65" t="str">
        <f>IF(AND('Mapa final'!$AI$33="Media",'Mapa final'!$AK$33="Menor"),CONCATENATE("R6C",'Mapa final'!$Y$33),"")</f>
        <v/>
      </c>
      <c r="U31" s="66" t="str">
        <f>IF(AND('Mapa final'!$AI$34="Media",'Mapa final'!$AK$34="Menor"),CONCATENATE("R6C",'Mapa final'!$Y$34),"")</f>
        <v/>
      </c>
      <c r="V31" s="64" t="str">
        <f>IF(AND('Mapa final'!$AI$29="Media",'Mapa final'!$AK$29="Moderado"),CONCATENATE("R6C",'Mapa final'!$Y$29),"")</f>
        <v/>
      </c>
      <c r="W31" s="65" t="str">
        <f>IF(AND('Mapa final'!$AI$30="Media",'Mapa final'!$AK$30="Moderado"),CONCATENATE("R6C",'Mapa final'!$Y$30),"")</f>
        <v/>
      </c>
      <c r="X31" s="65" t="str">
        <f>IF(AND('Mapa final'!$AI$31="Media",'Mapa final'!$AK$31="Moderado"),CONCATENATE("R6C",'Mapa final'!$Y$31),"")</f>
        <v/>
      </c>
      <c r="Y31" s="65" t="str">
        <f>IF(AND('Mapa final'!$AI$32="Media",'Mapa final'!$AK$32="Moderado"),CONCATENATE("R6C",'Mapa final'!$Y$32),"")</f>
        <v/>
      </c>
      <c r="Z31" s="65" t="str">
        <f>IF(AND('Mapa final'!$AI$33="Media",'Mapa final'!$AK$33="Moderado"),CONCATENATE("R6C",'Mapa final'!$Y$33),"")</f>
        <v/>
      </c>
      <c r="AA31" s="66" t="str">
        <f>IF(AND('Mapa final'!$AI$34="Media",'Mapa final'!$AK$34="Moderado"),CONCATENATE("R6C",'Mapa final'!$Y$34),"")</f>
        <v/>
      </c>
      <c r="AB31" s="49" t="str">
        <f>IF(AND('Mapa final'!$AI$29="Media",'Mapa final'!$AK$29="Mayor"),CONCATENATE("R6C",'Mapa final'!$Y$29),"")</f>
        <v/>
      </c>
      <c r="AC31" s="50" t="str">
        <f>IF(AND('Mapa final'!$AI$30="Media",'Mapa final'!$AK$30="Mayor"),CONCATENATE("R6C",'Mapa final'!$Y$30),"")</f>
        <v/>
      </c>
      <c r="AD31" s="50" t="str">
        <f>IF(AND('Mapa final'!$AI$31="Media",'Mapa final'!$AK$31="Mayor"),CONCATENATE("R6C",'Mapa final'!$Y$31),"")</f>
        <v/>
      </c>
      <c r="AE31" s="50" t="str">
        <f>IF(AND('Mapa final'!$AI$32="Media",'Mapa final'!$AK$32="Mayor"),CONCATENATE("R6C",'Mapa final'!$Y$32),"")</f>
        <v/>
      </c>
      <c r="AF31" s="50" t="str">
        <f>IF(AND('Mapa final'!$AI$33="Media",'Mapa final'!$AK$33="Mayor"),CONCATENATE("R6C",'Mapa final'!$Y$33),"")</f>
        <v/>
      </c>
      <c r="AG31" s="51" t="str">
        <f>IF(AND('Mapa final'!$AI$34="Media",'Mapa final'!$AK$34="Mayor"),CONCATENATE("R6C",'Mapa final'!$Y$34),"")</f>
        <v/>
      </c>
      <c r="AH31" s="52" t="str">
        <f>IF(AND('Mapa final'!$AI$29="Media",'Mapa final'!$AK$29="Catastrófico"),CONCATENATE("R6C",'Mapa final'!$Y$29),"")</f>
        <v/>
      </c>
      <c r="AI31" s="53" t="str">
        <f>IF(AND('Mapa final'!$AI$30="Media",'Mapa final'!$AK$30="Catastrófico"),CONCATENATE("R6C",'Mapa final'!$Y$30),"")</f>
        <v/>
      </c>
      <c r="AJ31" s="53" t="str">
        <f>IF(AND('Mapa final'!$AI$31="Media",'Mapa final'!$AK$31="Catastrófico"),CONCATENATE("R6C",'Mapa final'!$Y$31),"")</f>
        <v/>
      </c>
      <c r="AK31" s="53" t="str">
        <f>IF(AND('Mapa final'!$AI$32="Media",'Mapa final'!$AK$32="Catastrófico"),CONCATENATE("R6C",'Mapa final'!$Y$32),"")</f>
        <v/>
      </c>
      <c r="AL31" s="53" t="str">
        <f>IF(AND('Mapa final'!$AI$33="Media",'Mapa final'!$AK$33="Catastrófico"),CONCATENATE("R6C",'Mapa final'!$Y$33),"")</f>
        <v/>
      </c>
      <c r="AM31" s="54" t="str">
        <f>IF(AND('Mapa final'!$AI$34="Media",'Mapa final'!$AK$34="Catastrófico"),CONCATENATE("R6C",'Mapa final'!$Y$34),"")</f>
        <v/>
      </c>
      <c r="AN31" s="80"/>
      <c r="AO31" s="470"/>
      <c r="AP31" s="471"/>
      <c r="AQ31" s="471"/>
      <c r="AR31" s="471"/>
      <c r="AS31" s="471"/>
      <c r="AT31" s="472"/>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342"/>
      <c r="C32" s="342"/>
      <c r="D32" s="343"/>
      <c r="E32" s="441"/>
      <c r="F32" s="440"/>
      <c r="G32" s="440"/>
      <c r="H32" s="440"/>
      <c r="I32" s="456"/>
      <c r="J32" s="64" t="str">
        <f>IF(AND('Mapa final'!$AI$35="Media",'Mapa final'!$AK$35="Leve"),CONCATENATE("R7C",'Mapa final'!$Y$35),"")</f>
        <v/>
      </c>
      <c r="K32" s="65" t="str">
        <f>IF(AND('Mapa final'!$AI$36="Media",'Mapa final'!$AK$36="Leve"),CONCATENATE("R7C",'Mapa final'!$Y$36),"")</f>
        <v/>
      </c>
      <c r="L32" s="65" t="str">
        <f>IF(AND('Mapa final'!$AI$37="Media",'Mapa final'!$AK$37="Leve"),CONCATENATE("R7C",'Mapa final'!$Y$37),"")</f>
        <v/>
      </c>
      <c r="M32" s="65" t="str">
        <f>IF(AND('Mapa final'!$AI$38="Media",'Mapa final'!$AK$38="Leve"),CONCATENATE("R7C",'Mapa final'!$Y$38),"")</f>
        <v/>
      </c>
      <c r="N32" s="65" t="str">
        <f>IF(AND('Mapa final'!$AI$39="Media",'Mapa final'!$AK$39="Leve"),CONCATENATE("R7C",'Mapa final'!$Y$39),"")</f>
        <v/>
      </c>
      <c r="O32" s="66" t="str">
        <f>IF(AND('Mapa final'!$AI$40="Media",'Mapa final'!$AK$40="Leve"),CONCATENATE("R7C",'Mapa final'!$Y$40),"")</f>
        <v/>
      </c>
      <c r="P32" s="64" t="str">
        <f>IF(AND('Mapa final'!$AI$35="Media",'Mapa final'!$AK$35="Menor"),CONCATENATE("R7C",'Mapa final'!$Y$35),"")</f>
        <v/>
      </c>
      <c r="Q32" s="65" t="str">
        <f>IF(AND('Mapa final'!$AI$36="Media",'Mapa final'!$AK$36="Menor"),CONCATENATE("R7C",'Mapa final'!$Y$36),"")</f>
        <v/>
      </c>
      <c r="R32" s="65" t="str">
        <f>IF(AND('Mapa final'!$AI$37="Media",'Mapa final'!$AK$37="Menor"),CONCATENATE("R7C",'Mapa final'!$Y$37),"")</f>
        <v/>
      </c>
      <c r="S32" s="65" t="str">
        <f>IF(AND('Mapa final'!$AI$38="Media",'Mapa final'!$AK$38="Menor"),CONCATENATE("R7C",'Mapa final'!$Y$38),"")</f>
        <v/>
      </c>
      <c r="T32" s="65" t="str">
        <f>IF(AND('Mapa final'!$AI$39="Media",'Mapa final'!$AK$39="Menor"),CONCATENATE("R7C",'Mapa final'!$Y$39),"")</f>
        <v/>
      </c>
      <c r="U32" s="66" t="str">
        <f>IF(AND('Mapa final'!$AI$40="Media",'Mapa final'!$AK$40="Menor"),CONCATENATE("R7C",'Mapa final'!$Y$40),"")</f>
        <v/>
      </c>
      <c r="V32" s="64" t="str">
        <f>IF(AND('Mapa final'!$AI$35="Media",'Mapa final'!$AK$35="Moderado"),CONCATENATE("R7C",'Mapa final'!$Y$35),"")</f>
        <v/>
      </c>
      <c r="W32" s="65" t="str">
        <f>IF(AND('Mapa final'!$AI$36="Media",'Mapa final'!$AK$36="Moderado"),CONCATENATE("R7C",'Mapa final'!$Y$36),"")</f>
        <v/>
      </c>
      <c r="X32" s="65" t="str">
        <f>IF(AND('Mapa final'!$AI$37="Media",'Mapa final'!$AK$37="Moderado"),CONCATENATE("R7C",'Mapa final'!$Y$37),"")</f>
        <v/>
      </c>
      <c r="Y32" s="65" t="str">
        <f>IF(AND('Mapa final'!$AI$38="Media",'Mapa final'!$AK$38="Moderado"),CONCATENATE("R7C",'Mapa final'!$Y$38),"")</f>
        <v/>
      </c>
      <c r="Z32" s="65" t="str">
        <f>IF(AND('Mapa final'!$AI$39="Media",'Mapa final'!$AK$39="Moderado"),CONCATENATE("R7C",'Mapa final'!$Y$39),"")</f>
        <v/>
      </c>
      <c r="AA32" s="66" t="str">
        <f>IF(AND('Mapa final'!$AI$40="Media",'Mapa final'!$AK$40="Moderado"),CONCATENATE("R7C",'Mapa final'!$Y$40),"")</f>
        <v/>
      </c>
      <c r="AB32" s="49" t="str">
        <f>IF(AND('Mapa final'!$AI$35="Media",'Mapa final'!$AK$35="Mayor"),CONCATENATE("R7C",'Mapa final'!$Y$35),"")</f>
        <v/>
      </c>
      <c r="AC32" s="50" t="str">
        <f>IF(AND('Mapa final'!$AI$36="Media",'Mapa final'!$AK$36="Mayor"),CONCATENATE("R7C",'Mapa final'!$Y$36),"")</f>
        <v/>
      </c>
      <c r="AD32" s="50" t="str">
        <f>IF(AND('Mapa final'!$AI$37="Media",'Mapa final'!$AK$37="Mayor"),CONCATENATE("R7C",'Mapa final'!$Y$37),"")</f>
        <v/>
      </c>
      <c r="AE32" s="50" t="str">
        <f>IF(AND('Mapa final'!$AI$38="Media",'Mapa final'!$AK$38="Mayor"),CONCATENATE("R7C",'Mapa final'!$Y$38),"")</f>
        <v/>
      </c>
      <c r="AF32" s="50" t="str">
        <f>IF(AND('Mapa final'!$AI$39="Media",'Mapa final'!$AK$39="Mayor"),CONCATENATE("R7C",'Mapa final'!$Y$39),"")</f>
        <v/>
      </c>
      <c r="AG32" s="51" t="str">
        <f>IF(AND('Mapa final'!$AI$40="Media",'Mapa final'!$AK$40="Mayor"),CONCATENATE("R7C",'Mapa final'!$Y$40),"")</f>
        <v/>
      </c>
      <c r="AH32" s="52" t="str">
        <f>IF(AND('Mapa final'!$AI$35="Media",'Mapa final'!$AK$35="Catastrófico"),CONCATENATE("R7C",'Mapa final'!$Y$35),"")</f>
        <v/>
      </c>
      <c r="AI32" s="53" t="str">
        <f>IF(AND('Mapa final'!$AI$36="Media",'Mapa final'!$AK$36="Catastrófico"),CONCATENATE("R7C",'Mapa final'!$Y$36),"")</f>
        <v/>
      </c>
      <c r="AJ32" s="53" t="str">
        <f>IF(AND('Mapa final'!$AI$37="Media",'Mapa final'!$AK$37="Catastrófico"),CONCATENATE("R7C",'Mapa final'!$Y$37),"")</f>
        <v/>
      </c>
      <c r="AK32" s="53" t="str">
        <f>IF(AND('Mapa final'!$AI$38="Media",'Mapa final'!$AK$38="Catastrófico"),CONCATENATE("R7C",'Mapa final'!$Y$38),"")</f>
        <v/>
      </c>
      <c r="AL32" s="53" t="str">
        <f>IF(AND('Mapa final'!$AI$39="Media",'Mapa final'!$AK$39="Catastrófico"),CONCATENATE("R7C",'Mapa final'!$Y$39),"")</f>
        <v/>
      </c>
      <c r="AM32" s="54" t="str">
        <f>IF(AND('Mapa final'!$AI$40="Media",'Mapa final'!$AK$40="Catastrófico"),CONCATENATE("R7C",'Mapa final'!$Y$40),"")</f>
        <v/>
      </c>
      <c r="AN32" s="80"/>
      <c r="AO32" s="470"/>
      <c r="AP32" s="471"/>
      <c r="AQ32" s="471"/>
      <c r="AR32" s="471"/>
      <c r="AS32" s="471"/>
      <c r="AT32" s="472"/>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342"/>
      <c r="C33" s="342"/>
      <c r="D33" s="343"/>
      <c r="E33" s="441"/>
      <c r="F33" s="440"/>
      <c r="G33" s="440"/>
      <c r="H33" s="440"/>
      <c r="I33" s="456"/>
      <c r="J33" s="64" t="str">
        <f>IF(AND('Mapa final'!$AI$41="Media",'Mapa final'!$AK$41="Leve"),CONCATENATE("R8C",'Mapa final'!$Y$41),"")</f>
        <v/>
      </c>
      <c r="K33" s="65" t="str">
        <f>IF(AND('Mapa final'!$AI$42="Media",'Mapa final'!$AK$42="Leve"),CONCATENATE("R8C",'Mapa final'!$Y$42),"")</f>
        <v/>
      </c>
      <c r="L33" s="65" t="str">
        <f>IF(AND('Mapa final'!$AI$43="Media",'Mapa final'!$AK$43="Leve"),CONCATENATE("R8C",'Mapa final'!$Y$43),"")</f>
        <v/>
      </c>
      <c r="M33" s="65" t="str">
        <f>IF(AND('Mapa final'!$AI$44="Media",'Mapa final'!$AK$44="Leve"),CONCATENATE("R8C",'Mapa final'!$Y$44),"")</f>
        <v/>
      </c>
      <c r="N33" s="65" t="str">
        <f>IF(AND('Mapa final'!$AI$45="Media",'Mapa final'!$AK$45="Leve"),CONCATENATE("R8C",'Mapa final'!$Y$45),"")</f>
        <v/>
      </c>
      <c r="O33" s="66" t="str">
        <f>IF(AND('Mapa final'!$AI$46="Media",'Mapa final'!$AK$46="Leve"),CONCATENATE("R8C",'Mapa final'!$Y$46),"")</f>
        <v/>
      </c>
      <c r="P33" s="64" t="str">
        <f>IF(AND('Mapa final'!$AI$41="Media",'Mapa final'!$AK$41="Menor"),CONCATENATE("R8C",'Mapa final'!$Y$41),"")</f>
        <v/>
      </c>
      <c r="Q33" s="65" t="str">
        <f>IF(AND('Mapa final'!$AI$42="Media",'Mapa final'!$AK$42="Menor"),CONCATENATE("R8C",'Mapa final'!$Y$42),"")</f>
        <v/>
      </c>
      <c r="R33" s="65" t="str">
        <f>IF(AND('Mapa final'!$AI$43="Media",'Mapa final'!$AK$43="Menor"),CONCATENATE("R8C",'Mapa final'!$Y$43),"")</f>
        <v/>
      </c>
      <c r="S33" s="65" t="str">
        <f>IF(AND('Mapa final'!$AI$44="Media",'Mapa final'!$AK$44="Menor"),CONCATENATE("R8C",'Mapa final'!$Y$44),"")</f>
        <v/>
      </c>
      <c r="T33" s="65" t="str">
        <f>IF(AND('Mapa final'!$AI$45="Media",'Mapa final'!$AK$45="Menor"),CONCATENATE("R8C",'Mapa final'!$Y$45),"")</f>
        <v/>
      </c>
      <c r="U33" s="66" t="str">
        <f>IF(AND('Mapa final'!$AI$46="Media",'Mapa final'!$AK$46="Menor"),CONCATENATE("R8C",'Mapa final'!$Y$46),"")</f>
        <v/>
      </c>
      <c r="V33" s="64" t="str">
        <f>IF(AND('Mapa final'!$AI$41="Media",'Mapa final'!$AK$41="Moderado"),CONCATENATE("R8C",'Mapa final'!$Y$41),"")</f>
        <v/>
      </c>
      <c r="W33" s="65" t="str">
        <f>IF(AND('Mapa final'!$AI$42="Media",'Mapa final'!$AK$42="Moderado"),CONCATENATE("R8C",'Mapa final'!$Y$42),"")</f>
        <v/>
      </c>
      <c r="X33" s="65" t="str">
        <f>IF(AND('Mapa final'!$AI$43="Media",'Mapa final'!$AK$43="Moderado"),CONCATENATE("R8C",'Mapa final'!$Y$43),"")</f>
        <v/>
      </c>
      <c r="Y33" s="65" t="str">
        <f>IF(AND('Mapa final'!$AI$44="Media",'Mapa final'!$AK$44="Moderado"),CONCATENATE("R8C",'Mapa final'!$Y$44),"")</f>
        <v/>
      </c>
      <c r="Z33" s="65" t="str">
        <f>IF(AND('Mapa final'!$AI$45="Media",'Mapa final'!$AK$45="Moderado"),CONCATENATE("R8C",'Mapa final'!$Y$45),"")</f>
        <v/>
      </c>
      <c r="AA33" s="66" t="str">
        <f>IF(AND('Mapa final'!$AI$46="Media",'Mapa final'!$AK$46="Moderado"),CONCATENATE("R8C",'Mapa final'!$Y$46),"")</f>
        <v/>
      </c>
      <c r="AB33" s="49" t="str">
        <f>IF(AND('Mapa final'!$AI$41="Media",'Mapa final'!$AK$41="Mayor"),CONCATENATE("R8C",'Mapa final'!$Y$41),"")</f>
        <v/>
      </c>
      <c r="AC33" s="50" t="str">
        <f>IF(AND('Mapa final'!$AI$42="Media",'Mapa final'!$AK$42="Mayor"),CONCATENATE("R8C",'Mapa final'!$Y$42),"")</f>
        <v/>
      </c>
      <c r="AD33" s="50" t="str">
        <f>IF(AND('Mapa final'!$AI$43="Media",'Mapa final'!$AK$43="Mayor"),CONCATENATE("R8C",'Mapa final'!$Y$43),"")</f>
        <v/>
      </c>
      <c r="AE33" s="50" t="str">
        <f>IF(AND('Mapa final'!$AI$44="Media",'Mapa final'!$AK$44="Mayor"),CONCATENATE("R8C",'Mapa final'!$Y$44),"")</f>
        <v/>
      </c>
      <c r="AF33" s="50" t="str">
        <f>IF(AND('Mapa final'!$AI$45="Media",'Mapa final'!$AK$45="Mayor"),CONCATENATE("R8C",'Mapa final'!$Y$45),"")</f>
        <v/>
      </c>
      <c r="AG33" s="51" t="str">
        <f>IF(AND('Mapa final'!$AI$46="Media",'Mapa final'!$AK$46="Mayor"),CONCATENATE("R8C",'Mapa final'!$Y$46),"")</f>
        <v/>
      </c>
      <c r="AH33" s="52" t="str">
        <f>IF(AND('Mapa final'!$AI$41="Media",'Mapa final'!$AK$41="Catastrófico"),CONCATENATE("R8C",'Mapa final'!$Y$41),"")</f>
        <v/>
      </c>
      <c r="AI33" s="53" t="str">
        <f>IF(AND('Mapa final'!$AI$42="Media",'Mapa final'!$AK$42="Catastrófico"),CONCATENATE("R8C",'Mapa final'!$Y$42),"")</f>
        <v/>
      </c>
      <c r="AJ33" s="53" t="str">
        <f>IF(AND('Mapa final'!$AI$43="Media",'Mapa final'!$AK$43="Catastrófico"),CONCATENATE("R8C",'Mapa final'!$Y$43),"")</f>
        <v/>
      </c>
      <c r="AK33" s="53" t="str">
        <f>IF(AND('Mapa final'!$AI$44="Media",'Mapa final'!$AK$44="Catastrófico"),CONCATENATE("R8C",'Mapa final'!$Y$44),"")</f>
        <v/>
      </c>
      <c r="AL33" s="53" t="str">
        <f>IF(AND('Mapa final'!$AI$45="Media",'Mapa final'!$AK$45="Catastrófico"),CONCATENATE("R8C",'Mapa final'!$Y$45),"")</f>
        <v/>
      </c>
      <c r="AM33" s="54" t="str">
        <f>IF(AND('Mapa final'!$AI$46="Media",'Mapa final'!$AK$46="Catastrófico"),CONCATENATE("R8C",'Mapa final'!$Y$46),"")</f>
        <v/>
      </c>
      <c r="AN33" s="80"/>
      <c r="AO33" s="470"/>
      <c r="AP33" s="471"/>
      <c r="AQ33" s="471"/>
      <c r="AR33" s="471"/>
      <c r="AS33" s="471"/>
      <c r="AT33" s="472"/>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342"/>
      <c r="C34" s="342"/>
      <c r="D34" s="343"/>
      <c r="E34" s="441"/>
      <c r="F34" s="440"/>
      <c r="G34" s="440"/>
      <c r="H34" s="440"/>
      <c r="I34" s="456"/>
      <c r="J34" s="64" t="str">
        <f>IF(AND('Mapa final'!$AI$47="Media",'Mapa final'!$AK$47="Leve"),CONCATENATE("R9C",'Mapa final'!$Y$47),"")</f>
        <v/>
      </c>
      <c r="K34" s="65" t="str">
        <f>IF(AND('Mapa final'!$AI$48="Media",'Mapa final'!$AK$48="Leve"),CONCATENATE("R9C",'Mapa final'!$Y$48),"")</f>
        <v/>
      </c>
      <c r="L34" s="65" t="str">
        <f>IF(AND('Mapa final'!$AI$49="Media",'Mapa final'!$AK$49="Leve"),CONCATENATE("R9C",'Mapa final'!$Y$49),"")</f>
        <v/>
      </c>
      <c r="M34" s="65" t="str">
        <f>IF(AND('Mapa final'!$AI$50="Media",'Mapa final'!$AK$50="Leve"),CONCATENATE("R9C",'Mapa final'!$Y$50),"")</f>
        <v/>
      </c>
      <c r="N34" s="65" t="str">
        <f>IF(AND('Mapa final'!$AI$51="Media",'Mapa final'!$AK$51="Leve"),CONCATENATE("R9C",'Mapa final'!$Y$51),"")</f>
        <v/>
      </c>
      <c r="O34" s="66" t="str">
        <f>IF(AND('Mapa final'!$AI$52="Media",'Mapa final'!$AK$52="Leve"),CONCATENATE("R9C",'Mapa final'!$Y$52),"")</f>
        <v/>
      </c>
      <c r="P34" s="64" t="str">
        <f>IF(AND('Mapa final'!$AI$47="Media",'Mapa final'!$AK$47="Menor"),CONCATENATE("R9C",'Mapa final'!$Y$47),"")</f>
        <v/>
      </c>
      <c r="Q34" s="65" t="str">
        <f>IF(AND('Mapa final'!$AI$48="Media",'Mapa final'!$AK$48="Menor"),CONCATENATE("R9C",'Mapa final'!$Y$48),"")</f>
        <v/>
      </c>
      <c r="R34" s="65" t="str">
        <f>IF(AND('Mapa final'!$AI$49="Media",'Mapa final'!$AK$49="Menor"),CONCATENATE("R9C",'Mapa final'!$Y$49),"")</f>
        <v/>
      </c>
      <c r="S34" s="65" t="str">
        <f>IF(AND('Mapa final'!$AI$50="Media",'Mapa final'!$AK$50="Menor"),CONCATENATE("R9C",'Mapa final'!$Y$50),"")</f>
        <v/>
      </c>
      <c r="T34" s="65" t="str">
        <f>IF(AND('Mapa final'!$AI$51="Media",'Mapa final'!$AK$51="Menor"),CONCATENATE("R9C",'Mapa final'!$Y$51),"")</f>
        <v/>
      </c>
      <c r="U34" s="66" t="str">
        <f>IF(AND('Mapa final'!$AI$52="Media",'Mapa final'!$AK$52="Menor"),CONCATENATE("R9C",'Mapa final'!$Y$52),"")</f>
        <v/>
      </c>
      <c r="V34" s="64" t="str">
        <f>IF(AND('Mapa final'!$AI$47="Media",'Mapa final'!$AK$47="Moderado"),CONCATENATE("R9C",'Mapa final'!$Y$47),"")</f>
        <v/>
      </c>
      <c r="W34" s="65" t="str">
        <f>IF(AND('Mapa final'!$AI$48="Media",'Mapa final'!$AK$48="Moderado"),CONCATENATE("R9C",'Mapa final'!$Y$48),"")</f>
        <v/>
      </c>
      <c r="X34" s="65" t="str">
        <f>IF(AND('Mapa final'!$AI$49="Media",'Mapa final'!$AK$49="Moderado"),CONCATENATE("R9C",'Mapa final'!$Y$49),"")</f>
        <v/>
      </c>
      <c r="Y34" s="65" t="str">
        <f>IF(AND('Mapa final'!$AI$50="Media",'Mapa final'!$AK$50="Moderado"),CONCATENATE("R9C",'Mapa final'!$Y$50),"")</f>
        <v/>
      </c>
      <c r="Z34" s="65" t="str">
        <f>IF(AND('Mapa final'!$AI$51="Media",'Mapa final'!$AK$51="Moderado"),CONCATENATE("R9C",'Mapa final'!$Y$51),"")</f>
        <v/>
      </c>
      <c r="AA34" s="66" t="str">
        <f>IF(AND('Mapa final'!$AI$52="Media",'Mapa final'!$AK$52="Moderado"),CONCATENATE("R9C",'Mapa final'!$Y$52),"")</f>
        <v/>
      </c>
      <c r="AB34" s="49" t="str">
        <f>IF(AND('Mapa final'!$AI$47="Media",'Mapa final'!$AK$47="Mayor"),CONCATENATE("R9C",'Mapa final'!$Y$47),"")</f>
        <v/>
      </c>
      <c r="AC34" s="50" t="str">
        <f>IF(AND('Mapa final'!$AI$48="Media",'Mapa final'!$AK$48="Mayor"),CONCATENATE("R9C",'Mapa final'!$Y$48),"")</f>
        <v/>
      </c>
      <c r="AD34" s="50" t="str">
        <f>IF(AND('Mapa final'!$AI$49="Media",'Mapa final'!$AK$49="Mayor"),CONCATENATE("R9C",'Mapa final'!$Y$49),"")</f>
        <v/>
      </c>
      <c r="AE34" s="50" t="str">
        <f>IF(AND('Mapa final'!$AI$50="Media",'Mapa final'!$AK$50="Mayor"),CONCATENATE("R9C",'Mapa final'!$Y$50),"")</f>
        <v/>
      </c>
      <c r="AF34" s="50" t="str">
        <f>IF(AND('Mapa final'!$AI$51="Media",'Mapa final'!$AK$51="Mayor"),CONCATENATE("R9C",'Mapa final'!$Y$51),"")</f>
        <v/>
      </c>
      <c r="AG34" s="51" t="str">
        <f>IF(AND('Mapa final'!$AI$52="Media",'Mapa final'!$AK$52="Mayor"),CONCATENATE("R9C",'Mapa final'!$Y$52),"")</f>
        <v/>
      </c>
      <c r="AH34" s="52" t="str">
        <f>IF(AND('Mapa final'!$AI$47="Media",'Mapa final'!$AK$47="Catastrófico"),CONCATENATE("R9C",'Mapa final'!$Y$47),"")</f>
        <v/>
      </c>
      <c r="AI34" s="53" t="str">
        <f>IF(AND('Mapa final'!$AI$48="Media",'Mapa final'!$AK$48="Catastrófico"),CONCATENATE("R9C",'Mapa final'!$Y$48),"")</f>
        <v/>
      </c>
      <c r="AJ34" s="53" t="str">
        <f>IF(AND('Mapa final'!$AI$49="Media",'Mapa final'!$AK$49="Catastrófico"),CONCATENATE("R9C",'Mapa final'!$Y$49),"")</f>
        <v/>
      </c>
      <c r="AK34" s="53" t="str">
        <f>IF(AND('Mapa final'!$AI$50="Media",'Mapa final'!$AK$50="Catastrófico"),CONCATENATE("R9C",'Mapa final'!$Y$50),"")</f>
        <v/>
      </c>
      <c r="AL34" s="53" t="str">
        <f>IF(AND('Mapa final'!$AI$51="Media",'Mapa final'!$AK$51="Catastrófico"),CONCATENATE("R9C",'Mapa final'!$Y$51),"")</f>
        <v/>
      </c>
      <c r="AM34" s="54" t="str">
        <f>IF(AND('Mapa final'!$AI$52="Media",'Mapa final'!$AK$52="Catastrófico"),CONCATENATE("R9C",'Mapa final'!$Y$52),"")</f>
        <v/>
      </c>
      <c r="AN34" s="80"/>
      <c r="AO34" s="470"/>
      <c r="AP34" s="471"/>
      <c r="AQ34" s="471"/>
      <c r="AR34" s="471"/>
      <c r="AS34" s="471"/>
      <c r="AT34" s="472"/>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342"/>
      <c r="C35" s="342"/>
      <c r="D35" s="343"/>
      <c r="E35" s="442"/>
      <c r="F35" s="443"/>
      <c r="G35" s="443"/>
      <c r="H35" s="443"/>
      <c r="I35" s="457"/>
      <c r="J35" s="64" t="str">
        <f>IF(AND('Mapa final'!$AI$53="Media",'Mapa final'!$AK$53="Leve"),CONCATENATE("R10C",'Mapa final'!$Y$53),"")</f>
        <v/>
      </c>
      <c r="K35" s="65" t="str">
        <f>IF(AND('Mapa final'!$AI$54="Media",'Mapa final'!$AK$54="Leve"),CONCATENATE("R10C",'Mapa final'!$Y$54),"")</f>
        <v/>
      </c>
      <c r="L35" s="65" t="str">
        <f>IF(AND('Mapa final'!$AI$55="Media",'Mapa final'!$AK$55="Leve"),CONCATENATE("R10C",'Mapa final'!$Y$55),"")</f>
        <v/>
      </c>
      <c r="M35" s="65" t="str">
        <f>IF(AND('Mapa final'!$AI$56="Media",'Mapa final'!$AK$56="Leve"),CONCATENATE("R10C",'Mapa final'!$Y$56),"")</f>
        <v/>
      </c>
      <c r="N35" s="65" t="str">
        <f>IF(AND('Mapa final'!$AI$57="Media",'Mapa final'!$AK$57="Leve"),CONCATENATE("R10C",'Mapa final'!$Y$57),"")</f>
        <v/>
      </c>
      <c r="O35" s="66" t="str">
        <f>IF(AND('Mapa final'!$AI$58="Media",'Mapa final'!$AK$58="Leve"),CONCATENATE("R10C",'Mapa final'!$Y$58),"")</f>
        <v/>
      </c>
      <c r="P35" s="64" t="str">
        <f>IF(AND('Mapa final'!$AI$53="Media",'Mapa final'!$AK$53="Menor"),CONCATENATE("R10C",'Mapa final'!$Y$53),"")</f>
        <v/>
      </c>
      <c r="Q35" s="65" t="str">
        <f>IF(AND('Mapa final'!$AI$54="Media",'Mapa final'!$AK$54="Menor"),CONCATENATE("R10C",'Mapa final'!$Y$54),"")</f>
        <v/>
      </c>
      <c r="R35" s="65" t="str">
        <f>IF(AND('Mapa final'!$AI$55="Media",'Mapa final'!$AK$55="Menor"),CONCATENATE("R10C",'Mapa final'!$Y$55),"")</f>
        <v/>
      </c>
      <c r="S35" s="65" t="str">
        <f>IF(AND('Mapa final'!$AI$56="Media",'Mapa final'!$AK$56="Menor"),CONCATENATE("R10C",'Mapa final'!$Y$56),"")</f>
        <v/>
      </c>
      <c r="T35" s="65" t="str">
        <f>IF(AND('Mapa final'!$AI$57="Media",'Mapa final'!$AK$57="Menor"),CONCATENATE("R10C",'Mapa final'!$Y$57),"")</f>
        <v/>
      </c>
      <c r="U35" s="66" t="str">
        <f>IF(AND('Mapa final'!$AI$58="Media",'Mapa final'!$AK$58="Menor"),CONCATENATE("R10C",'Mapa final'!$Y$58),"")</f>
        <v/>
      </c>
      <c r="V35" s="64" t="str">
        <f>IF(AND('Mapa final'!$AI$53="Media",'Mapa final'!$AK$53="Moderado"),CONCATENATE("R10C",'Mapa final'!$Y$53),"")</f>
        <v/>
      </c>
      <c r="W35" s="65" t="str">
        <f>IF(AND('Mapa final'!$AI$54="Media",'Mapa final'!$AK$54="Moderado"),CONCATENATE("R10C",'Mapa final'!$Y$54),"")</f>
        <v/>
      </c>
      <c r="X35" s="65" t="str">
        <f>IF(AND('Mapa final'!$AI$55="Media",'Mapa final'!$AK$55="Moderado"),CONCATENATE("R10C",'Mapa final'!$Y$55),"")</f>
        <v/>
      </c>
      <c r="Y35" s="65" t="str">
        <f>IF(AND('Mapa final'!$AI$56="Media",'Mapa final'!$AK$56="Moderado"),CONCATENATE("R10C",'Mapa final'!$Y$56),"")</f>
        <v/>
      </c>
      <c r="Z35" s="65" t="str">
        <f>IF(AND('Mapa final'!$AI$57="Media",'Mapa final'!$AK$57="Moderado"),CONCATENATE("R10C",'Mapa final'!$Y$57),"")</f>
        <v/>
      </c>
      <c r="AA35" s="66" t="str">
        <f>IF(AND('Mapa final'!$AI$58="Media",'Mapa final'!$AK$58="Moderado"),CONCATENATE("R10C",'Mapa final'!$Y$58),"")</f>
        <v/>
      </c>
      <c r="AB35" s="55" t="str">
        <f>IF(AND('Mapa final'!$AI$53="Media",'Mapa final'!$AK$53="Mayor"),CONCATENATE("R10C",'Mapa final'!$Y$53),"")</f>
        <v/>
      </c>
      <c r="AC35" s="56" t="str">
        <f>IF(AND('Mapa final'!$AI$54="Media",'Mapa final'!$AK$54="Mayor"),CONCATENATE("R10C",'Mapa final'!$Y$54),"")</f>
        <v/>
      </c>
      <c r="AD35" s="56" t="str">
        <f>IF(AND('Mapa final'!$AI$55="Media",'Mapa final'!$AK$55="Mayor"),CONCATENATE("R10C",'Mapa final'!$Y$55),"")</f>
        <v/>
      </c>
      <c r="AE35" s="56" t="str">
        <f>IF(AND('Mapa final'!$AI$56="Media",'Mapa final'!$AK$56="Mayor"),CONCATENATE("R10C",'Mapa final'!$Y$56),"")</f>
        <v/>
      </c>
      <c r="AF35" s="56" t="str">
        <f>IF(AND('Mapa final'!$AI$57="Media",'Mapa final'!$AK$57="Mayor"),CONCATENATE("R10C",'Mapa final'!$Y$57),"")</f>
        <v/>
      </c>
      <c r="AG35" s="57" t="str">
        <f>IF(AND('Mapa final'!$AI$58="Media",'Mapa final'!$AK$58="Mayor"),CONCATENATE("R10C",'Mapa final'!$Y$58),"")</f>
        <v/>
      </c>
      <c r="AH35" s="58" t="str">
        <f>IF(AND('Mapa final'!$AI$53="Media",'Mapa final'!$AK$53="Catastrófico"),CONCATENATE("R10C",'Mapa final'!$Y$53),"")</f>
        <v/>
      </c>
      <c r="AI35" s="59" t="str">
        <f>IF(AND('Mapa final'!$AI$54="Media",'Mapa final'!$AK$54="Catastrófico"),CONCATENATE("R10C",'Mapa final'!$Y$54),"")</f>
        <v/>
      </c>
      <c r="AJ35" s="59" t="str">
        <f>IF(AND('Mapa final'!$AI$55="Media",'Mapa final'!$AK$55="Catastrófico"),CONCATENATE("R10C",'Mapa final'!$Y$55),"")</f>
        <v/>
      </c>
      <c r="AK35" s="59" t="str">
        <f>IF(AND('Mapa final'!$AI$56="Media",'Mapa final'!$AK$56="Catastrófico"),CONCATENATE("R10C",'Mapa final'!$Y$56),"")</f>
        <v/>
      </c>
      <c r="AL35" s="59" t="str">
        <f>IF(AND('Mapa final'!$AI$57="Media",'Mapa final'!$AK$57="Catastrófico"),CONCATENATE("R10C",'Mapa final'!$Y$57),"")</f>
        <v/>
      </c>
      <c r="AM35" s="60" t="str">
        <f>IF(AND('Mapa final'!$AI$58="Media",'Mapa final'!$AK$58="Catastrófico"),CONCATENATE("R10C",'Mapa final'!$Y$58),"")</f>
        <v/>
      </c>
      <c r="AN35" s="80"/>
      <c r="AO35" s="473"/>
      <c r="AP35" s="474"/>
      <c r="AQ35" s="474"/>
      <c r="AR35" s="474"/>
      <c r="AS35" s="474"/>
      <c r="AT35" s="475"/>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342"/>
      <c r="C36" s="342"/>
      <c r="D36" s="343"/>
      <c r="E36" s="437" t="s">
        <v>174</v>
      </c>
      <c r="F36" s="438"/>
      <c r="G36" s="438"/>
      <c r="H36" s="438"/>
      <c r="I36" s="438"/>
      <c r="J36" s="70" t="str">
        <f>IF(AND('Mapa final'!$AI$11="Baja",'Mapa final'!$AK$11="Leve"),CONCATENATE("R1C",'Mapa final'!$Y$11),"")</f>
        <v/>
      </c>
      <c r="K36" s="71" t="str">
        <f>IF(AND('Mapa final'!$AI$12="Baja",'Mapa final'!$AK$12="Leve"),CONCATENATE("R1C",'Mapa final'!$Y$12),"")</f>
        <v/>
      </c>
      <c r="L36" s="71" t="str">
        <f>IF(AND('Mapa final'!$AI$13="Baja",'Mapa final'!$AK$13="Leve"),CONCATENATE("R1C",'Mapa final'!$Y$13),"")</f>
        <v/>
      </c>
      <c r="M36" s="71" t="e">
        <f>IF(AND('Mapa final'!#REF!="Baja",'Mapa final'!#REF!="Leve"),CONCATENATE("R1C",'Mapa final'!#REF!),"")</f>
        <v>#REF!</v>
      </c>
      <c r="N36" s="71" t="e">
        <f>IF(AND('Mapa final'!#REF!="Baja",'Mapa final'!#REF!="Leve"),CONCATENATE("R1C",'Mapa final'!#REF!),"")</f>
        <v>#REF!</v>
      </c>
      <c r="O36" s="72" t="e">
        <f>IF(AND('Mapa final'!#REF!="Baja",'Mapa final'!#REF!="Leve"),CONCATENATE("R1C",'Mapa final'!#REF!),"")</f>
        <v>#REF!</v>
      </c>
      <c r="P36" s="61" t="str">
        <f>IF(AND('Mapa final'!$AI$11="Baja",'Mapa final'!$AK$11="Menor"),CONCATENATE("R1C",'Mapa final'!$Y$11),"")</f>
        <v/>
      </c>
      <c r="Q36" s="62" t="str">
        <f>IF(AND('Mapa final'!$AI$12="Baja",'Mapa final'!$AK$12="Menor"),CONCATENATE("R1C",'Mapa final'!$Y$12),"")</f>
        <v/>
      </c>
      <c r="R36" s="62" t="str">
        <f>IF(AND('Mapa final'!$AI$13="Baja",'Mapa final'!$AK$13="Menor"),CONCATENATE("R1C",'Mapa final'!$Y$13),"")</f>
        <v/>
      </c>
      <c r="S36" s="62" t="e">
        <f>IF(AND('Mapa final'!#REF!="Baja",'Mapa final'!#REF!="Menor"),CONCATENATE("R1C",'Mapa final'!#REF!),"")</f>
        <v>#REF!</v>
      </c>
      <c r="T36" s="62" t="e">
        <f>IF(AND('Mapa final'!#REF!="Baja",'Mapa final'!#REF!="Menor"),CONCATENATE("R1C",'Mapa final'!#REF!),"")</f>
        <v>#REF!</v>
      </c>
      <c r="U36" s="63" t="e">
        <f>IF(AND('Mapa final'!#REF!="Baja",'Mapa final'!#REF!="Menor"),CONCATENATE("R1C",'Mapa final'!#REF!),"")</f>
        <v>#REF!</v>
      </c>
      <c r="V36" s="61" t="str">
        <f>IF(AND('Mapa final'!$AI$11="Baja",'Mapa final'!$AK$11="Moderado"),CONCATENATE("R1C",'Mapa final'!$Y$11),"")</f>
        <v>R1C1</v>
      </c>
      <c r="W36" s="62" t="str">
        <f>IF(AND('Mapa final'!$AI$12="Baja",'Mapa final'!$AK$12="Moderado"),CONCATENATE("R1C",'Mapa final'!$Y$12),"")</f>
        <v/>
      </c>
      <c r="X36" s="62" t="str">
        <f>IF(AND('Mapa final'!$AI$13="Baja",'Mapa final'!$AK$13="Moderado"),CONCATENATE("R1C",'Mapa final'!$Y$13),"")</f>
        <v/>
      </c>
      <c r="Y36" s="62" t="e">
        <f>IF(AND('Mapa final'!#REF!="Baja",'Mapa final'!#REF!="Moderado"),CONCATENATE("R1C",'Mapa final'!#REF!),"")</f>
        <v>#REF!</v>
      </c>
      <c r="Z36" s="62" t="e">
        <f>IF(AND('Mapa final'!#REF!="Baja",'Mapa final'!#REF!="Moderado"),CONCATENATE("R1C",'Mapa final'!#REF!),"")</f>
        <v>#REF!</v>
      </c>
      <c r="AA36" s="63" t="e">
        <f>IF(AND('Mapa final'!#REF!="Baja",'Mapa final'!#REF!="Moderado"),CONCATENATE("R1C",'Mapa final'!#REF!),"")</f>
        <v>#REF!</v>
      </c>
      <c r="AB36" s="43" t="str">
        <f>IF(AND('Mapa final'!$AI$11="Baja",'Mapa final'!$AK$11="Mayor"),CONCATENATE("R1C",'Mapa final'!$Y$11),"")</f>
        <v/>
      </c>
      <c r="AC36" s="44" t="str">
        <f>IF(AND('Mapa final'!$AI$12="Baja",'Mapa final'!$AK$12="Mayor"),CONCATENATE("R1C",'Mapa final'!$Y$12),"")</f>
        <v/>
      </c>
      <c r="AD36" s="44" t="str">
        <f>IF(AND('Mapa final'!$AI$13="Baja",'Mapa final'!$AK$13="Mayor"),CONCATENATE("R1C",'Mapa final'!$Y$13),"")</f>
        <v/>
      </c>
      <c r="AE36" s="44" t="e">
        <f>IF(AND('Mapa final'!#REF!="Baja",'Mapa final'!#REF!="Mayor"),CONCATENATE("R1C",'Mapa final'!#REF!),"")</f>
        <v>#REF!</v>
      </c>
      <c r="AF36" s="44" t="e">
        <f>IF(AND('Mapa final'!#REF!="Baja",'Mapa final'!#REF!="Mayor"),CONCATENATE("R1C",'Mapa final'!#REF!),"")</f>
        <v>#REF!</v>
      </c>
      <c r="AG36" s="45" t="e">
        <f>IF(AND('Mapa final'!#REF!="Baja",'Mapa final'!#REF!="Mayor"),CONCATENATE("R1C",'Mapa final'!#REF!),"")</f>
        <v>#REF!</v>
      </c>
      <c r="AH36" s="46" t="str">
        <f>IF(AND('Mapa final'!$AI$11="Baja",'Mapa final'!$AK$11="Catastrófico"),CONCATENATE("R1C",'Mapa final'!$Y$11),"")</f>
        <v/>
      </c>
      <c r="AI36" s="47" t="str">
        <f>IF(AND('Mapa final'!$AI$12="Baja",'Mapa final'!$AK$12="Catastrófico"),CONCATENATE("R1C",'Mapa final'!$Y$12),"")</f>
        <v/>
      </c>
      <c r="AJ36" s="47" t="str">
        <f>IF(AND('Mapa final'!$AI$13="Baja",'Mapa final'!$AK$13="Catastrófico"),CONCATENATE("R1C",'Mapa final'!$Y$13),"")</f>
        <v/>
      </c>
      <c r="AK36" s="47" t="e">
        <f>IF(AND('Mapa final'!#REF!="Baja",'Mapa final'!#REF!="Catastrófico"),CONCATENATE("R1C",'Mapa final'!#REF!),"")</f>
        <v>#REF!</v>
      </c>
      <c r="AL36" s="47" t="e">
        <f>IF(AND('Mapa final'!#REF!="Baja",'Mapa final'!#REF!="Catastrófico"),CONCATENATE("R1C",'Mapa final'!#REF!),"")</f>
        <v>#REF!</v>
      </c>
      <c r="AM36" s="48" t="e">
        <f>IF(AND('Mapa final'!#REF!="Baja",'Mapa final'!#REF!="Catastrófico"),CONCATENATE("R1C",'Mapa final'!#REF!),"")</f>
        <v>#REF!</v>
      </c>
      <c r="AN36" s="80"/>
      <c r="AO36" s="458" t="s">
        <v>175</v>
      </c>
      <c r="AP36" s="459"/>
      <c r="AQ36" s="459"/>
      <c r="AR36" s="459"/>
      <c r="AS36" s="459"/>
      <c r="AT36" s="46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342"/>
      <c r="C37" s="342"/>
      <c r="D37" s="343"/>
      <c r="E37" s="439"/>
      <c r="F37" s="440"/>
      <c r="G37" s="440"/>
      <c r="H37" s="440"/>
      <c r="I37" s="440"/>
      <c r="J37" s="73" t="str">
        <f>IF(AND('Mapa final'!$AI$14="Baja",'Mapa final'!$AK$14="Leve"),CONCATENATE("R2C",'Mapa final'!$Y$14),"")</f>
        <v/>
      </c>
      <c r="K37" s="74" t="str">
        <f>IF(AND('Mapa final'!$AI$15="Baja",'Mapa final'!$AK$15="Leve"),CONCATENATE("R2C",'Mapa final'!$Y$15),"")</f>
        <v/>
      </c>
      <c r="L37" s="74" t="str">
        <f>IF(AND('Mapa final'!$AI$16="Baja",'Mapa final'!$AK$16="Leve"),CONCATENATE("R2C",'Mapa final'!$Y$16),"")</f>
        <v/>
      </c>
      <c r="M37" s="74" t="e">
        <f>IF(AND('Mapa final'!#REF!="Baja",'Mapa final'!#REF!="Leve"),CONCATENATE("R2C",'Mapa final'!#REF!),"")</f>
        <v>#REF!</v>
      </c>
      <c r="N37" s="74" t="e">
        <f>IF(AND('Mapa final'!#REF!="Baja",'Mapa final'!#REF!="Leve"),CONCATENATE("R2C",'Mapa final'!#REF!),"")</f>
        <v>#REF!</v>
      </c>
      <c r="O37" s="75" t="e">
        <f>IF(AND('Mapa final'!#REF!="Baja",'Mapa final'!#REF!="Leve"),CONCATENATE("R2C",'Mapa final'!#REF!),"")</f>
        <v>#REF!</v>
      </c>
      <c r="P37" s="64" t="str">
        <f>IF(AND('Mapa final'!$AI$14="Baja",'Mapa final'!$AK$14="Menor"),CONCATENATE("R2C",'Mapa final'!$Y$14),"")</f>
        <v/>
      </c>
      <c r="Q37" s="65" t="str">
        <f>IF(AND('Mapa final'!$AI$15="Baja",'Mapa final'!$AK$15="Menor"),CONCATENATE("R2C",'Mapa final'!$Y$15),"")</f>
        <v/>
      </c>
      <c r="R37" s="65" t="str">
        <f>IF(AND('Mapa final'!$AI$16="Baja",'Mapa final'!$AK$16="Menor"),CONCATENATE("R2C",'Mapa final'!$Y$16),"")</f>
        <v/>
      </c>
      <c r="S37" s="65" t="e">
        <f>IF(AND('Mapa final'!#REF!="Baja",'Mapa final'!#REF!="Menor"),CONCATENATE("R2C",'Mapa final'!#REF!),"")</f>
        <v>#REF!</v>
      </c>
      <c r="T37" s="65" t="e">
        <f>IF(AND('Mapa final'!#REF!="Baja",'Mapa final'!#REF!="Menor"),CONCATENATE("R2C",'Mapa final'!#REF!),"")</f>
        <v>#REF!</v>
      </c>
      <c r="U37" s="66" t="e">
        <f>IF(AND('Mapa final'!#REF!="Baja",'Mapa final'!#REF!="Menor"),CONCATENATE("R2C",'Mapa final'!#REF!),"")</f>
        <v>#REF!</v>
      </c>
      <c r="V37" s="64" t="str">
        <f>IF(AND('Mapa final'!$AI$14="Baja",'Mapa final'!$AK$14="Moderado"),CONCATENATE("R2C",'Mapa final'!$Y$14),"")</f>
        <v/>
      </c>
      <c r="W37" s="65" t="str">
        <f>IF(AND('Mapa final'!$AI$15="Baja",'Mapa final'!$AK$15="Moderado"),CONCATENATE("R2C",'Mapa final'!$Y$15),"")</f>
        <v/>
      </c>
      <c r="X37" s="65" t="str">
        <f>IF(AND('Mapa final'!$AI$16="Baja",'Mapa final'!$AK$16="Moderado"),CONCATENATE("R2C",'Mapa final'!$Y$16),"")</f>
        <v/>
      </c>
      <c r="Y37" s="65" t="e">
        <f>IF(AND('Mapa final'!#REF!="Baja",'Mapa final'!#REF!="Moderado"),CONCATENATE("R2C",'Mapa final'!#REF!),"")</f>
        <v>#REF!</v>
      </c>
      <c r="Z37" s="65" t="e">
        <f>IF(AND('Mapa final'!#REF!="Baja",'Mapa final'!#REF!="Moderado"),CONCATENATE("R2C",'Mapa final'!#REF!),"")</f>
        <v>#REF!</v>
      </c>
      <c r="AA37" s="66" t="e">
        <f>IF(AND('Mapa final'!#REF!="Baja",'Mapa final'!#REF!="Moderado"),CONCATENATE("R2C",'Mapa final'!#REF!),"")</f>
        <v>#REF!</v>
      </c>
      <c r="AB37" s="49" t="str">
        <f>IF(AND('Mapa final'!$AI$14="Baja",'Mapa final'!$AK$14="Mayor"),CONCATENATE("R2C",'Mapa final'!$Y$14),"")</f>
        <v/>
      </c>
      <c r="AC37" s="50" t="str">
        <f>IF(AND('Mapa final'!$AI$15="Baja",'Mapa final'!$AK$15="Mayor"),CONCATENATE("R2C",'Mapa final'!$Y$15),"")</f>
        <v/>
      </c>
      <c r="AD37" s="50" t="str">
        <f>IF(AND('Mapa final'!$AI$16="Baja",'Mapa final'!$AK$16="Mayor"),CONCATENATE("R2C",'Mapa final'!$Y$16),"")</f>
        <v/>
      </c>
      <c r="AE37" s="50" t="e">
        <f>IF(AND('Mapa final'!#REF!="Baja",'Mapa final'!#REF!="Mayor"),CONCATENATE("R2C",'Mapa final'!#REF!),"")</f>
        <v>#REF!</v>
      </c>
      <c r="AF37" s="50" t="e">
        <f>IF(AND('Mapa final'!#REF!="Baja",'Mapa final'!#REF!="Mayor"),CONCATENATE("R2C",'Mapa final'!#REF!),"")</f>
        <v>#REF!</v>
      </c>
      <c r="AG37" s="51" t="e">
        <f>IF(AND('Mapa final'!#REF!="Baja",'Mapa final'!#REF!="Mayor"),CONCATENATE("R2C",'Mapa final'!#REF!),"")</f>
        <v>#REF!</v>
      </c>
      <c r="AH37" s="52" t="str">
        <f>IF(AND('Mapa final'!$AI$14="Baja",'Mapa final'!$AK$14="Catastrófico"),CONCATENATE("R2C",'Mapa final'!$Y$14),"")</f>
        <v/>
      </c>
      <c r="AI37" s="53" t="str">
        <f>IF(AND('Mapa final'!$AI$15="Baja",'Mapa final'!$AK$15="Catastrófico"),CONCATENATE("R2C",'Mapa final'!$Y$15),"")</f>
        <v/>
      </c>
      <c r="AJ37" s="53" t="str">
        <f>IF(AND('Mapa final'!$AI$16="Baja",'Mapa final'!$AK$16="Catastrófico"),CONCATENATE("R2C",'Mapa final'!$Y$16),"")</f>
        <v/>
      </c>
      <c r="AK37" s="53" t="e">
        <f>IF(AND('Mapa final'!#REF!="Baja",'Mapa final'!#REF!="Catastrófico"),CONCATENATE("R2C",'Mapa final'!#REF!),"")</f>
        <v>#REF!</v>
      </c>
      <c r="AL37" s="53" t="e">
        <f>IF(AND('Mapa final'!#REF!="Baja",'Mapa final'!#REF!="Catastrófico"),CONCATENATE("R2C",'Mapa final'!#REF!),"")</f>
        <v>#REF!</v>
      </c>
      <c r="AM37" s="54" t="e">
        <f>IF(AND('Mapa final'!#REF!="Baja",'Mapa final'!#REF!="Catastrófico"),CONCATENATE("R2C",'Mapa final'!#REF!),"")</f>
        <v>#REF!</v>
      </c>
      <c r="AN37" s="80"/>
      <c r="AO37" s="461"/>
      <c r="AP37" s="462"/>
      <c r="AQ37" s="462"/>
      <c r="AR37" s="462"/>
      <c r="AS37" s="462"/>
      <c r="AT37" s="463"/>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342"/>
      <c r="C38" s="342"/>
      <c r="D38" s="343"/>
      <c r="E38" s="441"/>
      <c r="F38" s="440"/>
      <c r="G38" s="440"/>
      <c r="H38" s="440"/>
      <c r="I38" s="440"/>
      <c r="J38" s="73" t="str">
        <f>IF(AND('Mapa final'!$AI$17="Baja",'Mapa final'!$AK$17="Leve"),CONCATENATE("R3C",'Mapa final'!$Y$17),"")</f>
        <v/>
      </c>
      <c r="K38" s="74" t="str">
        <f>IF(AND('Mapa final'!$AI$18="Baja",'Mapa final'!$AK$18="Leve"),CONCATENATE("R3C",'Mapa final'!$Y$18),"")</f>
        <v/>
      </c>
      <c r="L38" s="74" t="str">
        <f>IF(AND('Mapa final'!$AI$19="Baja",'Mapa final'!$AK$19="Leve"),CONCATENATE("R3C",'Mapa final'!$Y$19),"")</f>
        <v/>
      </c>
      <c r="M38" s="74" t="e">
        <f>IF(AND('Mapa final'!#REF!="Baja",'Mapa final'!#REF!="Leve"),CONCATENATE("R3C",'Mapa final'!#REF!),"")</f>
        <v>#REF!</v>
      </c>
      <c r="N38" s="74" t="e">
        <f>IF(AND('Mapa final'!#REF!="Baja",'Mapa final'!#REF!="Leve"),CONCATENATE("R3C",'Mapa final'!#REF!),"")</f>
        <v>#REF!</v>
      </c>
      <c r="O38" s="75" t="e">
        <f>IF(AND('Mapa final'!#REF!="Baja",'Mapa final'!#REF!="Leve"),CONCATENATE("R3C",'Mapa final'!#REF!),"")</f>
        <v>#REF!</v>
      </c>
      <c r="P38" s="64" t="str">
        <f>IF(AND('Mapa final'!$AI$17="Baja",'Mapa final'!$AK$17="Menor"),CONCATENATE("R3C",'Mapa final'!$Y$17),"")</f>
        <v>R3C1</v>
      </c>
      <c r="Q38" s="65" t="str">
        <f>IF(AND('Mapa final'!$AI$18="Baja",'Mapa final'!$AK$18="Menor"),CONCATENATE("R3C",'Mapa final'!$Y$18),"")</f>
        <v>R3C2</v>
      </c>
      <c r="R38" s="65" t="str">
        <f>IF(AND('Mapa final'!$AI$19="Baja",'Mapa final'!$AK$19="Menor"),CONCATENATE("R3C",'Mapa final'!$Y$19),"")</f>
        <v/>
      </c>
      <c r="S38" s="65" t="e">
        <f>IF(AND('Mapa final'!#REF!="Baja",'Mapa final'!#REF!="Menor"),CONCATENATE("R3C",'Mapa final'!#REF!),"")</f>
        <v>#REF!</v>
      </c>
      <c r="T38" s="65" t="e">
        <f>IF(AND('Mapa final'!#REF!="Baja",'Mapa final'!#REF!="Menor"),CONCATENATE("R3C",'Mapa final'!#REF!),"")</f>
        <v>#REF!</v>
      </c>
      <c r="U38" s="66" t="e">
        <f>IF(AND('Mapa final'!#REF!="Baja",'Mapa final'!#REF!="Menor"),CONCATENATE("R3C",'Mapa final'!#REF!),"")</f>
        <v>#REF!</v>
      </c>
      <c r="V38" s="64" t="str">
        <f>IF(AND('Mapa final'!$AI$17="Baja",'Mapa final'!$AK$17="Moderado"),CONCATENATE("R3C",'Mapa final'!$Y$17),"")</f>
        <v/>
      </c>
      <c r="W38" s="65" t="str">
        <f>IF(AND('Mapa final'!$AI$18="Baja",'Mapa final'!$AK$18="Moderado"),CONCATENATE("R3C",'Mapa final'!$Y$18),"")</f>
        <v/>
      </c>
      <c r="X38" s="65" t="str">
        <f>IF(AND('Mapa final'!$AI$19="Baja",'Mapa final'!$AK$19="Moderado"),CONCATENATE("R3C",'Mapa final'!$Y$19),"")</f>
        <v/>
      </c>
      <c r="Y38" s="65" t="e">
        <f>IF(AND('Mapa final'!#REF!="Baja",'Mapa final'!#REF!="Moderado"),CONCATENATE("R3C",'Mapa final'!#REF!),"")</f>
        <v>#REF!</v>
      </c>
      <c r="Z38" s="65" t="e">
        <f>IF(AND('Mapa final'!#REF!="Baja",'Mapa final'!#REF!="Moderado"),CONCATENATE("R3C",'Mapa final'!#REF!),"")</f>
        <v>#REF!</v>
      </c>
      <c r="AA38" s="66" t="e">
        <f>IF(AND('Mapa final'!#REF!="Baja",'Mapa final'!#REF!="Moderado"),CONCATENATE("R3C",'Mapa final'!#REF!),"")</f>
        <v>#REF!</v>
      </c>
      <c r="AB38" s="49" t="str">
        <f>IF(AND('Mapa final'!$AI$17="Baja",'Mapa final'!$AK$17="Mayor"),CONCATENATE("R3C",'Mapa final'!$Y$17),"")</f>
        <v/>
      </c>
      <c r="AC38" s="50" t="str">
        <f>IF(AND('Mapa final'!$AI$18="Baja",'Mapa final'!$AK$18="Mayor"),CONCATENATE("R3C",'Mapa final'!$Y$18),"")</f>
        <v/>
      </c>
      <c r="AD38" s="50" t="str">
        <f>IF(AND('Mapa final'!$AI$19="Baja",'Mapa final'!$AK$19="Mayor"),CONCATENATE("R3C",'Mapa final'!$Y$19),"")</f>
        <v/>
      </c>
      <c r="AE38" s="50" t="e">
        <f>IF(AND('Mapa final'!#REF!="Baja",'Mapa final'!#REF!="Mayor"),CONCATENATE("R3C",'Mapa final'!#REF!),"")</f>
        <v>#REF!</v>
      </c>
      <c r="AF38" s="50" t="e">
        <f>IF(AND('Mapa final'!#REF!="Baja",'Mapa final'!#REF!="Mayor"),CONCATENATE("R3C",'Mapa final'!#REF!),"")</f>
        <v>#REF!</v>
      </c>
      <c r="AG38" s="51" t="e">
        <f>IF(AND('Mapa final'!#REF!="Baja",'Mapa final'!#REF!="Mayor"),CONCATENATE("R3C",'Mapa final'!#REF!),"")</f>
        <v>#REF!</v>
      </c>
      <c r="AH38" s="52" t="str">
        <f>IF(AND('Mapa final'!$AI$17="Baja",'Mapa final'!$AK$17="Catastrófico"),CONCATENATE("R3C",'Mapa final'!$Y$17),"")</f>
        <v/>
      </c>
      <c r="AI38" s="53" t="str">
        <f>IF(AND('Mapa final'!$AI$18="Baja",'Mapa final'!$AK$18="Catastrófico"),CONCATENATE("R3C",'Mapa final'!$Y$18),"")</f>
        <v/>
      </c>
      <c r="AJ38" s="53" t="str">
        <f>IF(AND('Mapa final'!$AI$19="Baja",'Mapa final'!$AK$19="Catastrófico"),CONCATENATE("R3C",'Mapa final'!$Y$19),"")</f>
        <v/>
      </c>
      <c r="AK38" s="53" t="e">
        <f>IF(AND('Mapa final'!#REF!="Baja",'Mapa final'!#REF!="Catastrófico"),CONCATENATE("R3C",'Mapa final'!#REF!),"")</f>
        <v>#REF!</v>
      </c>
      <c r="AL38" s="53" t="e">
        <f>IF(AND('Mapa final'!#REF!="Baja",'Mapa final'!#REF!="Catastrófico"),CONCATENATE("R3C",'Mapa final'!#REF!),"")</f>
        <v>#REF!</v>
      </c>
      <c r="AM38" s="54" t="e">
        <f>IF(AND('Mapa final'!#REF!="Baja",'Mapa final'!#REF!="Catastrófico"),CONCATENATE("R3C",'Mapa final'!#REF!),"")</f>
        <v>#REF!</v>
      </c>
      <c r="AN38" s="80"/>
      <c r="AO38" s="461"/>
      <c r="AP38" s="462"/>
      <c r="AQ38" s="462"/>
      <c r="AR38" s="462"/>
      <c r="AS38" s="462"/>
      <c r="AT38" s="463"/>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342"/>
      <c r="C39" s="342"/>
      <c r="D39" s="343"/>
      <c r="E39" s="441"/>
      <c r="F39" s="440"/>
      <c r="G39" s="440"/>
      <c r="H39" s="440"/>
      <c r="I39" s="440"/>
      <c r="J39" s="73" t="str">
        <f>IF(AND('Mapa final'!$AI$20="Baja",'Mapa final'!$AK$20="Leve"),CONCATENATE("R4C",'Mapa final'!$Y$20),"")</f>
        <v/>
      </c>
      <c r="K39" s="74" t="str">
        <f>IF(AND('Mapa final'!$AI$21="Baja",'Mapa final'!$AK$21="Leve"),CONCATENATE("R4C",'Mapa final'!$Y$21),"")</f>
        <v/>
      </c>
      <c r="L39" s="74" t="str">
        <f>IF(AND('Mapa final'!$AI$22="Baja",'Mapa final'!$AK$22="Leve"),CONCATENATE("R4C",'Mapa final'!$Y$22),"")</f>
        <v/>
      </c>
      <c r="M39" s="74" t="e">
        <f>IF(AND('Mapa final'!#REF!="Baja",'Mapa final'!#REF!="Leve"),CONCATENATE("R4C",'Mapa final'!#REF!),"")</f>
        <v>#REF!</v>
      </c>
      <c r="N39" s="74" t="e">
        <f>IF(AND('Mapa final'!#REF!="Baja",'Mapa final'!#REF!="Leve"),CONCATENATE("R4C",'Mapa final'!#REF!),"")</f>
        <v>#REF!</v>
      </c>
      <c r="O39" s="75" t="e">
        <f>IF(AND('Mapa final'!#REF!="Baja",'Mapa final'!#REF!="Leve"),CONCATENATE("R4C",'Mapa final'!#REF!),"")</f>
        <v>#REF!</v>
      </c>
      <c r="P39" s="64" t="str">
        <f>IF(AND('Mapa final'!$AI$20="Baja",'Mapa final'!$AK$20="Menor"),CONCATENATE("R4C",'Mapa final'!$Y$20),"")</f>
        <v/>
      </c>
      <c r="Q39" s="65" t="str">
        <f>IF(AND('Mapa final'!$AI$21="Baja",'Mapa final'!$AK$21="Menor"),CONCATENATE("R4C",'Mapa final'!$Y$21),"")</f>
        <v/>
      </c>
      <c r="R39" s="65" t="str">
        <f>IF(AND('Mapa final'!$AI$22="Baja",'Mapa final'!$AK$22="Menor"),CONCATENATE("R4C",'Mapa final'!$Y$22),"")</f>
        <v/>
      </c>
      <c r="S39" s="65" t="e">
        <f>IF(AND('Mapa final'!#REF!="Baja",'Mapa final'!#REF!="Menor"),CONCATENATE("R4C",'Mapa final'!#REF!),"")</f>
        <v>#REF!</v>
      </c>
      <c r="T39" s="65" t="e">
        <f>IF(AND('Mapa final'!#REF!="Baja",'Mapa final'!#REF!="Menor"),CONCATENATE("R4C",'Mapa final'!#REF!),"")</f>
        <v>#REF!</v>
      </c>
      <c r="U39" s="66" t="e">
        <f>IF(AND('Mapa final'!#REF!="Baja",'Mapa final'!#REF!="Menor"),CONCATENATE("R4C",'Mapa final'!#REF!),"")</f>
        <v>#REF!</v>
      </c>
      <c r="V39" s="64" t="str">
        <f>IF(AND('Mapa final'!$AI$20="Baja",'Mapa final'!$AK$20="Moderado"),CONCATENATE("R4C",'Mapa final'!$Y$20),"")</f>
        <v>R4C1</v>
      </c>
      <c r="W39" s="65" t="str">
        <f>IF(AND('Mapa final'!$AI$21="Baja",'Mapa final'!$AK$21="Moderado"),CONCATENATE("R4C",'Mapa final'!$Y$21),"")</f>
        <v/>
      </c>
      <c r="X39" s="65" t="str">
        <f>IF(AND('Mapa final'!$AI$22="Baja",'Mapa final'!$AK$22="Moderado"),CONCATENATE("R4C",'Mapa final'!$Y$22),"")</f>
        <v/>
      </c>
      <c r="Y39" s="65" t="e">
        <f>IF(AND('Mapa final'!#REF!="Baja",'Mapa final'!#REF!="Moderado"),CONCATENATE("R4C",'Mapa final'!#REF!),"")</f>
        <v>#REF!</v>
      </c>
      <c r="Z39" s="65" t="e">
        <f>IF(AND('Mapa final'!#REF!="Baja",'Mapa final'!#REF!="Moderado"),CONCATENATE("R4C",'Mapa final'!#REF!),"")</f>
        <v>#REF!</v>
      </c>
      <c r="AA39" s="66" t="e">
        <f>IF(AND('Mapa final'!#REF!="Baja",'Mapa final'!#REF!="Moderado"),CONCATENATE("R4C",'Mapa final'!#REF!),"")</f>
        <v>#REF!</v>
      </c>
      <c r="AB39" s="49" t="str">
        <f>IF(AND('Mapa final'!$AI$20="Baja",'Mapa final'!$AK$20="Mayor"),CONCATENATE("R4C",'Mapa final'!$Y$20),"")</f>
        <v/>
      </c>
      <c r="AC39" s="50" t="str">
        <f>IF(AND('Mapa final'!$AI$21="Baja",'Mapa final'!$AK$21="Mayor"),CONCATENATE("R4C",'Mapa final'!$Y$21),"")</f>
        <v/>
      </c>
      <c r="AD39" s="50" t="str">
        <f>IF(AND('Mapa final'!$AI$22="Baja",'Mapa final'!$AK$22="Mayor"),CONCATENATE("R4C",'Mapa final'!$Y$22),"")</f>
        <v/>
      </c>
      <c r="AE39" s="50" t="e">
        <f>IF(AND('Mapa final'!#REF!="Baja",'Mapa final'!#REF!="Mayor"),CONCATENATE("R4C",'Mapa final'!#REF!),"")</f>
        <v>#REF!</v>
      </c>
      <c r="AF39" s="50" t="e">
        <f>IF(AND('Mapa final'!#REF!="Baja",'Mapa final'!#REF!="Mayor"),CONCATENATE("R4C",'Mapa final'!#REF!),"")</f>
        <v>#REF!</v>
      </c>
      <c r="AG39" s="51" t="e">
        <f>IF(AND('Mapa final'!#REF!="Baja",'Mapa final'!#REF!="Mayor"),CONCATENATE("R4C",'Mapa final'!#REF!),"")</f>
        <v>#REF!</v>
      </c>
      <c r="AH39" s="52" t="str">
        <f>IF(AND('Mapa final'!$AI$20="Baja",'Mapa final'!$AK$20="Catastrófico"),CONCATENATE("R4C",'Mapa final'!$Y$20),"")</f>
        <v/>
      </c>
      <c r="AI39" s="53" t="str">
        <f>IF(AND('Mapa final'!$AI$21="Baja",'Mapa final'!$AK$21="Catastrófico"),CONCATENATE("R4C",'Mapa final'!$Y$21),"")</f>
        <v/>
      </c>
      <c r="AJ39" s="53" t="str">
        <f>IF(AND('Mapa final'!$AI$22="Baja",'Mapa final'!$AK$22="Catastrófico"),CONCATENATE("R4C",'Mapa final'!$Y$22),"")</f>
        <v/>
      </c>
      <c r="AK39" s="53" t="e">
        <f>IF(AND('Mapa final'!#REF!="Baja",'Mapa final'!#REF!="Catastrófico"),CONCATENATE("R4C",'Mapa final'!#REF!),"")</f>
        <v>#REF!</v>
      </c>
      <c r="AL39" s="53" t="e">
        <f>IF(AND('Mapa final'!#REF!="Baja",'Mapa final'!#REF!="Catastrófico"),CONCATENATE("R4C",'Mapa final'!#REF!),"")</f>
        <v>#REF!</v>
      </c>
      <c r="AM39" s="54" t="e">
        <f>IF(AND('Mapa final'!#REF!="Baja",'Mapa final'!#REF!="Catastrófico"),CONCATENATE("R4C",'Mapa final'!#REF!),"")</f>
        <v>#REF!</v>
      </c>
      <c r="AN39" s="80"/>
      <c r="AO39" s="461"/>
      <c r="AP39" s="462"/>
      <c r="AQ39" s="462"/>
      <c r="AR39" s="462"/>
      <c r="AS39" s="462"/>
      <c r="AT39" s="463"/>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342"/>
      <c r="C40" s="342"/>
      <c r="D40" s="343"/>
      <c r="E40" s="441"/>
      <c r="F40" s="440"/>
      <c r="G40" s="440"/>
      <c r="H40" s="440"/>
      <c r="I40" s="440"/>
      <c r="J40" s="73" t="str">
        <f>IF(AND('Mapa final'!$AI$23="Baja",'Mapa final'!$AK$23="Leve"),CONCATENATE("R5C",'Mapa final'!$Y$23),"")</f>
        <v/>
      </c>
      <c r="K40" s="74" t="str">
        <f>IF(AND('Mapa final'!$AI$24="Baja",'Mapa final'!$AK$24="Leve"),CONCATENATE("R5C",'Mapa final'!$Y$24),"")</f>
        <v/>
      </c>
      <c r="L40" s="74" t="str">
        <f>IF(AND('Mapa final'!$AI$25="Baja",'Mapa final'!$AK$25="Leve"),CONCATENATE("R5C",'Mapa final'!$Y$25),"")</f>
        <v/>
      </c>
      <c r="M40" s="74" t="str">
        <f>IF(AND('Mapa final'!$AI$26="Baja",'Mapa final'!$AK$26="Leve"),CONCATENATE("R5C",'Mapa final'!$Y$26),"")</f>
        <v/>
      </c>
      <c r="N40" s="74" t="str">
        <f>IF(AND('Mapa final'!$AI$27="Baja",'Mapa final'!$AK$27="Leve"),CONCATENATE("R5C",'Mapa final'!$Y$27),"")</f>
        <v/>
      </c>
      <c r="O40" s="75" t="str">
        <f>IF(AND('Mapa final'!$AI$28="Baja",'Mapa final'!$AK$28="Leve"),CONCATENATE("R5C",'Mapa final'!$Y$28),"")</f>
        <v/>
      </c>
      <c r="P40" s="64" t="str">
        <f>IF(AND('Mapa final'!$AI$23="Baja",'Mapa final'!$AK$23="Menor"),CONCATENATE("R5C",'Mapa final'!$Y$23),"")</f>
        <v/>
      </c>
      <c r="Q40" s="65" t="str">
        <f>IF(AND('Mapa final'!$AI$24="Baja",'Mapa final'!$AK$24="Menor"),CONCATENATE("R5C",'Mapa final'!$Y$24),"")</f>
        <v/>
      </c>
      <c r="R40" s="65" t="str">
        <f>IF(AND('Mapa final'!$AI$25="Baja",'Mapa final'!$AK$25="Menor"),CONCATENATE("R5C",'Mapa final'!$Y$25),"")</f>
        <v/>
      </c>
      <c r="S40" s="65" t="str">
        <f>IF(AND('Mapa final'!$AI$26="Baja",'Mapa final'!$AK$26="Menor"),CONCATENATE("R5C",'Mapa final'!$Y$26),"")</f>
        <v/>
      </c>
      <c r="T40" s="65" t="str">
        <f>IF(AND('Mapa final'!$AI$27="Baja",'Mapa final'!$AK$27="Menor"),CONCATENATE("R5C",'Mapa final'!$Y$27),"")</f>
        <v/>
      </c>
      <c r="U40" s="66" t="str">
        <f>IF(AND('Mapa final'!$AI$28="Baja",'Mapa final'!$AK$28="Menor"),CONCATENATE("R5C",'Mapa final'!$Y$28),"")</f>
        <v/>
      </c>
      <c r="V40" s="64" t="str">
        <f>IF(AND('Mapa final'!$AI$23="Baja",'Mapa final'!$AK$23="Moderado"),CONCATENATE("R5C",'Mapa final'!$Y$23),"")</f>
        <v/>
      </c>
      <c r="W40" s="65" t="str">
        <f>IF(AND('Mapa final'!$AI$24="Baja",'Mapa final'!$AK$24="Moderado"),CONCATENATE("R5C",'Mapa final'!$Y$24),"")</f>
        <v/>
      </c>
      <c r="X40" s="65" t="str">
        <f>IF(AND('Mapa final'!$AI$25="Baja",'Mapa final'!$AK$25="Moderado"),CONCATENATE("R5C",'Mapa final'!$Y$25),"")</f>
        <v/>
      </c>
      <c r="Y40" s="65" t="str">
        <f>IF(AND('Mapa final'!$AI$26="Baja",'Mapa final'!$AK$26="Moderado"),CONCATENATE("R5C",'Mapa final'!$Y$26),"")</f>
        <v/>
      </c>
      <c r="Z40" s="65" t="str">
        <f>IF(AND('Mapa final'!$AI$27="Baja",'Mapa final'!$AK$27="Moderado"),CONCATENATE("R5C",'Mapa final'!$Y$27),"")</f>
        <v/>
      </c>
      <c r="AA40" s="66" t="str">
        <f>IF(AND('Mapa final'!$AI$28="Baja",'Mapa final'!$AK$28="Moderado"),CONCATENATE("R5C",'Mapa final'!$Y$28),"")</f>
        <v/>
      </c>
      <c r="AB40" s="49" t="str">
        <f>IF(AND('Mapa final'!$AI$23="Baja",'Mapa final'!$AK$23="Mayor"),CONCATENATE("R5C",'Mapa final'!$Y$23),"")</f>
        <v/>
      </c>
      <c r="AC40" s="50" t="str">
        <f>IF(AND('Mapa final'!$AI$24="Baja",'Mapa final'!$AK$24="Mayor"),CONCATENATE("R5C",'Mapa final'!$Y$24),"")</f>
        <v/>
      </c>
      <c r="AD40" s="50" t="str">
        <f>IF(AND('Mapa final'!$AI$25="Baja",'Mapa final'!$AK$25="Mayor"),CONCATENATE("R5C",'Mapa final'!$Y$25),"")</f>
        <v/>
      </c>
      <c r="AE40" s="50" t="str">
        <f>IF(AND('Mapa final'!$AI$26="Baja",'Mapa final'!$AK$26="Mayor"),CONCATENATE("R5C",'Mapa final'!$Y$26),"")</f>
        <v/>
      </c>
      <c r="AF40" s="50" t="str">
        <f>IF(AND('Mapa final'!$AI$27="Baja",'Mapa final'!$AK$27="Mayor"),CONCATENATE("R5C",'Mapa final'!$Y$27),"")</f>
        <v/>
      </c>
      <c r="AG40" s="51" t="str">
        <f>IF(AND('Mapa final'!$AI$28="Baja",'Mapa final'!$AK$28="Mayor"),CONCATENATE("R5C",'Mapa final'!$Y$28),"")</f>
        <v/>
      </c>
      <c r="AH40" s="52" t="str">
        <f>IF(AND('Mapa final'!$AI$23="Baja",'Mapa final'!$AK$23="Catastrófico"),CONCATENATE("R5C",'Mapa final'!$Y$23),"")</f>
        <v/>
      </c>
      <c r="AI40" s="53" t="str">
        <f>IF(AND('Mapa final'!$AI$24="Baja",'Mapa final'!$AK$24="Catastrófico"),CONCATENATE("R5C",'Mapa final'!$Y$24),"")</f>
        <v/>
      </c>
      <c r="AJ40" s="53" t="str">
        <f>IF(AND('Mapa final'!$AI$25="Baja",'Mapa final'!$AK$25="Catastrófico"),CONCATENATE("R5C",'Mapa final'!$Y$25),"")</f>
        <v/>
      </c>
      <c r="AK40" s="53" t="str">
        <f>IF(AND('Mapa final'!$AI$26="Baja",'Mapa final'!$AK$26="Catastrófico"),CONCATENATE("R5C",'Mapa final'!$Y$26),"")</f>
        <v/>
      </c>
      <c r="AL40" s="53" t="str">
        <f>IF(AND('Mapa final'!$AI$27="Baja",'Mapa final'!$AK$27="Catastrófico"),CONCATENATE("R5C",'Mapa final'!$Y$27),"")</f>
        <v/>
      </c>
      <c r="AM40" s="54" t="str">
        <f>IF(AND('Mapa final'!$AI$28="Baja",'Mapa final'!$AK$28="Catastrófico"),CONCATENATE("R5C",'Mapa final'!$Y$28),"")</f>
        <v/>
      </c>
      <c r="AN40" s="80"/>
      <c r="AO40" s="461"/>
      <c r="AP40" s="462"/>
      <c r="AQ40" s="462"/>
      <c r="AR40" s="462"/>
      <c r="AS40" s="462"/>
      <c r="AT40" s="463"/>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342"/>
      <c r="C41" s="342"/>
      <c r="D41" s="343"/>
      <c r="E41" s="441"/>
      <c r="F41" s="440"/>
      <c r="G41" s="440"/>
      <c r="H41" s="440"/>
      <c r="I41" s="440"/>
      <c r="J41" s="73" t="str">
        <f>IF(AND('Mapa final'!$AI$29="Baja",'Mapa final'!$AK$29="Leve"),CONCATENATE("R6C",'Mapa final'!$Y$29),"")</f>
        <v/>
      </c>
      <c r="K41" s="74" t="str">
        <f>IF(AND('Mapa final'!$AI$30="Baja",'Mapa final'!$AK$30="Leve"),CONCATENATE("R6C",'Mapa final'!$Y$30),"")</f>
        <v/>
      </c>
      <c r="L41" s="74" t="str">
        <f>IF(AND('Mapa final'!$AI$31="Baja",'Mapa final'!$AK$31="Leve"),CONCATENATE("R6C",'Mapa final'!$Y$31),"")</f>
        <v/>
      </c>
      <c r="M41" s="74" t="str">
        <f>IF(AND('Mapa final'!$AI$32="Baja",'Mapa final'!$AK$32="Leve"),CONCATENATE("R6C",'Mapa final'!$Y$32),"")</f>
        <v/>
      </c>
      <c r="N41" s="74" t="str">
        <f>IF(AND('Mapa final'!$AI$33="Baja",'Mapa final'!$AK$33="Leve"),CONCATENATE("R6C",'Mapa final'!$Y$33),"")</f>
        <v/>
      </c>
      <c r="O41" s="75" t="str">
        <f>IF(AND('Mapa final'!$AI$34="Baja",'Mapa final'!$AK$34="Leve"),CONCATENATE("R6C",'Mapa final'!$Y$34),"")</f>
        <v/>
      </c>
      <c r="P41" s="64" t="str">
        <f>IF(AND('Mapa final'!$AI$29="Baja",'Mapa final'!$AK$29="Menor"),CONCATENATE("R6C",'Mapa final'!$Y$29),"")</f>
        <v/>
      </c>
      <c r="Q41" s="65" t="str">
        <f>IF(AND('Mapa final'!$AI$30="Baja",'Mapa final'!$AK$30="Menor"),CONCATENATE("R6C",'Mapa final'!$Y$30),"")</f>
        <v/>
      </c>
      <c r="R41" s="65" t="str">
        <f>IF(AND('Mapa final'!$AI$31="Baja",'Mapa final'!$AK$31="Menor"),CONCATENATE("R6C",'Mapa final'!$Y$31),"")</f>
        <v/>
      </c>
      <c r="S41" s="65" t="str">
        <f>IF(AND('Mapa final'!$AI$32="Baja",'Mapa final'!$AK$32="Menor"),CONCATENATE("R6C",'Mapa final'!$Y$32),"")</f>
        <v/>
      </c>
      <c r="T41" s="65" t="str">
        <f>IF(AND('Mapa final'!$AI$33="Baja",'Mapa final'!$AK$33="Menor"),CONCATENATE("R6C",'Mapa final'!$Y$33),"")</f>
        <v/>
      </c>
      <c r="U41" s="66" t="str">
        <f>IF(AND('Mapa final'!$AI$34="Baja",'Mapa final'!$AK$34="Menor"),CONCATENATE("R6C",'Mapa final'!$Y$34),"")</f>
        <v/>
      </c>
      <c r="V41" s="64" t="str">
        <f>IF(AND('Mapa final'!$AI$29="Baja",'Mapa final'!$AK$29="Moderado"),CONCATENATE("R6C",'Mapa final'!$Y$29),"")</f>
        <v/>
      </c>
      <c r="W41" s="65" t="str">
        <f>IF(AND('Mapa final'!$AI$30="Baja",'Mapa final'!$AK$30="Moderado"),CONCATENATE("R6C",'Mapa final'!$Y$30),"")</f>
        <v/>
      </c>
      <c r="X41" s="65" t="str">
        <f>IF(AND('Mapa final'!$AI$31="Baja",'Mapa final'!$AK$31="Moderado"),CONCATENATE("R6C",'Mapa final'!$Y$31),"")</f>
        <v/>
      </c>
      <c r="Y41" s="65" t="str">
        <f>IF(AND('Mapa final'!$AI$32="Baja",'Mapa final'!$AK$32="Moderado"),CONCATENATE("R6C",'Mapa final'!$Y$32),"")</f>
        <v/>
      </c>
      <c r="Z41" s="65" t="str">
        <f>IF(AND('Mapa final'!$AI$33="Baja",'Mapa final'!$AK$33="Moderado"),CONCATENATE("R6C",'Mapa final'!$Y$33),"")</f>
        <v/>
      </c>
      <c r="AA41" s="66" t="str">
        <f>IF(AND('Mapa final'!$AI$34="Baja",'Mapa final'!$AK$34="Moderado"),CONCATENATE("R6C",'Mapa final'!$Y$34),"")</f>
        <v/>
      </c>
      <c r="AB41" s="49" t="str">
        <f>IF(AND('Mapa final'!$AI$29="Baja",'Mapa final'!$AK$29="Mayor"),CONCATENATE("R6C",'Mapa final'!$Y$29),"")</f>
        <v/>
      </c>
      <c r="AC41" s="50" t="str">
        <f>IF(AND('Mapa final'!$AI$30="Baja",'Mapa final'!$AK$30="Mayor"),CONCATENATE("R6C",'Mapa final'!$Y$30),"")</f>
        <v/>
      </c>
      <c r="AD41" s="50" t="str">
        <f>IF(AND('Mapa final'!$AI$31="Baja",'Mapa final'!$AK$31="Mayor"),CONCATENATE("R6C",'Mapa final'!$Y$31),"")</f>
        <v/>
      </c>
      <c r="AE41" s="50" t="str">
        <f>IF(AND('Mapa final'!$AI$32="Baja",'Mapa final'!$AK$32="Mayor"),CONCATENATE("R6C",'Mapa final'!$Y$32),"")</f>
        <v/>
      </c>
      <c r="AF41" s="50" t="str">
        <f>IF(AND('Mapa final'!$AI$33="Baja",'Mapa final'!$AK$33="Mayor"),CONCATENATE("R6C",'Mapa final'!$Y$33),"")</f>
        <v/>
      </c>
      <c r="AG41" s="51" t="str">
        <f>IF(AND('Mapa final'!$AI$34="Baja",'Mapa final'!$AK$34="Mayor"),CONCATENATE("R6C",'Mapa final'!$Y$34),"")</f>
        <v/>
      </c>
      <c r="AH41" s="52" t="str">
        <f>IF(AND('Mapa final'!$AI$29="Baja",'Mapa final'!$AK$29="Catastrófico"),CONCATENATE("R6C",'Mapa final'!$Y$29),"")</f>
        <v/>
      </c>
      <c r="AI41" s="53" t="str">
        <f>IF(AND('Mapa final'!$AI$30="Baja",'Mapa final'!$AK$30="Catastrófico"),CONCATENATE("R6C",'Mapa final'!$Y$30),"")</f>
        <v/>
      </c>
      <c r="AJ41" s="53" t="str">
        <f>IF(AND('Mapa final'!$AI$31="Baja",'Mapa final'!$AK$31="Catastrófico"),CONCATENATE("R6C",'Mapa final'!$Y$31),"")</f>
        <v/>
      </c>
      <c r="AK41" s="53" t="str">
        <f>IF(AND('Mapa final'!$AI$32="Baja",'Mapa final'!$AK$32="Catastrófico"),CONCATENATE("R6C",'Mapa final'!$Y$32),"")</f>
        <v/>
      </c>
      <c r="AL41" s="53" t="str">
        <f>IF(AND('Mapa final'!$AI$33="Baja",'Mapa final'!$AK$33="Catastrófico"),CONCATENATE("R6C",'Mapa final'!$Y$33),"")</f>
        <v/>
      </c>
      <c r="AM41" s="54" t="str">
        <f>IF(AND('Mapa final'!$AI$34="Baja",'Mapa final'!$AK$34="Catastrófico"),CONCATENATE("R6C",'Mapa final'!$Y$34),"")</f>
        <v/>
      </c>
      <c r="AN41" s="80"/>
      <c r="AO41" s="461"/>
      <c r="AP41" s="462"/>
      <c r="AQ41" s="462"/>
      <c r="AR41" s="462"/>
      <c r="AS41" s="462"/>
      <c r="AT41" s="463"/>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342"/>
      <c r="C42" s="342"/>
      <c r="D42" s="343"/>
      <c r="E42" s="441"/>
      <c r="F42" s="440"/>
      <c r="G42" s="440"/>
      <c r="H42" s="440"/>
      <c r="I42" s="440"/>
      <c r="J42" s="73" t="str">
        <f>IF(AND('Mapa final'!$AI$35="Baja",'Mapa final'!$AK$35="Leve"),CONCATENATE("R7C",'Mapa final'!$Y$35),"")</f>
        <v/>
      </c>
      <c r="K42" s="74" t="str">
        <f>IF(AND('Mapa final'!$AI$36="Baja",'Mapa final'!$AK$36="Leve"),CONCATENATE("R7C",'Mapa final'!$Y$36),"")</f>
        <v/>
      </c>
      <c r="L42" s="74" t="str">
        <f>IF(AND('Mapa final'!$AI$37="Baja",'Mapa final'!$AK$37="Leve"),CONCATENATE("R7C",'Mapa final'!$Y$37),"")</f>
        <v/>
      </c>
      <c r="M42" s="74" t="str">
        <f>IF(AND('Mapa final'!$AI$38="Baja",'Mapa final'!$AK$38="Leve"),CONCATENATE("R7C",'Mapa final'!$Y$38),"")</f>
        <v/>
      </c>
      <c r="N42" s="74" t="str">
        <f>IF(AND('Mapa final'!$AI$39="Baja",'Mapa final'!$AK$39="Leve"),CONCATENATE("R7C",'Mapa final'!$Y$39),"")</f>
        <v/>
      </c>
      <c r="O42" s="75" t="str">
        <f>IF(AND('Mapa final'!$AI$40="Baja",'Mapa final'!$AK$40="Leve"),CONCATENATE("R7C",'Mapa final'!$Y$40),"")</f>
        <v/>
      </c>
      <c r="P42" s="64" t="str">
        <f>IF(AND('Mapa final'!$AI$35="Baja",'Mapa final'!$AK$35="Menor"),CONCATENATE("R7C",'Mapa final'!$Y$35),"")</f>
        <v/>
      </c>
      <c r="Q42" s="65" t="str">
        <f>IF(AND('Mapa final'!$AI$36="Baja",'Mapa final'!$AK$36="Menor"),CONCATENATE("R7C",'Mapa final'!$Y$36),"")</f>
        <v/>
      </c>
      <c r="R42" s="65" t="str">
        <f>IF(AND('Mapa final'!$AI$37="Baja",'Mapa final'!$AK$37="Menor"),CONCATENATE("R7C",'Mapa final'!$Y$37),"")</f>
        <v/>
      </c>
      <c r="S42" s="65" t="str">
        <f>IF(AND('Mapa final'!$AI$38="Baja",'Mapa final'!$AK$38="Menor"),CONCATENATE("R7C",'Mapa final'!$Y$38),"")</f>
        <v/>
      </c>
      <c r="T42" s="65" t="str">
        <f>IF(AND('Mapa final'!$AI$39="Baja",'Mapa final'!$AK$39="Menor"),CONCATENATE("R7C",'Mapa final'!$Y$39),"")</f>
        <v/>
      </c>
      <c r="U42" s="66" t="str">
        <f>IF(AND('Mapa final'!$AI$40="Baja",'Mapa final'!$AK$40="Menor"),CONCATENATE("R7C",'Mapa final'!$Y$40),"")</f>
        <v/>
      </c>
      <c r="V42" s="64" t="str">
        <f>IF(AND('Mapa final'!$AI$35="Baja",'Mapa final'!$AK$35="Moderado"),CONCATENATE("R7C",'Mapa final'!$Y$35),"")</f>
        <v/>
      </c>
      <c r="W42" s="65" t="str">
        <f>IF(AND('Mapa final'!$AI$36="Baja",'Mapa final'!$AK$36="Moderado"),CONCATENATE("R7C",'Mapa final'!$Y$36),"")</f>
        <v/>
      </c>
      <c r="X42" s="65" t="str">
        <f>IF(AND('Mapa final'!$AI$37="Baja",'Mapa final'!$AK$37="Moderado"),CONCATENATE("R7C",'Mapa final'!$Y$37),"")</f>
        <v/>
      </c>
      <c r="Y42" s="65" t="str">
        <f>IF(AND('Mapa final'!$AI$38="Baja",'Mapa final'!$AK$38="Moderado"),CONCATENATE("R7C",'Mapa final'!$Y$38),"")</f>
        <v/>
      </c>
      <c r="Z42" s="65" t="str">
        <f>IF(AND('Mapa final'!$AI$39="Baja",'Mapa final'!$AK$39="Moderado"),CONCATENATE("R7C",'Mapa final'!$Y$39),"")</f>
        <v/>
      </c>
      <c r="AA42" s="66" t="str">
        <f>IF(AND('Mapa final'!$AI$40="Baja",'Mapa final'!$AK$40="Moderado"),CONCATENATE("R7C",'Mapa final'!$Y$40),"")</f>
        <v/>
      </c>
      <c r="AB42" s="49" t="str">
        <f>IF(AND('Mapa final'!$AI$35="Baja",'Mapa final'!$AK$35="Mayor"),CONCATENATE("R7C",'Mapa final'!$Y$35),"")</f>
        <v/>
      </c>
      <c r="AC42" s="50" t="str">
        <f>IF(AND('Mapa final'!$AI$36="Baja",'Mapa final'!$AK$36="Mayor"),CONCATENATE("R7C",'Mapa final'!$Y$36),"")</f>
        <v/>
      </c>
      <c r="AD42" s="50" t="str">
        <f>IF(AND('Mapa final'!$AI$37="Baja",'Mapa final'!$AK$37="Mayor"),CONCATENATE("R7C",'Mapa final'!$Y$37),"")</f>
        <v/>
      </c>
      <c r="AE42" s="50" t="str">
        <f>IF(AND('Mapa final'!$AI$38="Baja",'Mapa final'!$AK$38="Mayor"),CONCATENATE("R7C",'Mapa final'!$Y$38),"")</f>
        <v/>
      </c>
      <c r="AF42" s="50" t="str">
        <f>IF(AND('Mapa final'!$AI$39="Baja",'Mapa final'!$AK$39="Mayor"),CONCATENATE("R7C",'Mapa final'!$Y$39),"")</f>
        <v/>
      </c>
      <c r="AG42" s="51" t="str">
        <f>IF(AND('Mapa final'!$AI$40="Baja",'Mapa final'!$AK$40="Mayor"),CONCATENATE("R7C",'Mapa final'!$Y$40),"")</f>
        <v/>
      </c>
      <c r="AH42" s="52" t="str">
        <f>IF(AND('Mapa final'!$AI$35="Baja",'Mapa final'!$AK$35="Catastrófico"),CONCATENATE("R7C",'Mapa final'!$Y$35),"")</f>
        <v/>
      </c>
      <c r="AI42" s="53" t="str">
        <f>IF(AND('Mapa final'!$AI$36="Baja",'Mapa final'!$AK$36="Catastrófico"),CONCATENATE("R7C",'Mapa final'!$Y$36),"")</f>
        <v/>
      </c>
      <c r="AJ42" s="53" t="str">
        <f>IF(AND('Mapa final'!$AI$37="Baja",'Mapa final'!$AK$37="Catastrófico"),CONCATENATE("R7C",'Mapa final'!$Y$37),"")</f>
        <v/>
      </c>
      <c r="AK42" s="53" t="str">
        <f>IF(AND('Mapa final'!$AI$38="Baja",'Mapa final'!$AK$38="Catastrófico"),CONCATENATE("R7C",'Mapa final'!$Y$38),"")</f>
        <v/>
      </c>
      <c r="AL42" s="53" t="str">
        <f>IF(AND('Mapa final'!$AI$39="Baja",'Mapa final'!$AK$39="Catastrófico"),CONCATENATE("R7C",'Mapa final'!$Y$39),"")</f>
        <v/>
      </c>
      <c r="AM42" s="54" t="str">
        <f>IF(AND('Mapa final'!$AI$40="Baja",'Mapa final'!$AK$40="Catastrófico"),CONCATENATE("R7C",'Mapa final'!$Y$40),"")</f>
        <v/>
      </c>
      <c r="AN42" s="80"/>
      <c r="AO42" s="461"/>
      <c r="AP42" s="462"/>
      <c r="AQ42" s="462"/>
      <c r="AR42" s="462"/>
      <c r="AS42" s="462"/>
      <c r="AT42" s="463"/>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342"/>
      <c r="C43" s="342"/>
      <c r="D43" s="343"/>
      <c r="E43" s="441"/>
      <c r="F43" s="440"/>
      <c r="G43" s="440"/>
      <c r="H43" s="440"/>
      <c r="I43" s="440"/>
      <c r="J43" s="73" t="str">
        <f>IF(AND('Mapa final'!$AI$41="Baja",'Mapa final'!$AK$41="Leve"),CONCATENATE("R8C",'Mapa final'!$Y$41),"")</f>
        <v/>
      </c>
      <c r="K43" s="74" t="str">
        <f>IF(AND('Mapa final'!$AI$42="Baja",'Mapa final'!$AK$42="Leve"),CONCATENATE("R8C",'Mapa final'!$Y$42),"")</f>
        <v/>
      </c>
      <c r="L43" s="74" t="str">
        <f>IF(AND('Mapa final'!$AI$43="Baja",'Mapa final'!$AK$43="Leve"),CONCATENATE("R8C",'Mapa final'!$Y$43),"")</f>
        <v/>
      </c>
      <c r="M43" s="74" t="str">
        <f>IF(AND('Mapa final'!$AI$44="Baja",'Mapa final'!$AK$44="Leve"),CONCATENATE("R8C",'Mapa final'!$Y$44),"")</f>
        <v/>
      </c>
      <c r="N43" s="74" t="str">
        <f>IF(AND('Mapa final'!$AI$45="Baja",'Mapa final'!$AK$45="Leve"),CONCATENATE("R8C",'Mapa final'!$Y$45),"")</f>
        <v/>
      </c>
      <c r="O43" s="75" t="str">
        <f>IF(AND('Mapa final'!$AI$46="Baja",'Mapa final'!$AK$46="Leve"),CONCATENATE("R8C",'Mapa final'!$Y$46),"")</f>
        <v/>
      </c>
      <c r="P43" s="64" t="str">
        <f>IF(AND('Mapa final'!$AI$41="Baja",'Mapa final'!$AK$41="Menor"),CONCATENATE("R8C",'Mapa final'!$Y$41),"")</f>
        <v/>
      </c>
      <c r="Q43" s="65" t="str">
        <f>IF(AND('Mapa final'!$AI$42="Baja",'Mapa final'!$AK$42="Menor"),CONCATENATE("R8C",'Mapa final'!$Y$42),"")</f>
        <v/>
      </c>
      <c r="R43" s="65" t="str">
        <f>IF(AND('Mapa final'!$AI$43="Baja",'Mapa final'!$AK$43="Menor"),CONCATENATE("R8C",'Mapa final'!$Y$43),"")</f>
        <v/>
      </c>
      <c r="S43" s="65" t="str">
        <f>IF(AND('Mapa final'!$AI$44="Baja",'Mapa final'!$AK$44="Menor"),CONCATENATE("R8C",'Mapa final'!$Y$44),"")</f>
        <v/>
      </c>
      <c r="T43" s="65" t="str">
        <f>IF(AND('Mapa final'!$AI$45="Baja",'Mapa final'!$AK$45="Menor"),CONCATENATE("R8C",'Mapa final'!$Y$45),"")</f>
        <v/>
      </c>
      <c r="U43" s="66" t="str">
        <f>IF(AND('Mapa final'!$AI$46="Baja",'Mapa final'!$AK$46="Menor"),CONCATENATE("R8C",'Mapa final'!$Y$46),"")</f>
        <v/>
      </c>
      <c r="V43" s="64" t="str">
        <f>IF(AND('Mapa final'!$AI$41="Baja",'Mapa final'!$AK$41="Moderado"),CONCATENATE("R8C",'Mapa final'!$Y$41),"")</f>
        <v/>
      </c>
      <c r="W43" s="65" t="str">
        <f>IF(AND('Mapa final'!$AI$42="Baja",'Mapa final'!$AK$42="Moderado"),CONCATENATE("R8C",'Mapa final'!$Y$42),"")</f>
        <v/>
      </c>
      <c r="X43" s="65" t="str">
        <f>IF(AND('Mapa final'!$AI$43="Baja",'Mapa final'!$AK$43="Moderado"),CONCATENATE("R8C",'Mapa final'!$Y$43),"")</f>
        <v/>
      </c>
      <c r="Y43" s="65" t="str">
        <f>IF(AND('Mapa final'!$AI$44="Baja",'Mapa final'!$AK$44="Moderado"),CONCATENATE("R8C",'Mapa final'!$Y$44),"")</f>
        <v/>
      </c>
      <c r="Z43" s="65" t="str">
        <f>IF(AND('Mapa final'!$AI$45="Baja",'Mapa final'!$AK$45="Moderado"),CONCATENATE("R8C",'Mapa final'!$Y$45),"")</f>
        <v/>
      </c>
      <c r="AA43" s="66" t="str">
        <f>IF(AND('Mapa final'!$AI$46="Baja",'Mapa final'!$AK$46="Moderado"),CONCATENATE("R8C",'Mapa final'!$Y$46),"")</f>
        <v/>
      </c>
      <c r="AB43" s="49" t="str">
        <f>IF(AND('Mapa final'!$AI$41="Baja",'Mapa final'!$AK$41="Mayor"),CONCATENATE("R8C",'Mapa final'!$Y$41),"")</f>
        <v/>
      </c>
      <c r="AC43" s="50" t="str">
        <f>IF(AND('Mapa final'!$AI$42="Baja",'Mapa final'!$AK$42="Mayor"),CONCATENATE("R8C",'Mapa final'!$Y$42),"")</f>
        <v/>
      </c>
      <c r="AD43" s="50" t="str">
        <f>IF(AND('Mapa final'!$AI$43="Baja",'Mapa final'!$AK$43="Mayor"),CONCATENATE("R8C",'Mapa final'!$Y$43),"")</f>
        <v/>
      </c>
      <c r="AE43" s="50" t="str">
        <f>IF(AND('Mapa final'!$AI$44="Baja",'Mapa final'!$AK$44="Mayor"),CONCATENATE("R8C",'Mapa final'!$Y$44),"")</f>
        <v/>
      </c>
      <c r="AF43" s="50" t="str">
        <f>IF(AND('Mapa final'!$AI$45="Baja",'Mapa final'!$AK$45="Mayor"),CONCATENATE("R8C",'Mapa final'!$Y$45),"")</f>
        <v/>
      </c>
      <c r="AG43" s="51" t="str">
        <f>IF(AND('Mapa final'!$AI$46="Baja",'Mapa final'!$AK$46="Mayor"),CONCATENATE("R8C",'Mapa final'!$Y$46),"")</f>
        <v/>
      </c>
      <c r="AH43" s="52" t="str">
        <f>IF(AND('Mapa final'!$AI$41="Baja",'Mapa final'!$AK$41="Catastrófico"),CONCATENATE("R8C",'Mapa final'!$Y$41),"")</f>
        <v/>
      </c>
      <c r="AI43" s="53" t="str">
        <f>IF(AND('Mapa final'!$AI$42="Baja",'Mapa final'!$AK$42="Catastrófico"),CONCATENATE("R8C",'Mapa final'!$Y$42),"")</f>
        <v/>
      </c>
      <c r="AJ43" s="53" t="str">
        <f>IF(AND('Mapa final'!$AI$43="Baja",'Mapa final'!$AK$43="Catastrófico"),CONCATENATE("R8C",'Mapa final'!$Y$43),"")</f>
        <v/>
      </c>
      <c r="AK43" s="53" t="str">
        <f>IF(AND('Mapa final'!$AI$44="Baja",'Mapa final'!$AK$44="Catastrófico"),CONCATENATE("R8C",'Mapa final'!$Y$44),"")</f>
        <v/>
      </c>
      <c r="AL43" s="53" t="str">
        <f>IF(AND('Mapa final'!$AI$45="Baja",'Mapa final'!$AK$45="Catastrófico"),CONCATENATE("R8C",'Mapa final'!$Y$45),"")</f>
        <v/>
      </c>
      <c r="AM43" s="54" t="str">
        <f>IF(AND('Mapa final'!$AI$46="Baja",'Mapa final'!$AK$46="Catastrófico"),CONCATENATE("R8C",'Mapa final'!$Y$46),"")</f>
        <v/>
      </c>
      <c r="AN43" s="80"/>
      <c r="AO43" s="461"/>
      <c r="AP43" s="462"/>
      <c r="AQ43" s="462"/>
      <c r="AR43" s="462"/>
      <c r="AS43" s="462"/>
      <c r="AT43" s="463"/>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342"/>
      <c r="C44" s="342"/>
      <c r="D44" s="343"/>
      <c r="E44" s="441"/>
      <c r="F44" s="440"/>
      <c r="G44" s="440"/>
      <c r="H44" s="440"/>
      <c r="I44" s="440"/>
      <c r="J44" s="73" t="str">
        <f>IF(AND('Mapa final'!$AI$47="Baja",'Mapa final'!$AK$47="Leve"),CONCATENATE("R9C",'Mapa final'!$Y$47),"")</f>
        <v/>
      </c>
      <c r="K44" s="74" t="str">
        <f>IF(AND('Mapa final'!$AI$48="Baja",'Mapa final'!$AK$48="Leve"),CONCATENATE("R9C",'Mapa final'!$Y$48),"")</f>
        <v/>
      </c>
      <c r="L44" s="74" t="str">
        <f>IF(AND('Mapa final'!$AI$49="Baja",'Mapa final'!$AK$49="Leve"),CONCATENATE("R9C",'Mapa final'!$Y$49),"")</f>
        <v/>
      </c>
      <c r="M44" s="74" t="str">
        <f>IF(AND('Mapa final'!$AI$50="Baja",'Mapa final'!$AK$50="Leve"),CONCATENATE("R9C",'Mapa final'!$Y$50),"")</f>
        <v/>
      </c>
      <c r="N44" s="74" t="str">
        <f>IF(AND('Mapa final'!$AI$51="Baja",'Mapa final'!$AK$51="Leve"),CONCATENATE("R9C",'Mapa final'!$Y$51),"")</f>
        <v/>
      </c>
      <c r="O44" s="75" t="str">
        <f>IF(AND('Mapa final'!$AI$52="Baja",'Mapa final'!$AK$52="Leve"),CONCATENATE("R9C",'Mapa final'!$Y$52),"")</f>
        <v/>
      </c>
      <c r="P44" s="64" t="str">
        <f>IF(AND('Mapa final'!$AI$47="Baja",'Mapa final'!$AK$47="Menor"),CONCATENATE("R9C",'Mapa final'!$Y$47),"")</f>
        <v/>
      </c>
      <c r="Q44" s="65" t="str">
        <f>IF(AND('Mapa final'!$AI$48="Baja",'Mapa final'!$AK$48="Menor"),CONCATENATE("R9C",'Mapa final'!$Y$48),"")</f>
        <v/>
      </c>
      <c r="R44" s="65" t="str">
        <f>IF(AND('Mapa final'!$AI$49="Baja",'Mapa final'!$AK$49="Menor"),CONCATENATE("R9C",'Mapa final'!$Y$49),"")</f>
        <v/>
      </c>
      <c r="S44" s="65" t="str">
        <f>IF(AND('Mapa final'!$AI$50="Baja",'Mapa final'!$AK$50="Menor"),CONCATENATE("R9C",'Mapa final'!$Y$50),"")</f>
        <v/>
      </c>
      <c r="T44" s="65" t="str">
        <f>IF(AND('Mapa final'!$AI$51="Baja",'Mapa final'!$AK$51="Menor"),CONCATENATE("R9C",'Mapa final'!$Y$51),"")</f>
        <v/>
      </c>
      <c r="U44" s="66" t="str">
        <f>IF(AND('Mapa final'!$AI$52="Baja",'Mapa final'!$AK$52="Menor"),CONCATENATE("R9C",'Mapa final'!$Y$52),"")</f>
        <v/>
      </c>
      <c r="V44" s="64" t="str">
        <f>IF(AND('Mapa final'!$AI$47="Baja",'Mapa final'!$AK$47="Moderado"),CONCATENATE("R9C",'Mapa final'!$Y$47),"")</f>
        <v/>
      </c>
      <c r="W44" s="65" t="str">
        <f>IF(AND('Mapa final'!$AI$48="Baja",'Mapa final'!$AK$48="Moderado"),CONCATENATE("R9C",'Mapa final'!$Y$48),"")</f>
        <v/>
      </c>
      <c r="X44" s="65" t="str">
        <f>IF(AND('Mapa final'!$AI$49="Baja",'Mapa final'!$AK$49="Moderado"),CONCATENATE("R9C",'Mapa final'!$Y$49),"")</f>
        <v/>
      </c>
      <c r="Y44" s="65" t="str">
        <f>IF(AND('Mapa final'!$AI$50="Baja",'Mapa final'!$AK$50="Moderado"),CONCATENATE("R9C",'Mapa final'!$Y$50),"")</f>
        <v/>
      </c>
      <c r="Z44" s="65" t="str">
        <f>IF(AND('Mapa final'!$AI$51="Baja",'Mapa final'!$AK$51="Moderado"),CONCATENATE("R9C",'Mapa final'!$Y$51),"")</f>
        <v/>
      </c>
      <c r="AA44" s="66" t="str">
        <f>IF(AND('Mapa final'!$AI$52="Baja",'Mapa final'!$AK$52="Moderado"),CONCATENATE("R9C",'Mapa final'!$Y$52),"")</f>
        <v/>
      </c>
      <c r="AB44" s="49" t="str">
        <f>IF(AND('Mapa final'!$AI$47="Baja",'Mapa final'!$AK$47="Mayor"),CONCATENATE("R9C",'Mapa final'!$Y$47),"")</f>
        <v/>
      </c>
      <c r="AC44" s="50" t="str">
        <f>IF(AND('Mapa final'!$AI$48="Baja",'Mapa final'!$AK$48="Mayor"),CONCATENATE("R9C",'Mapa final'!$Y$48),"")</f>
        <v/>
      </c>
      <c r="AD44" s="50" t="str">
        <f>IF(AND('Mapa final'!$AI$49="Baja",'Mapa final'!$AK$49="Mayor"),CONCATENATE("R9C",'Mapa final'!$Y$49),"")</f>
        <v/>
      </c>
      <c r="AE44" s="50" t="str">
        <f>IF(AND('Mapa final'!$AI$50="Baja",'Mapa final'!$AK$50="Mayor"),CONCATENATE("R9C",'Mapa final'!$Y$50),"")</f>
        <v/>
      </c>
      <c r="AF44" s="50" t="str">
        <f>IF(AND('Mapa final'!$AI$51="Baja",'Mapa final'!$AK$51="Mayor"),CONCATENATE("R9C",'Mapa final'!$Y$51),"")</f>
        <v/>
      </c>
      <c r="AG44" s="51" t="str">
        <f>IF(AND('Mapa final'!$AI$52="Baja",'Mapa final'!$AK$52="Mayor"),CONCATENATE("R9C",'Mapa final'!$Y$52),"")</f>
        <v/>
      </c>
      <c r="AH44" s="52" t="str">
        <f>IF(AND('Mapa final'!$AI$47="Baja",'Mapa final'!$AK$47="Catastrófico"),CONCATENATE("R9C",'Mapa final'!$Y$47),"")</f>
        <v/>
      </c>
      <c r="AI44" s="53" t="str">
        <f>IF(AND('Mapa final'!$AI$48="Baja",'Mapa final'!$AK$48="Catastrófico"),CONCATENATE("R9C",'Mapa final'!$Y$48),"")</f>
        <v/>
      </c>
      <c r="AJ44" s="53" t="str">
        <f>IF(AND('Mapa final'!$AI$49="Baja",'Mapa final'!$AK$49="Catastrófico"),CONCATENATE("R9C",'Mapa final'!$Y$49),"")</f>
        <v/>
      </c>
      <c r="AK44" s="53" t="str">
        <f>IF(AND('Mapa final'!$AI$50="Baja",'Mapa final'!$AK$50="Catastrófico"),CONCATENATE("R9C",'Mapa final'!$Y$50),"")</f>
        <v/>
      </c>
      <c r="AL44" s="53" t="str">
        <f>IF(AND('Mapa final'!$AI$51="Baja",'Mapa final'!$AK$51="Catastrófico"),CONCATENATE("R9C",'Mapa final'!$Y$51),"")</f>
        <v/>
      </c>
      <c r="AM44" s="54" t="str">
        <f>IF(AND('Mapa final'!$AI$52="Baja",'Mapa final'!$AK$52="Catastrófico"),CONCATENATE("R9C",'Mapa final'!$Y$52),"")</f>
        <v/>
      </c>
      <c r="AN44" s="80"/>
      <c r="AO44" s="461"/>
      <c r="AP44" s="462"/>
      <c r="AQ44" s="462"/>
      <c r="AR44" s="462"/>
      <c r="AS44" s="462"/>
      <c r="AT44" s="463"/>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342"/>
      <c r="C45" s="342"/>
      <c r="D45" s="343"/>
      <c r="E45" s="442"/>
      <c r="F45" s="443"/>
      <c r="G45" s="443"/>
      <c r="H45" s="443"/>
      <c r="I45" s="443"/>
      <c r="J45" s="76" t="str">
        <f>IF(AND('Mapa final'!$AI$53="Baja",'Mapa final'!$AK$53="Leve"),CONCATENATE("R10C",'Mapa final'!$Y$53),"")</f>
        <v/>
      </c>
      <c r="K45" s="77" t="str">
        <f>IF(AND('Mapa final'!$AI$54="Baja",'Mapa final'!$AK$54="Leve"),CONCATENATE("R10C",'Mapa final'!$Y$54),"")</f>
        <v/>
      </c>
      <c r="L45" s="77" t="str">
        <f>IF(AND('Mapa final'!$AI$55="Baja",'Mapa final'!$AK$55="Leve"),CONCATENATE("R10C",'Mapa final'!$Y$55),"")</f>
        <v/>
      </c>
      <c r="M45" s="77" t="str">
        <f>IF(AND('Mapa final'!$AI$56="Baja",'Mapa final'!$AK$56="Leve"),CONCATENATE("R10C",'Mapa final'!$Y$56),"")</f>
        <v/>
      </c>
      <c r="N45" s="77" t="str">
        <f>IF(AND('Mapa final'!$AI$57="Baja",'Mapa final'!$AK$57="Leve"),CONCATENATE("R10C",'Mapa final'!$Y$57),"")</f>
        <v/>
      </c>
      <c r="O45" s="78" t="str">
        <f>IF(AND('Mapa final'!$AI$58="Baja",'Mapa final'!$AK$58="Leve"),CONCATENATE("R10C",'Mapa final'!$Y$58),"")</f>
        <v/>
      </c>
      <c r="P45" s="64" t="str">
        <f>IF(AND('Mapa final'!$AI$53="Baja",'Mapa final'!$AK$53="Menor"),CONCATENATE("R10C",'Mapa final'!$Y$53),"")</f>
        <v/>
      </c>
      <c r="Q45" s="65" t="str">
        <f>IF(AND('Mapa final'!$AI$54="Baja",'Mapa final'!$AK$54="Menor"),CONCATENATE("R10C",'Mapa final'!$Y$54),"")</f>
        <v/>
      </c>
      <c r="R45" s="65" t="str">
        <f>IF(AND('Mapa final'!$AI$55="Baja",'Mapa final'!$AK$55="Menor"),CONCATENATE("R10C",'Mapa final'!$Y$55),"")</f>
        <v/>
      </c>
      <c r="S45" s="65" t="str">
        <f>IF(AND('Mapa final'!$AI$56="Baja",'Mapa final'!$AK$56="Menor"),CONCATENATE("R10C",'Mapa final'!$Y$56),"")</f>
        <v/>
      </c>
      <c r="T45" s="65" t="str">
        <f>IF(AND('Mapa final'!$AI$57="Baja",'Mapa final'!$AK$57="Menor"),CONCATENATE("R10C",'Mapa final'!$Y$57),"")</f>
        <v/>
      </c>
      <c r="U45" s="66" t="str">
        <f>IF(AND('Mapa final'!$AI$58="Baja",'Mapa final'!$AK$58="Menor"),CONCATENATE("R10C",'Mapa final'!$Y$58),"")</f>
        <v/>
      </c>
      <c r="V45" s="67" t="str">
        <f>IF(AND('Mapa final'!$AI$53="Baja",'Mapa final'!$AK$53="Moderado"),CONCATENATE("R10C",'Mapa final'!$Y$53),"")</f>
        <v/>
      </c>
      <c r="W45" s="68" t="str">
        <f>IF(AND('Mapa final'!$AI$54="Baja",'Mapa final'!$AK$54="Moderado"),CONCATENATE("R10C",'Mapa final'!$Y$54),"")</f>
        <v/>
      </c>
      <c r="X45" s="68" t="str">
        <f>IF(AND('Mapa final'!$AI$55="Baja",'Mapa final'!$AK$55="Moderado"),CONCATENATE("R10C",'Mapa final'!$Y$55),"")</f>
        <v/>
      </c>
      <c r="Y45" s="68" t="str">
        <f>IF(AND('Mapa final'!$AI$56="Baja",'Mapa final'!$AK$56="Moderado"),CONCATENATE("R10C",'Mapa final'!$Y$56),"")</f>
        <v/>
      </c>
      <c r="Z45" s="68" t="str">
        <f>IF(AND('Mapa final'!$AI$57="Baja",'Mapa final'!$AK$57="Moderado"),CONCATENATE("R10C",'Mapa final'!$Y$57),"")</f>
        <v/>
      </c>
      <c r="AA45" s="69" t="str">
        <f>IF(AND('Mapa final'!$AI$58="Baja",'Mapa final'!$AK$58="Moderado"),CONCATENATE("R10C",'Mapa final'!$Y$58),"")</f>
        <v/>
      </c>
      <c r="AB45" s="55" t="str">
        <f>IF(AND('Mapa final'!$AI$53="Baja",'Mapa final'!$AK$53="Mayor"),CONCATENATE("R10C",'Mapa final'!$Y$53),"")</f>
        <v/>
      </c>
      <c r="AC45" s="56" t="str">
        <f>IF(AND('Mapa final'!$AI$54="Baja",'Mapa final'!$AK$54="Mayor"),CONCATENATE("R10C",'Mapa final'!$Y$54),"")</f>
        <v/>
      </c>
      <c r="AD45" s="56" t="str">
        <f>IF(AND('Mapa final'!$AI$55="Baja",'Mapa final'!$AK$55="Mayor"),CONCATENATE("R10C",'Mapa final'!$Y$55),"")</f>
        <v/>
      </c>
      <c r="AE45" s="56" t="str">
        <f>IF(AND('Mapa final'!$AI$56="Baja",'Mapa final'!$AK$56="Mayor"),CONCATENATE("R10C",'Mapa final'!$Y$56),"")</f>
        <v/>
      </c>
      <c r="AF45" s="56" t="str">
        <f>IF(AND('Mapa final'!$AI$57="Baja",'Mapa final'!$AK$57="Mayor"),CONCATENATE("R10C",'Mapa final'!$Y$57),"")</f>
        <v/>
      </c>
      <c r="AG45" s="57" t="str">
        <f>IF(AND('Mapa final'!$AI$58="Baja",'Mapa final'!$AK$58="Mayor"),CONCATENATE("R10C",'Mapa final'!$Y$58),"")</f>
        <v/>
      </c>
      <c r="AH45" s="58" t="str">
        <f>IF(AND('Mapa final'!$AI$53="Baja",'Mapa final'!$AK$53="Catastrófico"),CONCATENATE("R10C",'Mapa final'!$Y$53),"")</f>
        <v/>
      </c>
      <c r="AI45" s="59" t="str">
        <f>IF(AND('Mapa final'!$AI$54="Baja",'Mapa final'!$AK$54="Catastrófico"),CONCATENATE("R10C",'Mapa final'!$Y$54),"")</f>
        <v/>
      </c>
      <c r="AJ45" s="59" t="str">
        <f>IF(AND('Mapa final'!$AI$55="Baja",'Mapa final'!$AK$55="Catastrófico"),CONCATENATE("R10C",'Mapa final'!$Y$55),"")</f>
        <v/>
      </c>
      <c r="AK45" s="59" t="str">
        <f>IF(AND('Mapa final'!$AI$56="Baja",'Mapa final'!$AK$56="Catastrófico"),CONCATENATE("R10C",'Mapa final'!$Y$56),"")</f>
        <v/>
      </c>
      <c r="AL45" s="59" t="str">
        <f>IF(AND('Mapa final'!$AI$57="Baja",'Mapa final'!$AK$57="Catastrófico"),CONCATENATE("R10C",'Mapa final'!$Y$57),"")</f>
        <v/>
      </c>
      <c r="AM45" s="60" t="str">
        <f>IF(AND('Mapa final'!$AI$58="Baja",'Mapa final'!$AK$58="Catastrófico"),CONCATENATE("R10C",'Mapa final'!$Y$58),"")</f>
        <v/>
      </c>
      <c r="AN45" s="80"/>
      <c r="AO45" s="464"/>
      <c r="AP45" s="465"/>
      <c r="AQ45" s="465"/>
      <c r="AR45" s="465"/>
      <c r="AS45" s="465"/>
      <c r="AT45" s="466"/>
    </row>
    <row r="46" spans="1:80" ht="46.5" customHeight="1" x14ac:dyDescent="0.35">
      <c r="A46" s="80"/>
      <c r="B46" s="342"/>
      <c r="C46" s="342"/>
      <c r="D46" s="343"/>
      <c r="E46" s="437" t="s">
        <v>176</v>
      </c>
      <c r="F46" s="438"/>
      <c r="G46" s="438"/>
      <c r="H46" s="438"/>
      <c r="I46" s="455"/>
      <c r="J46" s="70" t="str">
        <f>IF(AND('Mapa final'!$AI$11="Muy Baja",'Mapa final'!$AK$11="Leve"),CONCATENATE("R1C",'Mapa final'!$Y$11),"")</f>
        <v/>
      </c>
      <c r="K46" s="71" t="str">
        <f>IF(AND('Mapa final'!$AI$12="Muy Baja",'Mapa final'!$AK$12="Leve"),CONCATENATE("R1C",'Mapa final'!$Y$12),"")</f>
        <v/>
      </c>
      <c r="L46" s="71" t="str">
        <f>IF(AND('Mapa final'!$AI$13="Muy Baja",'Mapa final'!$AK$13="Leve"),CONCATENATE("R1C",'Mapa final'!$Y$13),"")</f>
        <v/>
      </c>
      <c r="M46" s="71" t="e">
        <f>IF(AND('Mapa final'!#REF!="Muy Baja",'Mapa final'!#REF!="Leve"),CONCATENATE("R1C",'Mapa final'!#REF!),"")</f>
        <v>#REF!</v>
      </c>
      <c r="N46" s="71" t="e">
        <f>IF(AND('Mapa final'!#REF!="Muy Baja",'Mapa final'!#REF!="Leve"),CONCATENATE("R1C",'Mapa final'!#REF!),"")</f>
        <v>#REF!</v>
      </c>
      <c r="O46" s="72" t="e">
        <f>IF(AND('Mapa final'!#REF!="Muy Baja",'Mapa final'!#REF!="Leve"),CONCATENATE("R1C",'Mapa final'!#REF!),"")</f>
        <v>#REF!</v>
      </c>
      <c r="P46" s="70" t="str">
        <f>IF(AND('Mapa final'!$AI$11="Muy Baja",'Mapa final'!$AK$11="Menor"),CONCATENATE("R1C",'Mapa final'!$Y$11),"")</f>
        <v/>
      </c>
      <c r="Q46" s="71" t="str">
        <f>IF(AND('Mapa final'!$AI$12="Muy Baja",'Mapa final'!$AK$12="Menor"),CONCATENATE("R1C",'Mapa final'!$Y$12),"")</f>
        <v/>
      </c>
      <c r="R46" s="71" t="str">
        <f>IF(AND('Mapa final'!$AI$13="Muy Baja",'Mapa final'!$AK$13="Menor"),CONCATENATE("R1C",'Mapa final'!$Y$13),"")</f>
        <v/>
      </c>
      <c r="S46" s="71" t="e">
        <f>IF(AND('Mapa final'!#REF!="Muy Baja",'Mapa final'!#REF!="Menor"),CONCATENATE("R1C",'Mapa final'!#REF!),"")</f>
        <v>#REF!</v>
      </c>
      <c r="T46" s="71" t="e">
        <f>IF(AND('Mapa final'!#REF!="Muy Baja",'Mapa final'!#REF!="Menor"),CONCATENATE("R1C",'Mapa final'!#REF!),"")</f>
        <v>#REF!</v>
      </c>
      <c r="U46" s="72" t="e">
        <f>IF(AND('Mapa final'!#REF!="Muy Baja",'Mapa final'!#REF!="Menor"),CONCATENATE("R1C",'Mapa final'!#REF!),"")</f>
        <v>#REF!</v>
      </c>
      <c r="V46" s="61" t="str">
        <f>IF(AND('Mapa final'!$AI$11="Muy Baja",'Mapa final'!$AK$11="Moderado"),CONCATENATE("R1C",'Mapa final'!$Y$11),"")</f>
        <v/>
      </c>
      <c r="W46" s="79" t="str">
        <f>IF(AND('Mapa final'!$AI$12="Muy Baja",'Mapa final'!$AK$12="Moderado"),CONCATENATE("R1C",'Mapa final'!$Y$12),"")</f>
        <v/>
      </c>
      <c r="X46" s="62" t="str">
        <f>IF(AND('Mapa final'!$AI$13="Muy Baja",'Mapa final'!$AK$13="Moderado"),CONCATENATE("R1C",'Mapa final'!$Y$13),"")</f>
        <v/>
      </c>
      <c r="Y46" s="62" t="e">
        <f>IF(AND('Mapa final'!#REF!="Muy Baja",'Mapa final'!#REF!="Moderado"),CONCATENATE("R1C",'Mapa final'!#REF!),"")</f>
        <v>#REF!</v>
      </c>
      <c r="Z46" s="62" t="e">
        <f>IF(AND('Mapa final'!#REF!="Muy Baja",'Mapa final'!#REF!="Moderado"),CONCATENATE("R1C",'Mapa final'!#REF!),"")</f>
        <v>#REF!</v>
      </c>
      <c r="AA46" s="63" t="e">
        <f>IF(AND('Mapa final'!#REF!="Muy Baja",'Mapa final'!#REF!="Moderado"),CONCATENATE("R1C",'Mapa final'!#REF!),"")</f>
        <v>#REF!</v>
      </c>
      <c r="AB46" s="43" t="str">
        <f>IF(AND('Mapa final'!$AI$11="Muy Baja",'Mapa final'!$AK$11="Mayor"),CONCATENATE("R1C",'Mapa final'!$Y$11),"")</f>
        <v/>
      </c>
      <c r="AC46" s="44" t="str">
        <f>IF(AND('Mapa final'!$AI$12="Muy Baja",'Mapa final'!$AK$12="Mayor"),CONCATENATE("R1C",'Mapa final'!$Y$12),"")</f>
        <v/>
      </c>
      <c r="AD46" s="44" t="str">
        <f>IF(AND('Mapa final'!$AI$13="Muy Baja",'Mapa final'!$AK$13="Mayor"),CONCATENATE("R1C",'Mapa final'!$Y$13),"")</f>
        <v/>
      </c>
      <c r="AE46" s="44" t="e">
        <f>IF(AND('Mapa final'!#REF!="Muy Baja",'Mapa final'!#REF!="Mayor"),CONCATENATE("R1C",'Mapa final'!#REF!),"")</f>
        <v>#REF!</v>
      </c>
      <c r="AF46" s="44" t="e">
        <f>IF(AND('Mapa final'!#REF!="Muy Baja",'Mapa final'!#REF!="Mayor"),CONCATENATE("R1C",'Mapa final'!#REF!),"")</f>
        <v>#REF!</v>
      </c>
      <c r="AG46" s="45" t="e">
        <f>IF(AND('Mapa final'!#REF!="Muy Baja",'Mapa final'!#REF!="Mayor"),CONCATENATE("R1C",'Mapa final'!#REF!),"")</f>
        <v>#REF!</v>
      </c>
      <c r="AH46" s="46" t="str">
        <f>IF(AND('Mapa final'!$AI$11="Muy Baja",'Mapa final'!$AK$11="Catastrófico"),CONCATENATE("R1C",'Mapa final'!$Y$11),"")</f>
        <v/>
      </c>
      <c r="AI46" s="47" t="str">
        <f>IF(AND('Mapa final'!$AI$12="Muy Baja",'Mapa final'!$AK$12="Catastrófico"),CONCATENATE("R1C",'Mapa final'!$Y$12),"")</f>
        <v/>
      </c>
      <c r="AJ46" s="47" t="str">
        <f>IF(AND('Mapa final'!$AI$13="Muy Baja",'Mapa final'!$AK$13="Catastrófico"),CONCATENATE("R1C",'Mapa final'!$Y$13),"")</f>
        <v/>
      </c>
      <c r="AK46" s="47" t="e">
        <f>IF(AND('Mapa final'!#REF!="Muy Baja",'Mapa final'!#REF!="Catastrófico"),CONCATENATE("R1C",'Mapa final'!#REF!),"")</f>
        <v>#REF!</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342"/>
      <c r="C47" s="342"/>
      <c r="D47" s="343"/>
      <c r="E47" s="439"/>
      <c r="F47" s="440"/>
      <c r="G47" s="440"/>
      <c r="H47" s="440"/>
      <c r="I47" s="456"/>
      <c r="J47" s="73" t="str">
        <f>IF(AND('Mapa final'!$AI$14="Muy Baja",'Mapa final'!$AK$14="Leve"),CONCATENATE("R2C",'Mapa final'!$Y$14),"")</f>
        <v/>
      </c>
      <c r="K47" s="74" t="str">
        <f>IF(AND('Mapa final'!$AI$15="Muy Baja",'Mapa final'!$AK$15="Leve"),CONCATENATE("R2C",'Mapa final'!$Y$15),"")</f>
        <v/>
      </c>
      <c r="L47" s="74" t="str">
        <f>IF(AND('Mapa final'!$AI$16="Muy Baja",'Mapa final'!$AK$16="Leve"),CONCATENATE("R2C",'Mapa final'!$Y$16),"")</f>
        <v/>
      </c>
      <c r="M47" s="74" t="e">
        <f>IF(AND('Mapa final'!#REF!="Muy Baja",'Mapa final'!#REF!="Leve"),CONCATENATE("R2C",'Mapa final'!#REF!),"")</f>
        <v>#REF!</v>
      </c>
      <c r="N47" s="74" t="e">
        <f>IF(AND('Mapa final'!#REF!="Muy Baja",'Mapa final'!#REF!="Leve"),CONCATENATE("R2C",'Mapa final'!#REF!),"")</f>
        <v>#REF!</v>
      </c>
      <c r="O47" s="75" t="e">
        <f>IF(AND('Mapa final'!#REF!="Muy Baja",'Mapa final'!#REF!="Leve"),CONCATENATE("R2C",'Mapa final'!#REF!),"")</f>
        <v>#REF!</v>
      </c>
      <c r="P47" s="73" t="str">
        <f>IF(AND('Mapa final'!$AI$14="Muy Baja",'Mapa final'!$AK$14="Menor"),CONCATENATE("R2C",'Mapa final'!$Y$14),"")</f>
        <v/>
      </c>
      <c r="Q47" s="74" t="str">
        <f>IF(AND('Mapa final'!$AI$15="Muy Baja",'Mapa final'!$AK$15="Menor"),CONCATENATE("R2C",'Mapa final'!$Y$15),"")</f>
        <v/>
      </c>
      <c r="R47" s="74" t="str">
        <f>IF(AND('Mapa final'!$AI$16="Muy Baja",'Mapa final'!$AK$16="Menor"),CONCATENATE("R2C",'Mapa final'!$Y$16),"")</f>
        <v/>
      </c>
      <c r="S47" s="74" t="e">
        <f>IF(AND('Mapa final'!#REF!="Muy Baja",'Mapa final'!#REF!="Menor"),CONCATENATE("R2C",'Mapa final'!#REF!),"")</f>
        <v>#REF!</v>
      </c>
      <c r="T47" s="74" t="e">
        <f>IF(AND('Mapa final'!#REF!="Muy Baja",'Mapa final'!#REF!="Menor"),CONCATENATE("R2C",'Mapa final'!#REF!),"")</f>
        <v>#REF!</v>
      </c>
      <c r="U47" s="75" t="e">
        <f>IF(AND('Mapa final'!#REF!="Muy Baja",'Mapa final'!#REF!="Menor"),CONCATENATE("R2C",'Mapa final'!#REF!),"")</f>
        <v>#REF!</v>
      </c>
      <c r="V47" s="64" t="str">
        <f>IF(AND('Mapa final'!$AI$14="Muy Baja",'Mapa final'!$AK$14="Moderado"),CONCATENATE("R2C",'Mapa final'!$Y$14),"")</f>
        <v>R2C1</v>
      </c>
      <c r="W47" s="65" t="str">
        <f>IF(AND('Mapa final'!$AI$15="Muy Baja",'Mapa final'!$AK$15="Moderado"),CONCATENATE("R2C",'Mapa final'!$Y$15),"")</f>
        <v/>
      </c>
      <c r="X47" s="65" t="str">
        <f>IF(AND('Mapa final'!$AI$16="Muy Baja",'Mapa final'!$AK$16="Moderado"),CONCATENATE("R2C",'Mapa final'!$Y$16),"")</f>
        <v/>
      </c>
      <c r="Y47" s="65" t="e">
        <f>IF(AND('Mapa final'!#REF!="Muy Baja",'Mapa final'!#REF!="Moderado"),CONCATENATE("R2C",'Mapa final'!#REF!),"")</f>
        <v>#REF!</v>
      </c>
      <c r="Z47" s="65" t="e">
        <f>IF(AND('Mapa final'!#REF!="Muy Baja",'Mapa final'!#REF!="Moderado"),CONCATENATE("R2C",'Mapa final'!#REF!),"")</f>
        <v>#REF!</v>
      </c>
      <c r="AA47" s="66" t="e">
        <f>IF(AND('Mapa final'!#REF!="Muy Baja",'Mapa final'!#REF!="Moderado"),CONCATENATE("R2C",'Mapa final'!#REF!),"")</f>
        <v>#REF!</v>
      </c>
      <c r="AB47" s="49" t="str">
        <f>IF(AND('Mapa final'!$AI$14="Muy Baja",'Mapa final'!$AK$14="Mayor"),CONCATENATE("R2C",'Mapa final'!$Y$14),"")</f>
        <v/>
      </c>
      <c r="AC47" s="50" t="str">
        <f>IF(AND('Mapa final'!$AI$15="Muy Baja",'Mapa final'!$AK$15="Mayor"),CONCATENATE("R2C",'Mapa final'!$Y$15),"")</f>
        <v/>
      </c>
      <c r="AD47" s="50" t="str">
        <f>IF(AND('Mapa final'!$AI$16="Muy Baja",'Mapa final'!$AK$16="Mayor"),CONCATENATE("R2C",'Mapa final'!$Y$16),"")</f>
        <v/>
      </c>
      <c r="AE47" s="50" t="e">
        <f>IF(AND('Mapa final'!#REF!="Muy Baja",'Mapa final'!#REF!="Mayor"),CONCATENATE("R2C",'Mapa final'!#REF!),"")</f>
        <v>#REF!</v>
      </c>
      <c r="AF47" s="50" t="e">
        <f>IF(AND('Mapa final'!#REF!="Muy Baja",'Mapa final'!#REF!="Mayor"),CONCATENATE("R2C",'Mapa final'!#REF!),"")</f>
        <v>#REF!</v>
      </c>
      <c r="AG47" s="51" t="e">
        <f>IF(AND('Mapa final'!#REF!="Muy Baja",'Mapa final'!#REF!="Mayor"),CONCATENATE("R2C",'Mapa final'!#REF!),"")</f>
        <v>#REF!</v>
      </c>
      <c r="AH47" s="52" t="str">
        <f>IF(AND('Mapa final'!$AI$14="Muy Baja",'Mapa final'!$AK$14="Catastrófico"),CONCATENATE("R2C",'Mapa final'!$Y$14),"")</f>
        <v/>
      </c>
      <c r="AI47" s="53" t="str">
        <f>IF(AND('Mapa final'!$AI$15="Muy Baja",'Mapa final'!$AK$15="Catastrófico"),CONCATENATE("R2C",'Mapa final'!$Y$15),"")</f>
        <v/>
      </c>
      <c r="AJ47" s="53" t="str">
        <f>IF(AND('Mapa final'!$AI$16="Muy Baja",'Mapa final'!$AK$16="Catastrófico"),CONCATENATE("R2C",'Mapa final'!$Y$16),"")</f>
        <v/>
      </c>
      <c r="AK47" s="53" t="e">
        <f>IF(AND('Mapa final'!#REF!="Muy Baja",'Mapa final'!#REF!="Catastrófico"),CONCATENATE("R2C",'Mapa final'!#REF!),"")</f>
        <v>#REF!</v>
      </c>
      <c r="AL47" s="53" t="e">
        <f>IF(AND('Mapa final'!#REF!="Muy Baja",'Mapa final'!#REF!="Catastrófico"),CONCATENATE("R2C",'Mapa final'!#REF!),"")</f>
        <v>#REF!</v>
      </c>
      <c r="AM47" s="54" t="e">
        <f>IF(AND('Mapa final'!#REF!="Muy Baja",'Mapa final'!#REF!="Catastrófico"),CONCATENATE("R2C",'Mapa final'!#REF!),"")</f>
        <v>#REF!</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342"/>
      <c r="C48" s="342"/>
      <c r="D48" s="343"/>
      <c r="E48" s="439"/>
      <c r="F48" s="440"/>
      <c r="G48" s="440"/>
      <c r="H48" s="440"/>
      <c r="I48" s="456"/>
      <c r="J48" s="73" t="str">
        <f>IF(AND('Mapa final'!$AI$17="Muy Baja",'Mapa final'!$AK$17="Leve"),CONCATENATE("R3C",'Mapa final'!$Y$17),"")</f>
        <v/>
      </c>
      <c r="K48" s="74" t="str">
        <f>IF(AND('Mapa final'!$AI$18="Muy Baja",'Mapa final'!$AK$18="Leve"),CONCATENATE("R3C",'Mapa final'!$Y$18),"")</f>
        <v/>
      </c>
      <c r="L48" s="74" t="str">
        <f>IF(AND('Mapa final'!$AI$19="Muy Baja",'Mapa final'!$AK$19="Leve"),CONCATENATE("R3C",'Mapa final'!$Y$19),"")</f>
        <v/>
      </c>
      <c r="M48" s="74" t="e">
        <f>IF(AND('Mapa final'!#REF!="Muy Baja",'Mapa final'!#REF!="Leve"),CONCATENATE("R3C",'Mapa final'!#REF!),"")</f>
        <v>#REF!</v>
      </c>
      <c r="N48" s="74" t="e">
        <f>IF(AND('Mapa final'!#REF!="Muy Baja",'Mapa final'!#REF!="Leve"),CONCATENATE("R3C",'Mapa final'!#REF!),"")</f>
        <v>#REF!</v>
      </c>
      <c r="O48" s="75" t="e">
        <f>IF(AND('Mapa final'!#REF!="Muy Baja",'Mapa final'!#REF!="Leve"),CONCATENATE("R3C",'Mapa final'!#REF!),"")</f>
        <v>#REF!</v>
      </c>
      <c r="P48" s="73" t="str">
        <f>IF(AND('Mapa final'!$AI$17="Muy Baja",'Mapa final'!$AK$17="Menor"),CONCATENATE("R3C",'Mapa final'!$Y$17),"")</f>
        <v/>
      </c>
      <c r="Q48" s="74" t="str">
        <f>IF(AND('Mapa final'!$AI$18="Muy Baja",'Mapa final'!$AK$18="Menor"),CONCATENATE("R3C",'Mapa final'!$Y$18),"")</f>
        <v/>
      </c>
      <c r="R48" s="74" t="str">
        <f>IF(AND('Mapa final'!$AI$19="Muy Baja",'Mapa final'!$AK$19="Menor"),CONCATENATE("R3C",'Mapa final'!$Y$19),"")</f>
        <v/>
      </c>
      <c r="S48" s="74" t="e">
        <f>IF(AND('Mapa final'!#REF!="Muy Baja",'Mapa final'!#REF!="Menor"),CONCATENATE("R3C",'Mapa final'!#REF!),"")</f>
        <v>#REF!</v>
      </c>
      <c r="T48" s="74" t="e">
        <f>IF(AND('Mapa final'!#REF!="Muy Baja",'Mapa final'!#REF!="Menor"),CONCATENATE("R3C",'Mapa final'!#REF!),"")</f>
        <v>#REF!</v>
      </c>
      <c r="U48" s="75" t="e">
        <f>IF(AND('Mapa final'!#REF!="Muy Baja",'Mapa final'!#REF!="Menor"),CONCATENATE("R3C",'Mapa final'!#REF!),"")</f>
        <v>#REF!</v>
      </c>
      <c r="V48" s="64" t="str">
        <f>IF(AND('Mapa final'!$AI$17="Muy Baja",'Mapa final'!$AK$17="Moderado"),CONCATENATE("R3C",'Mapa final'!$Y$17),"")</f>
        <v/>
      </c>
      <c r="W48" s="65" t="str">
        <f>IF(AND('Mapa final'!$AI$18="Muy Baja",'Mapa final'!$AK$18="Moderado"),CONCATENATE("R3C",'Mapa final'!$Y$18),"")</f>
        <v/>
      </c>
      <c r="X48" s="65" t="str">
        <f>IF(AND('Mapa final'!$AI$19="Muy Baja",'Mapa final'!$AK$19="Moderado"),CONCATENATE("R3C",'Mapa final'!$Y$19),"")</f>
        <v/>
      </c>
      <c r="Y48" s="65" t="e">
        <f>IF(AND('Mapa final'!#REF!="Muy Baja",'Mapa final'!#REF!="Moderado"),CONCATENATE("R3C",'Mapa final'!#REF!),"")</f>
        <v>#REF!</v>
      </c>
      <c r="Z48" s="65" t="e">
        <f>IF(AND('Mapa final'!#REF!="Muy Baja",'Mapa final'!#REF!="Moderado"),CONCATENATE("R3C",'Mapa final'!#REF!),"")</f>
        <v>#REF!</v>
      </c>
      <c r="AA48" s="66" t="e">
        <f>IF(AND('Mapa final'!#REF!="Muy Baja",'Mapa final'!#REF!="Moderado"),CONCATENATE("R3C",'Mapa final'!#REF!),"")</f>
        <v>#REF!</v>
      </c>
      <c r="AB48" s="49" t="str">
        <f>IF(AND('Mapa final'!$AI$17="Muy Baja",'Mapa final'!$AK$17="Mayor"),CONCATENATE("R3C",'Mapa final'!$Y$17),"")</f>
        <v/>
      </c>
      <c r="AC48" s="50" t="str">
        <f>IF(AND('Mapa final'!$AI$18="Muy Baja",'Mapa final'!$AK$18="Mayor"),CONCATENATE("R3C",'Mapa final'!$Y$18),"")</f>
        <v/>
      </c>
      <c r="AD48" s="50" t="str">
        <f>IF(AND('Mapa final'!$AI$19="Muy Baja",'Mapa final'!$AK$19="Mayor"),CONCATENATE("R3C",'Mapa final'!$Y$19),"")</f>
        <v/>
      </c>
      <c r="AE48" s="50" t="e">
        <f>IF(AND('Mapa final'!#REF!="Muy Baja",'Mapa final'!#REF!="Mayor"),CONCATENATE("R3C",'Mapa final'!#REF!),"")</f>
        <v>#REF!</v>
      </c>
      <c r="AF48" s="50" t="e">
        <f>IF(AND('Mapa final'!#REF!="Muy Baja",'Mapa final'!#REF!="Mayor"),CONCATENATE("R3C",'Mapa final'!#REF!),"")</f>
        <v>#REF!</v>
      </c>
      <c r="AG48" s="51" t="e">
        <f>IF(AND('Mapa final'!#REF!="Muy Baja",'Mapa final'!#REF!="Mayor"),CONCATENATE("R3C",'Mapa final'!#REF!),"")</f>
        <v>#REF!</v>
      </c>
      <c r="AH48" s="52" t="str">
        <f>IF(AND('Mapa final'!$AI$17="Muy Baja",'Mapa final'!$AK$17="Catastrófico"),CONCATENATE("R3C",'Mapa final'!$Y$17),"")</f>
        <v/>
      </c>
      <c r="AI48" s="53" t="str">
        <f>IF(AND('Mapa final'!$AI$18="Muy Baja",'Mapa final'!$AK$18="Catastrófico"),CONCATENATE("R3C",'Mapa final'!$Y$18),"")</f>
        <v/>
      </c>
      <c r="AJ48" s="53" t="str">
        <f>IF(AND('Mapa final'!$AI$19="Muy Baja",'Mapa final'!$AK$19="Catastrófico"),CONCATENATE("R3C",'Mapa final'!$Y$19),"")</f>
        <v/>
      </c>
      <c r="AK48" s="53" t="e">
        <f>IF(AND('Mapa final'!#REF!="Muy Baja",'Mapa final'!#REF!="Catastrófico"),CONCATENATE("R3C",'Mapa final'!#REF!),"")</f>
        <v>#REF!</v>
      </c>
      <c r="AL48" s="53" t="e">
        <f>IF(AND('Mapa final'!#REF!="Muy Baja",'Mapa final'!#REF!="Catastrófico"),CONCATENATE("R3C",'Mapa final'!#REF!),"")</f>
        <v>#REF!</v>
      </c>
      <c r="AM48" s="54" t="e">
        <f>IF(AND('Mapa final'!#REF!="Muy Baja",'Mapa final'!#REF!="Catastrófico"),CONCATENATE("R3C",'Mapa final'!#REF!),"")</f>
        <v>#REF!</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342"/>
      <c r="C49" s="342"/>
      <c r="D49" s="343"/>
      <c r="E49" s="441"/>
      <c r="F49" s="440"/>
      <c r="G49" s="440"/>
      <c r="H49" s="440"/>
      <c r="I49" s="456"/>
      <c r="J49" s="73" t="str">
        <f>IF(AND('Mapa final'!$AI$20="Muy Baja",'Mapa final'!$AK$20="Leve"),CONCATENATE("R4C",'Mapa final'!$Y$20),"")</f>
        <v/>
      </c>
      <c r="K49" s="74" t="str">
        <f>IF(AND('Mapa final'!$AI$21="Muy Baja",'Mapa final'!$AK$21="Leve"),CONCATENATE("R4C",'Mapa final'!$Y$21),"")</f>
        <v/>
      </c>
      <c r="L49" s="74" t="str">
        <f>IF(AND('Mapa final'!$AI$22="Muy Baja",'Mapa final'!$AK$22="Leve"),CONCATENATE("R4C",'Mapa final'!$Y$22),"")</f>
        <v/>
      </c>
      <c r="M49" s="74" t="e">
        <f>IF(AND('Mapa final'!#REF!="Muy Baja",'Mapa final'!#REF!="Leve"),CONCATENATE("R4C",'Mapa final'!#REF!),"")</f>
        <v>#REF!</v>
      </c>
      <c r="N49" s="74" t="e">
        <f>IF(AND('Mapa final'!#REF!="Muy Baja",'Mapa final'!#REF!="Leve"),CONCATENATE("R4C",'Mapa final'!#REF!),"")</f>
        <v>#REF!</v>
      </c>
      <c r="O49" s="75" t="e">
        <f>IF(AND('Mapa final'!#REF!="Muy Baja",'Mapa final'!#REF!="Leve"),CONCATENATE("R4C",'Mapa final'!#REF!),"")</f>
        <v>#REF!</v>
      </c>
      <c r="P49" s="73" t="str">
        <f>IF(AND('Mapa final'!$AI$20="Muy Baja",'Mapa final'!$AK$20="Menor"),CONCATENATE("R4C",'Mapa final'!$Y$20),"")</f>
        <v/>
      </c>
      <c r="Q49" s="74" t="str">
        <f>IF(AND('Mapa final'!$AI$21="Muy Baja",'Mapa final'!$AK$21="Menor"),CONCATENATE("R4C",'Mapa final'!$Y$21),"")</f>
        <v/>
      </c>
      <c r="R49" s="74" t="str">
        <f>IF(AND('Mapa final'!$AI$22="Muy Baja",'Mapa final'!$AK$22="Menor"),CONCATENATE("R4C",'Mapa final'!$Y$22),"")</f>
        <v/>
      </c>
      <c r="S49" s="74" t="e">
        <f>IF(AND('Mapa final'!#REF!="Muy Baja",'Mapa final'!#REF!="Menor"),CONCATENATE("R4C",'Mapa final'!#REF!),"")</f>
        <v>#REF!</v>
      </c>
      <c r="T49" s="74" t="e">
        <f>IF(AND('Mapa final'!#REF!="Muy Baja",'Mapa final'!#REF!="Menor"),CONCATENATE("R4C",'Mapa final'!#REF!),"")</f>
        <v>#REF!</v>
      </c>
      <c r="U49" s="75" t="e">
        <f>IF(AND('Mapa final'!#REF!="Muy Baja",'Mapa final'!#REF!="Menor"),CONCATENATE("R4C",'Mapa final'!#REF!),"")</f>
        <v>#REF!</v>
      </c>
      <c r="V49" s="64" t="str">
        <f>IF(AND('Mapa final'!$AI$20="Muy Baja",'Mapa final'!$AK$20="Moderado"),CONCATENATE("R4C",'Mapa final'!$Y$20),"")</f>
        <v/>
      </c>
      <c r="W49" s="65" t="str">
        <f>IF(AND('Mapa final'!$AI$21="Muy Baja",'Mapa final'!$AK$21="Moderado"),CONCATENATE("R4C",'Mapa final'!$Y$21),"")</f>
        <v/>
      </c>
      <c r="X49" s="65" t="str">
        <f>IF(AND('Mapa final'!$AI$22="Muy Baja",'Mapa final'!$AK$22="Moderado"),CONCATENATE("R4C",'Mapa final'!$Y$22),"")</f>
        <v/>
      </c>
      <c r="Y49" s="65" t="e">
        <f>IF(AND('Mapa final'!#REF!="Muy Baja",'Mapa final'!#REF!="Moderado"),CONCATENATE("R4C",'Mapa final'!#REF!),"")</f>
        <v>#REF!</v>
      </c>
      <c r="Z49" s="65" t="e">
        <f>IF(AND('Mapa final'!#REF!="Muy Baja",'Mapa final'!#REF!="Moderado"),CONCATENATE("R4C",'Mapa final'!#REF!),"")</f>
        <v>#REF!</v>
      </c>
      <c r="AA49" s="66" t="e">
        <f>IF(AND('Mapa final'!#REF!="Muy Baja",'Mapa final'!#REF!="Moderado"),CONCATENATE("R4C",'Mapa final'!#REF!),"")</f>
        <v>#REF!</v>
      </c>
      <c r="AB49" s="49" t="str">
        <f>IF(AND('Mapa final'!$AI$20="Muy Baja",'Mapa final'!$AK$20="Mayor"),CONCATENATE("R4C",'Mapa final'!$Y$20),"")</f>
        <v/>
      </c>
      <c r="AC49" s="50" t="str">
        <f>IF(AND('Mapa final'!$AI$21="Muy Baja",'Mapa final'!$AK$21="Mayor"),CONCATENATE("R4C",'Mapa final'!$Y$21),"")</f>
        <v/>
      </c>
      <c r="AD49" s="50" t="str">
        <f>IF(AND('Mapa final'!$AI$22="Muy Baja",'Mapa final'!$AK$22="Mayor"),CONCATENATE("R4C",'Mapa final'!$Y$22),"")</f>
        <v/>
      </c>
      <c r="AE49" s="50" t="e">
        <f>IF(AND('Mapa final'!#REF!="Muy Baja",'Mapa final'!#REF!="Mayor"),CONCATENATE("R4C",'Mapa final'!#REF!),"")</f>
        <v>#REF!</v>
      </c>
      <c r="AF49" s="50" t="e">
        <f>IF(AND('Mapa final'!#REF!="Muy Baja",'Mapa final'!#REF!="Mayor"),CONCATENATE("R4C",'Mapa final'!#REF!),"")</f>
        <v>#REF!</v>
      </c>
      <c r="AG49" s="51" t="e">
        <f>IF(AND('Mapa final'!#REF!="Muy Baja",'Mapa final'!#REF!="Mayor"),CONCATENATE("R4C",'Mapa final'!#REF!),"")</f>
        <v>#REF!</v>
      </c>
      <c r="AH49" s="52" t="str">
        <f>IF(AND('Mapa final'!$AI$20="Muy Baja",'Mapa final'!$AK$20="Catastrófico"),CONCATENATE("R4C",'Mapa final'!$Y$20),"")</f>
        <v/>
      </c>
      <c r="AI49" s="53" t="str">
        <f>IF(AND('Mapa final'!$AI$21="Muy Baja",'Mapa final'!$AK$21="Catastrófico"),CONCATENATE("R4C",'Mapa final'!$Y$21),"")</f>
        <v/>
      </c>
      <c r="AJ49" s="53" t="str">
        <f>IF(AND('Mapa final'!$AI$22="Muy Baja",'Mapa final'!$AK$22="Catastrófico"),CONCATENATE("R4C",'Mapa final'!$Y$22),"")</f>
        <v/>
      </c>
      <c r="AK49" s="53" t="e">
        <f>IF(AND('Mapa final'!#REF!="Muy Baja",'Mapa final'!#REF!="Catastrófico"),CONCATENATE("R4C",'Mapa final'!#REF!),"")</f>
        <v>#REF!</v>
      </c>
      <c r="AL49" s="53" t="e">
        <f>IF(AND('Mapa final'!#REF!="Muy Baja",'Mapa final'!#REF!="Catastrófico"),CONCATENATE("R4C",'Mapa final'!#REF!),"")</f>
        <v>#REF!</v>
      </c>
      <c r="AM49" s="54" t="e">
        <f>IF(AND('Mapa final'!#REF!="Muy Baja",'Mapa final'!#REF!="Catastrófico"),CONCATENATE("R4C",'Mapa final'!#REF!),"")</f>
        <v>#REF!</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342"/>
      <c r="C50" s="342"/>
      <c r="D50" s="343"/>
      <c r="E50" s="441"/>
      <c r="F50" s="440"/>
      <c r="G50" s="440"/>
      <c r="H50" s="440"/>
      <c r="I50" s="456"/>
      <c r="J50" s="73" t="str">
        <f>IF(AND('Mapa final'!$AI$23="Muy Baja",'Mapa final'!$AK$23="Leve"),CONCATENATE("R5C",'Mapa final'!$Y$23),"")</f>
        <v/>
      </c>
      <c r="K50" s="74" t="str">
        <f>IF(AND('Mapa final'!$AI$24="Muy Baja",'Mapa final'!$AK$24="Leve"),CONCATENATE("R5C",'Mapa final'!$Y$24),"")</f>
        <v/>
      </c>
      <c r="L50" s="74" t="str">
        <f>IF(AND('Mapa final'!$AI$25="Muy Baja",'Mapa final'!$AK$25="Leve"),CONCATENATE("R5C",'Mapa final'!$Y$25),"")</f>
        <v/>
      </c>
      <c r="M50" s="74" t="str">
        <f>IF(AND('Mapa final'!$AI$26="Muy Baja",'Mapa final'!$AK$26="Leve"),CONCATENATE("R5C",'Mapa final'!$Y$26),"")</f>
        <v/>
      </c>
      <c r="N50" s="74" t="str">
        <f>IF(AND('Mapa final'!$AI$27="Muy Baja",'Mapa final'!$AK$27="Leve"),CONCATENATE("R5C",'Mapa final'!$Y$27),"")</f>
        <v/>
      </c>
      <c r="O50" s="75" t="str">
        <f>IF(AND('Mapa final'!$AI$28="Muy Baja",'Mapa final'!$AK$28="Leve"),CONCATENATE("R5C",'Mapa final'!$Y$28),"")</f>
        <v/>
      </c>
      <c r="P50" s="73" t="str">
        <f>IF(AND('Mapa final'!$AI$23="Muy Baja",'Mapa final'!$AK$23="Menor"),CONCATENATE("R5C",'Mapa final'!$Y$23),"")</f>
        <v/>
      </c>
      <c r="Q50" s="74" t="str">
        <f>IF(AND('Mapa final'!$AI$24="Muy Baja",'Mapa final'!$AK$24="Menor"),CONCATENATE("R5C",'Mapa final'!$Y$24),"")</f>
        <v/>
      </c>
      <c r="R50" s="74" t="str">
        <f>IF(AND('Mapa final'!$AI$25="Muy Baja",'Mapa final'!$AK$25="Menor"),CONCATENATE("R5C",'Mapa final'!$Y$25),"")</f>
        <v/>
      </c>
      <c r="S50" s="74" t="str">
        <f>IF(AND('Mapa final'!$AI$26="Muy Baja",'Mapa final'!$AK$26="Menor"),CONCATENATE("R5C",'Mapa final'!$Y$26),"")</f>
        <v/>
      </c>
      <c r="T50" s="74" t="str">
        <f>IF(AND('Mapa final'!$AI$27="Muy Baja",'Mapa final'!$AK$27="Menor"),CONCATENATE("R5C",'Mapa final'!$Y$27),"")</f>
        <v/>
      </c>
      <c r="U50" s="75" t="str">
        <f>IF(AND('Mapa final'!$AI$28="Muy Baja",'Mapa final'!$AK$28="Menor"),CONCATENATE("R5C",'Mapa final'!$Y$28),"")</f>
        <v/>
      </c>
      <c r="V50" s="64" t="str">
        <f>IF(AND('Mapa final'!$AI$23="Muy Baja",'Mapa final'!$AK$23="Moderado"),CONCATENATE("R5C",'Mapa final'!$Y$23),"")</f>
        <v/>
      </c>
      <c r="W50" s="65" t="str">
        <f>IF(AND('Mapa final'!$AI$24="Muy Baja",'Mapa final'!$AK$24="Moderado"),CONCATENATE("R5C",'Mapa final'!$Y$24),"")</f>
        <v/>
      </c>
      <c r="X50" s="65" t="str">
        <f>IF(AND('Mapa final'!$AI$25="Muy Baja",'Mapa final'!$AK$25="Moderado"),CONCATENATE("R5C",'Mapa final'!$Y$25),"")</f>
        <v/>
      </c>
      <c r="Y50" s="65" t="str">
        <f>IF(AND('Mapa final'!$AI$26="Muy Baja",'Mapa final'!$AK$26="Moderado"),CONCATENATE("R5C",'Mapa final'!$Y$26),"")</f>
        <v/>
      </c>
      <c r="Z50" s="65" t="str">
        <f>IF(AND('Mapa final'!$AI$27="Muy Baja",'Mapa final'!$AK$27="Moderado"),CONCATENATE("R5C",'Mapa final'!$Y$27),"")</f>
        <v/>
      </c>
      <c r="AA50" s="66" t="str">
        <f>IF(AND('Mapa final'!$AI$28="Muy Baja",'Mapa final'!$AK$28="Moderado"),CONCATENATE("R5C",'Mapa final'!$Y$28),"")</f>
        <v/>
      </c>
      <c r="AB50" s="49" t="str">
        <f>IF(AND('Mapa final'!$AI$23="Muy Baja",'Mapa final'!$AK$23="Mayor"),CONCATENATE("R5C",'Mapa final'!$Y$23),"")</f>
        <v/>
      </c>
      <c r="AC50" s="50" t="str">
        <f>IF(AND('Mapa final'!$AI$24="Muy Baja",'Mapa final'!$AK$24="Mayor"),CONCATENATE("R5C",'Mapa final'!$Y$24),"")</f>
        <v/>
      </c>
      <c r="AD50" s="50" t="str">
        <f>IF(AND('Mapa final'!$AI$25="Muy Baja",'Mapa final'!$AK$25="Mayor"),CONCATENATE("R5C",'Mapa final'!$Y$25),"")</f>
        <v/>
      </c>
      <c r="AE50" s="50" t="str">
        <f>IF(AND('Mapa final'!$AI$26="Muy Baja",'Mapa final'!$AK$26="Mayor"),CONCATENATE("R5C",'Mapa final'!$Y$26),"")</f>
        <v/>
      </c>
      <c r="AF50" s="50" t="str">
        <f>IF(AND('Mapa final'!$AI$27="Muy Baja",'Mapa final'!$AK$27="Mayor"),CONCATENATE("R5C",'Mapa final'!$Y$27),"")</f>
        <v/>
      </c>
      <c r="AG50" s="51" t="str">
        <f>IF(AND('Mapa final'!$AI$28="Muy Baja",'Mapa final'!$AK$28="Mayor"),CONCATENATE("R5C",'Mapa final'!$Y$28),"")</f>
        <v/>
      </c>
      <c r="AH50" s="52" t="str">
        <f>IF(AND('Mapa final'!$AI$23="Muy Baja",'Mapa final'!$AK$23="Catastrófico"),CONCATENATE("R5C",'Mapa final'!$Y$23),"")</f>
        <v/>
      </c>
      <c r="AI50" s="53" t="str">
        <f>IF(AND('Mapa final'!$AI$24="Muy Baja",'Mapa final'!$AK$24="Catastrófico"),CONCATENATE("R5C",'Mapa final'!$Y$24),"")</f>
        <v/>
      </c>
      <c r="AJ50" s="53" t="str">
        <f>IF(AND('Mapa final'!$AI$25="Muy Baja",'Mapa final'!$AK$25="Catastrófico"),CONCATENATE("R5C",'Mapa final'!$Y$25),"")</f>
        <v/>
      </c>
      <c r="AK50" s="53" t="str">
        <f>IF(AND('Mapa final'!$AI$26="Muy Baja",'Mapa final'!$AK$26="Catastrófico"),CONCATENATE("R5C",'Mapa final'!$Y$26),"")</f>
        <v/>
      </c>
      <c r="AL50" s="53" t="str">
        <f>IF(AND('Mapa final'!$AI$27="Muy Baja",'Mapa final'!$AK$27="Catastrófico"),CONCATENATE("R5C",'Mapa final'!$Y$27),"")</f>
        <v/>
      </c>
      <c r="AM50" s="54" t="str">
        <f>IF(AND('Mapa final'!$AI$28="Muy Baja",'Mapa final'!$AK$28="Catastrófico"),CONCATENATE("R5C",'Mapa final'!$Y$28),"")</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342"/>
      <c r="C51" s="342"/>
      <c r="D51" s="343"/>
      <c r="E51" s="441"/>
      <c r="F51" s="440"/>
      <c r="G51" s="440"/>
      <c r="H51" s="440"/>
      <c r="I51" s="456"/>
      <c r="J51" s="73" t="str">
        <f>IF(AND('Mapa final'!$AI$29="Muy Baja",'Mapa final'!$AK$29="Leve"),CONCATENATE("R6C",'Mapa final'!$Y$29),"")</f>
        <v/>
      </c>
      <c r="K51" s="74" t="str">
        <f>IF(AND('Mapa final'!$AI$30="Muy Baja",'Mapa final'!$AK$30="Leve"),CONCATENATE("R6C",'Mapa final'!$Y$30),"")</f>
        <v/>
      </c>
      <c r="L51" s="74" t="str">
        <f>IF(AND('Mapa final'!$AI$31="Muy Baja",'Mapa final'!$AK$31="Leve"),CONCATENATE("R6C",'Mapa final'!$Y$31),"")</f>
        <v/>
      </c>
      <c r="M51" s="74" t="str">
        <f>IF(AND('Mapa final'!$AI$32="Muy Baja",'Mapa final'!$AK$32="Leve"),CONCATENATE("R6C",'Mapa final'!$Y$32),"")</f>
        <v/>
      </c>
      <c r="N51" s="74" t="str">
        <f>IF(AND('Mapa final'!$AI$33="Muy Baja",'Mapa final'!$AK$33="Leve"),CONCATENATE("R6C",'Mapa final'!$Y$33),"")</f>
        <v/>
      </c>
      <c r="O51" s="75" t="str">
        <f>IF(AND('Mapa final'!$AI$34="Muy Baja",'Mapa final'!$AK$34="Leve"),CONCATENATE("R6C",'Mapa final'!$Y$34),"")</f>
        <v/>
      </c>
      <c r="P51" s="73" t="str">
        <f>IF(AND('Mapa final'!$AI$29="Muy Baja",'Mapa final'!$AK$29="Menor"),CONCATENATE("R6C",'Mapa final'!$Y$29),"")</f>
        <v/>
      </c>
      <c r="Q51" s="74" t="str">
        <f>IF(AND('Mapa final'!$AI$30="Muy Baja",'Mapa final'!$AK$30="Menor"),CONCATENATE("R6C",'Mapa final'!$Y$30),"")</f>
        <v/>
      </c>
      <c r="R51" s="74" t="str">
        <f>IF(AND('Mapa final'!$AI$31="Muy Baja",'Mapa final'!$AK$31="Menor"),CONCATENATE("R6C",'Mapa final'!$Y$31),"")</f>
        <v/>
      </c>
      <c r="S51" s="74" t="str">
        <f>IF(AND('Mapa final'!$AI$32="Muy Baja",'Mapa final'!$AK$32="Menor"),CONCATENATE("R6C",'Mapa final'!$Y$32),"")</f>
        <v/>
      </c>
      <c r="T51" s="74" t="str">
        <f>IF(AND('Mapa final'!$AI$33="Muy Baja",'Mapa final'!$AK$33="Menor"),CONCATENATE("R6C",'Mapa final'!$Y$33),"")</f>
        <v/>
      </c>
      <c r="U51" s="75" t="str">
        <f>IF(AND('Mapa final'!$AI$34="Muy Baja",'Mapa final'!$AK$34="Menor"),CONCATENATE("R6C",'Mapa final'!$Y$34),"")</f>
        <v/>
      </c>
      <c r="V51" s="64" t="str">
        <f>IF(AND('Mapa final'!$AI$29="Muy Baja",'Mapa final'!$AK$29="Moderado"),CONCATENATE("R6C",'Mapa final'!$Y$29),"")</f>
        <v/>
      </c>
      <c r="W51" s="65" t="str">
        <f>IF(AND('Mapa final'!$AI$30="Muy Baja",'Mapa final'!$AK$30="Moderado"),CONCATENATE("R6C",'Mapa final'!$Y$30),"")</f>
        <v/>
      </c>
      <c r="X51" s="65" t="str">
        <f>IF(AND('Mapa final'!$AI$31="Muy Baja",'Mapa final'!$AK$31="Moderado"),CONCATENATE("R6C",'Mapa final'!$Y$31),"")</f>
        <v/>
      </c>
      <c r="Y51" s="65" t="str">
        <f>IF(AND('Mapa final'!$AI$32="Muy Baja",'Mapa final'!$AK$32="Moderado"),CONCATENATE("R6C",'Mapa final'!$Y$32),"")</f>
        <v/>
      </c>
      <c r="Z51" s="65" t="str">
        <f>IF(AND('Mapa final'!$AI$33="Muy Baja",'Mapa final'!$AK$33="Moderado"),CONCATENATE("R6C",'Mapa final'!$Y$33),"")</f>
        <v/>
      </c>
      <c r="AA51" s="66" t="str">
        <f>IF(AND('Mapa final'!$AI$34="Muy Baja",'Mapa final'!$AK$34="Moderado"),CONCATENATE("R6C",'Mapa final'!$Y$34),"")</f>
        <v/>
      </c>
      <c r="AB51" s="49" t="str">
        <f>IF(AND('Mapa final'!$AI$29="Muy Baja",'Mapa final'!$AK$29="Mayor"),CONCATENATE("R6C",'Mapa final'!$Y$29),"")</f>
        <v/>
      </c>
      <c r="AC51" s="50" t="str">
        <f>IF(AND('Mapa final'!$AI$30="Muy Baja",'Mapa final'!$AK$30="Mayor"),CONCATENATE("R6C",'Mapa final'!$Y$30),"")</f>
        <v/>
      </c>
      <c r="AD51" s="50" t="str">
        <f>IF(AND('Mapa final'!$AI$31="Muy Baja",'Mapa final'!$AK$31="Mayor"),CONCATENATE("R6C",'Mapa final'!$Y$31),"")</f>
        <v/>
      </c>
      <c r="AE51" s="50" t="str">
        <f>IF(AND('Mapa final'!$AI$32="Muy Baja",'Mapa final'!$AK$32="Mayor"),CONCATENATE("R6C",'Mapa final'!$Y$32),"")</f>
        <v/>
      </c>
      <c r="AF51" s="50" t="str">
        <f>IF(AND('Mapa final'!$AI$33="Muy Baja",'Mapa final'!$AK$33="Mayor"),CONCATENATE("R6C",'Mapa final'!$Y$33),"")</f>
        <v/>
      </c>
      <c r="AG51" s="51" t="str">
        <f>IF(AND('Mapa final'!$AI$34="Muy Baja",'Mapa final'!$AK$34="Mayor"),CONCATENATE("R6C",'Mapa final'!$Y$34),"")</f>
        <v/>
      </c>
      <c r="AH51" s="52" t="str">
        <f>IF(AND('Mapa final'!$AI$29="Muy Baja",'Mapa final'!$AK$29="Catastrófico"),CONCATENATE("R6C",'Mapa final'!$Y$29),"")</f>
        <v/>
      </c>
      <c r="AI51" s="53" t="str">
        <f>IF(AND('Mapa final'!$AI$30="Muy Baja",'Mapa final'!$AK$30="Catastrófico"),CONCATENATE("R6C",'Mapa final'!$Y$30),"")</f>
        <v/>
      </c>
      <c r="AJ51" s="53" t="str">
        <f>IF(AND('Mapa final'!$AI$31="Muy Baja",'Mapa final'!$AK$31="Catastrófico"),CONCATENATE("R6C",'Mapa final'!$Y$31),"")</f>
        <v/>
      </c>
      <c r="AK51" s="53" t="str">
        <f>IF(AND('Mapa final'!$AI$32="Muy Baja",'Mapa final'!$AK$32="Catastrófico"),CONCATENATE("R6C",'Mapa final'!$Y$32),"")</f>
        <v/>
      </c>
      <c r="AL51" s="53" t="str">
        <f>IF(AND('Mapa final'!$AI$33="Muy Baja",'Mapa final'!$AK$33="Catastrófico"),CONCATENATE("R6C",'Mapa final'!$Y$33),"")</f>
        <v/>
      </c>
      <c r="AM51" s="54" t="str">
        <f>IF(AND('Mapa final'!$AI$34="Muy Baja",'Mapa final'!$AK$34="Catastrófico"),CONCATENATE("R6C",'Mapa final'!$Y$34),"")</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342"/>
      <c r="C52" s="342"/>
      <c r="D52" s="343"/>
      <c r="E52" s="441"/>
      <c r="F52" s="440"/>
      <c r="G52" s="440"/>
      <c r="H52" s="440"/>
      <c r="I52" s="456"/>
      <c r="J52" s="73" t="str">
        <f>IF(AND('Mapa final'!$AI$35="Muy Baja",'Mapa final'!$AK$35="Leve"),CONCATENATE("R7C",'Mapa final'!$Y$35),"")</f>
        <v/>
      </c>
      <c r="K52" s="74" t="str">
        <f>IF(AND('Mapa final'!$AI$36="Muy Baja",'Mapa final'!$AK$36="Leve"),CONCATENATE("R7C",'Mapa final'!$Y$36),"")</f>
        <v/>
      </c>
      <c r="L52" s="74" t="str">
        <f>IF(AND('Mapa final'!$AI$37="Muy Baja",'Mapa final'!$AK$37="Leve"),CONCATENATE("R7C",'Mapa final'!$Y$37),"")</f>
        <v/>
      </c>
      <c r="M52" s="74" t="str">
        <f>IF(AND('Mapa final'!$AI$38="Muy Baja",'Mapa final'!$AK$38="Leve"),CONCATENATE("R7C",'Mapa final'!$Y$38),"")</f>
        <v/>
      </c>
      <c r="N52" s="74" t="str">
        <f>IF(AND('Mapa final'!$AI$39="Muy Baja",'Mapa final'!$AK$39="Leve"),CONCATENATE("R7C",'Mapa final'!$Y$39),"")</f>
        <v/>
      </c>
      <c r="O52" s="75" t="str">
        <f>IF(AND('Mapa final'!$AI$40="Muy Baja",'Mapa final'!$AK$40="Leve"),CONCATENATE("R7C",'Mapa final'!$Y$40),"")</f>
        <v/>
      </c>
      <c r="P52" s="73" t="str">
        <f>IF(AND('Mapa final'!$AI$35="Muy Baja",'Mapa final'!$AK$35="Menor"),CONCATENATE("R7C",'Mapa final'!$Y$35),"")</f>
        <v/>
      </c>
      <c r="Q52" s="74" t="str">
        <f>IF(AND('Mapa final'!$AI$36="Muy Baja",'Mapa final'!$AK$36="Menor"),CONCATENATE("R7C",'Mapa final'!$Y$36),"")</f>
        <v/>
      </c>
      <c r="R52" s="74" t="str">
        <f>IF(AND('Mapa final'!$AI$37="Muy Baja",'Mapa final'!$AK$37="Menor"),CONCATENATE("R7C",'Mapa final'!$Y$37),"")</f>
        <v/>
      </c>
      <c r="S52" s="74" t="str">
        <f>IF(AND('Mapa final'!$AI$38="Muy Baja",'Mapa final'!$AK$38="Menor"),CONCATENATE("R7C",'Mapa final'!$Y$38),"")</f>
        <v/>
      </c>
      <c r="T52" s="74" t="str">
        <f>IF(AND('Mapa final'!$AI$39="Muy Baja",'Mapa final'!$AK$39="Menor"),CONCATENATE("R7C",'Mapa final'!$Y$39),"")</f>
        <v/>
      </c>
      <c r="U52" s="75" t="str">
        <f>IF(AND('Mapa final'!$AI$40="Muy Baja",'Mapa final'!$AK$40="Menor"),CONCATENATE("R7C",'Mapa final'!$Y$40),"")</f>
        <v/>
      </c>
      <c r="V52" s="64" t="str">
        <f>IF(AND('Mapa final'!$AI$35="Muy Baja",'Mapa final'!$AK$35="Moderado"),CONCATENATE("R7C",'Mapa final'!$Y$35),"")</f>
        <v/>
      </c>
      <c r="W52" s="65" t="str">
        <f>IF(AND('Mapa final'!$AI$36="Muy Baja",'Mapa final'!$AK$36="Moderado"),CONCATENATE("R7C",'Mapa final'!$Y$36),"")</f>
        <v/>
      </c>
      <c r="X52" s="65" t="str">
        <f>IF(AND('Mapa final'!$AI$37="Muy Baja",'Mapa final'!$AK$37="Moderado"),CONCATENATE("R7C",'Mapa final'!$Y$37),"")</f>
        <v/>
      </c>
      <c r="Y52" s="65" t="str">
        <f>IF(AND('Mapa final'!$AI$38="Muy Baja",'Mapa final'!$AK$38="Moderado"),CONCATENATE("R7C",'Mapa final'!$Y$38),"")</f>
        <v/>
      </c>
      <c r="Z52" s="65" t="str">
        <f>IF(AND('Mapa final'!$AI$39="Muy Baja",'Mapa final'!$AK$39="Moderado"),CONCATENATE("R7C",'Mapa final'!$Y$39),"")</f>
        <v/>
      </c>
      <c r="AA52" s="66" t="str">
        <f>IF(AND('Mapa final'!$AI$40="Muy Baja",'Mapa final'!$AK$40="Moderado"),CONCATENATE("R7C",'Mapa final'!$Y$40),"")</f>
        <v/>
      </c>
      <c r="AB52" s="49" t="str">
        <f>IF(AND('Mapa final'!$AI$35="Muy Baja",'Mapa final'!$AK$35="Mayor"),CONCATENATE("R7C",'Mapa final'!$Y$35),"")</f>
        <v/>
      </c>
      <c r="AC52" s="50" t="str">
        <f>IF(AND('Mapa final'!$AI$36="Muy Baja",'Mapa final'!$AK$36="Mayor"),CONCATENATE("R7C",'Mapa final'!$Y$36),"")</f>
        <v/>
      </c>
      <c r="AD52" s="50" t="str">
        <f>IF(AND('Mapa final'!$AI$37="Muy Baja",'Mapa final'!$AK$37="Mayor"),CONCATENATE("R7C",'Mapa final'!$Y$37),"")</f>
        <v/>
      </c>
      <c r="AE52" s="50" t="str">
        <f>IF(AND('Mapa final'!$AI$38="Muy Baja",'Mapa final'!$AK$38="Mayor"),CONCATENATE("R7C",'Mapa final'!$Y$38),"")</f>
        <v/>
      </c>
      <c r="AF52" s="50" t="str">
        <f>IF(AND('Mapa final'!$AI$39="Muy Baja",'Mapa final'!$AK$39="Mayor"),CONCATENATE("R7C",'Mapa final'!$Y$39),"")</f>
        <v/>
      </c>
      <c r="AG52" s="51" t="str">
        <f>IF(AND('Mapa final'!$AI$40="Muy Baja",'Mapa final'!$AK$40="Mayor"),CONCATENATE("R7C",'Mapa final'!$Y$40),"")</f>
        <v/>
      </c>
      <c r="AH52" s="52" t="str">
        <f>IF(AND('Mapa final'!$AI$35="Muy Baja",'Mapa final'!$AK$35="Catastrófico"),CONCATENATE("R7C",'Mapa final'!$Y$35),"")</f>
        <v/>
      </c>
      <c r="AI52" s="53" t="str">
        <f>IF(AND('Mapa final'!$AI$36="Muy Baja",'Mapa final'!$AK$36="Catastrófico"),CONCATENATE("R7C",'Mapa final'!$Y$36),"")</f>
        <v/>
      </c>
      <c r="AJ52" s="53" t="str">
        <f>IF(AND('Mapa final'!$AI$37="Muy Baja",'Mapa final'!$AK$37="Catastrófico"),CONCATENATE("R7C",'Mapa final'!$Y$37),"")</f>
        <v/>
      </c>
      <c r="AK52" s="53" t="str">
        <f>IF(AND('Mapa final'!$AI$38="Muy Baja",'Mapa final'!$AK$38="Catastrófico"),CONCATENATE("R7C",'Mapa final'!$Y$38),"")</f>
        <v/>
      </c>
      <c r="AL52" s="53" t="str">
        <f>IF(AND('Mapa final'!$AI$39="Muy Baja",'Mapa final'!$AK$39="Catastrófico"),CONCATENATE("R7C",'Mapa final'!$Y$39),"")</f>
        <v/>
      </c>
      <c r="AM52" s="54" t="str">
        <f>IF(AND('Mapa final'!$AI$40="Muy Baja",'Mapa final'!$AK$40="Catastrófico"),CONCATENATE("R7C",'Mapa final'!$Y$40),"")</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342"/>
      <c r="C53" s="342"/>
      <c r="D53" s="343"/>
      <c r="E53" s="441"/>
      <c r="F53" s="440"/>
      <c r="G53" s="440"/>
      <c r="H53" s="440"/>
      <c r="I53" s="456"/>
      <c r="J53" s="73" t="str">
        <f>IF(AND('Mapa final'!$AI$41="Muy Baja",'Mapa final'!$AK$41="Leve"),CONCATENATE("R8C",'Mapa final'!$Y$41),"")</f>
        <v/>
      </c>
      <c r="K53" s="74" t="str">
        <f>IF(AND('Mapa final'!$AI$42="Muy Baja",'Mapa final'!$AK$42="Leve"),CONCATENATE("R8C",'Mapa final'!$Y$42),"")</f>
        <v/>
      </c>
      <c r="L53" s="74" t="str">
        <f>IF(AND('Mapa final'!$AI$43="Muy Baja",'Mapa final'!$AK$43="Leve"),CONCATENATE("R8C",'Mapa final'!$Y$43),"")</f>
        <v/>
      </c>
      <c r="M53" s="74" t="str">
        <f>IF(AND('Mapa final'!$AI$44="Muy Baja",'Mapa final'!$AK$44="Leve"),CONCATENATE("R8C",'Mapa final'!$Y$44),"")</f>
        <v/>
      </c>
      <c r="N53" s="74" t="str">
        <f>IF(AND('Mapa final'!$AI$45="Muy Baja",'Mapa final'!$AK$45="Leve"),CONCATENATE("R8C",'Mapa final'!$Y$45),"")</f>
        <v/>
      </c>
      <c r="O53" s="75" t="str">
        <f>IF(AND('Mapa final'!$AI$46="Muy Baja",'Mapa final'!$AK$46="Leve"),CONCATENATE("R8C",'Mapa final'!$Y$46),"")</f>
        <v/>
      </c>
      <c r="P53" s="73" t="str">
        <f>IF(AND('Mapa final'!$AI$41="Muy Baja",'Mapa final'!$AK$41="Menor"),CONCATENATE("R8C",'Mapa final'!$Y$41),"")</f>
        <v/>
      </c>
      <c r="Q53" s="74" t="str">
        <f>IF(AND('Mapa final'!$AI$42="Muy Baja",'Mapa final'!$AK$42="Menor"),CONCATENATE("R8C",'Mapa final'!$Y$42),"")</f>
        <v/>
      </c>
      <c r="R53" s="74" t="str">
        <f>IF(AND('Mapa final'!$AI$43="Muy Baja",'Mapa final'!$AK$43="Menor"),CONCATENATE("R8C",'Mapa final'!$Y$43),"")</f>
        <v/>
      </c>
      <c r="S53" s="74" t="str">
        <f>IF(AND('Mapa final'!$AI$44="Muy Baja",'Mapa final'!$AK$44="Menor"),CONCATENATE("R8C",'Mapa final'!$Y$44),"")</f>
        <v/>
      </c>
      <c r="T53" s="74" t="str">
        <f>IF(AND('Mapa final'!$AI$45="Muy Baja",'Mapa final'!$AK$45="Menor"),CONCATENATE("R8C",'Mapa final'!$Y$45),"")</f>
        <v/>
      </c>
      <c r="U53" s="75" t="str">
        <f>IF(AND('Mapa final'!$AI$46="Muy Baja",'Mapa final'!$AK$46="Menor"),CONCATENATE("R8C",'Mapa final'!$Y$46),"")</f>
        <v/>
      </c>
      <c r="V53" s="64" t="str">
        <f>IF(AND('Mapa final'!$AI$41="Muy Baja",'Mapa final'!$AK$41="Moderado"),CONCATENATE("R8C",'Mapa final'!$Y$41),"")</f>
        <v/>
      </c>
      <c r="W53" s="65" t="str">
        <f>IF(AND('Mapa final'!$AI$42="Muy Baja",'Mapa final'!$AK$42="Moderado"),CONCATENATE("R8C",'Mapa final'!$Y$42),"")</f>
        <v/>
      </c>
      <c r="X53" s="65" t="str">
        <f>IF(AND('Mapa final'!$AI$43="Muy Baja",'Mapa final'!$AK$43="Moderado"),CONCATENATE("R8C",'Mapa final'!$Y$43),"")</f>
        <v/>
      </c>
      <c r="Y53" s="65" t="str">
        <f>IF(AND('Mapa final'!$AI$44="Muy Baja",'Mapa final'!$AK$44="Moderado"),CONCATENATE("R8C",'Mapa final'!$Y$44),"")</f>
        <v/>
      </c>
      <c r="Z53" s="65" t="str">
        <f>IF(AND('Mapa final'!$AI$45="Muy Baja",'Mapa final'!$AK$45="Moderado"),CONCATENATE("R8C",'Mapa final'!$Y$45),"")</f>
        <v/>
      </c>
      <c r="AA53" s="66" t="str">
        <f>IF(AND('Mapa final'!$AI$46="Muy Baja",'Mapa final'!$AK$46="Moderado"),CONCATENATE("R8C",'Mapa final'!$Y$46),"")</f>
        <v/>
      </c>
      <c r="AB53" s="49" t="str">
        <f>IF(AND('Mapa final'!$AI$41="Muy Baja",'Mapa final'!$AK$41="Mayor"),CONCATENATE("R8C",'Mapa final'!$Y$41),"")</f>
        <v/>
      </c>
      <c r="AC53" s="50" t="str">
        <f>IF(AND('Mapa final'!$AI$42="Muy Baja",'Mapa final'!$AK$42="Mayor"),CONCATENATE("R8C",'Mapa final'!$Y$42),"")</f>
        <v/>
      </c>
      <c r="AD53" s="50" t="str">
        <f>IF(AND('Mapa final'!$AI$43="Muy Baja",'Mapa final'!$AK$43="Mayor"),CONCATENATE("R8C",'Mapa final'!$Y$43),"")</f>
        <v/>
      </c>
      <c r="AE53" s="50" t="str">
        <f>IF(AND('Mapa final'!$AI$44="Muy Baja",'Mapa final'!$AK$44="Mayor"),CONCATENATE("R8C",'Mapa final'!$Y$44),"")</f>
        <v/>
      </c>
      <c r="AF53" s="50" t="str">
        <f>IF(AND('Mapa final'!$AI$45="Muy Baja",'Mapa final'!$AK$45="Mayor"),CONCATENATE("R8C",'Mapa final'!$Y$45),"")</f>
        <v/>
      </c>
      <c r="AG53" s="51" t="str">
        <f>IF(AND('Mapa final'!$AI$46="Muy Baja",'Mapa final'!$AK$46="Mayor"),CONCATENATE("R8C",'Mapa final'!$Y$46),"")</f>
        <v/>
      </c>
      <c r="AH53" s="52" t="str">
        <f>IF(AND('Mapa final'!$AI$41="Muy Baja",'Mapa final'!$AK$41="Catastrófico"),CONCATENATE("R8C",'Mapa final'!$Y$41),"")</f>
        <v/>
      </c>
      <c r="AI53" s="53" t="str">
        <f>IF(AND('Mapa final'!$AI$42="Muy Baja",'Mapa final'!$AK$42="Catastrófico"),CONCATENATE("R8C",'Mapa final'!$Y$42),"")</f>
        <v/>
      </c>
      <c r="AJ53" s="53" t="str">
        <f>IF(AND('Mapa final'!$AI$43="Muy Baja",'Mapa final'!$AK$43="Catastrófico"),CONCATENATE("R8C",'Mapa final'!$Y$43),"")</f>
        <v/>
      </c>
      <c r="AK53" s="53" t="str">
        <f>IF(AND('Mapa final'!$AI$44="Muy Baja",'Mapa final'!$AK$44="Catastrófico"),CONCATENATE("R8C",'Mapa final'!$Y$44),"")</f>
        <v/>
      </c>
      <c r="AL53" s="53" t="str">
        <f>IF(AND('Mapa final'!$AI$45="Muy Baja",'Mapa final'!$AK$45="Catastrófico"),CONCATENATE("R8C",'Mapa final'!$Y$45),"")</f>
        <v/>
      </c>
      <c r="AM53" s="54" t="str">
        <f>IF(AND('Mapa final'!$AI$46="Muy Baja",'Mapa final'!$AK$46="Catastrófico"),CONCATENATE("R8C",'Mapa final'!$Y$46),"")</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342"/>
      <c r="C54" s="342"/>
      <c r="D54" s="343"/>
      <c r="E54" s="441"/>
      <c r="F54" s="440"/>
      <c r="G54" s="440"/>
      <c r="H54" s="440"/>
      <c r="I54" s="456"/>
      <c r="J54" s="73" t="str">
        <f>IF(AND('Mapa final'!$AI$47="Muy Baja",'Mapa final'!$AK$47="Leve"),CONCATENATE("R9C",'Mapa final'!$Y$47),"")</f>
        <v/>
      </c>
      <c r="K54" s="74" t="str">
        <f>IF(AND('Mapa final'!$AI$48="Muy Baja",'Mapa final'!$AK$48="Leve"),CONCATENATE("R9C",'Mapa final'!$Y$48),"")</f>
        <v/>
      </c>
      <c r="L54" s="74" t="str">
        <f>IF(AND('Mapa final'!$AI$49="Muy Baja",'Mapa final'!$AK$49="Leve"),CONCATENATE("R9C",'Mapa final'!$Y$49),"")</f>
        <v/>
      </c>
      <c r="M54" s="74" t="str">
        <f>IF(AND('Mapa final'!$AI$50="Muy Baja",'Mapa final'!$AK$50="Leve"),CONCATENATE("R9C",'Mapa final'!$Y$50),"")</f>
        <v/>
      </c>
      <c r="N54" s="74" t="str">
        <f>IF(AND('Mapa final'!$AI$51="Muy Baja",'Mapa final'!$AK$51="Leve"),CONCATENATE("R9C",'Mapa final'!$Y$51),"")</f>
        <v/>
      </c>
      <c r="O54" s="75" t="str">
        <f>IF(AND('Mapa final'!$AI$52="Muy Baja",'Mapa final'!$AK$52="Leve"),CONCATENATE("R9C",'Mapa final'!$Y$52),"")</f>
        <v/>
      </c>
      <c r="P54" s="73" t="str">
        <f>IF(AND('Mapa final'!$AI$47="Muy Baja",'Mapa final'!$AK$47="Menor"),CONCATENATE("R9C",'Mapa final'!$Y$47),"")</f>
        <v/>
      </c>
      <c r="Q54" s="74" t="str">
        <f>IF(AND('Mapa final'!$AI$48="Muy Baja",'Mapa final'!$AK$48="Menor"),CONCATENATE("R9C",'Mapa final'!$Y$48),"")</f>
        <v/>
      </c>
      <c r="R54" s="74" t="str">
        <f>IF(AND('Mapa final'!$AI$49="Muy Baja",'Mapa final'!$AK$49="Menor"),CONCATENATE("R9C",'Mapa final'!$Y$49),"")</f>
        <v/>
      </c>
      <c r="S54" s="74" t="str">
        <f>IF(AND('Mapa final'!$AI$50="Muy Baja",'Mapa final'!$AK$50="Menor"),CONCATENATE("R9C",'Mapa final'!$Y$50),"")</f>
        <v/>
      </c>
      <c r="T54" s="74" t="str">
        <f>IF(AND('Mapa final'!$AI$51="Muy Baja",'Mapa final'!$AK$51="Menor"),CONCATENATE("R9C",'Mapa final'!$Y$51),"")</f>
        <v/>
      </c>
      <c r="U54" s="75" t="str">
        <f>IF(AND('Mapa final'!$AI$52="Muy Baja",'Mapa final'!$AK$52="Menor"),CONCATENATE("R9C",'Mapa final'!$Y$52),"")</f>
        <v/>
      </c>
      <c r="V54" s="64" t="str">
        <f>IF(AND('Mapa final'!$AI$47="Muy Baja",'Mapa final'!$AK$47="Moderado"),CONCATENATE("R9C",'Mapa final'!$Y$47),"")</f>
        <v/>
      </c>
      <c r="W54" s="65" t="str">
        <f>IF(AND('Mapa final'!$AI$48="Muy Baja",'Mapa final'!$AK$48="Moderado"),CONCATENATE("R9C",'Mapa final'!$Y$48),"")</f>
        <v/>
      </c>
      <c r="X54" s="65" t="str">
        <f>IF(AND('Mapa final'!$AI$49="Muy Baja",'Mapa final'!$AK$49="Moderado"),CONCATENATE("R9C",'Mapa final'!$Y$49),"")</f>
        <v/>
      </c>
      <c r="Y54" s="65" t="str">
        <f>IF(AND('Mapa final'!$AI$50="Muy Baja",'Mapa final'!$AK$50="Moderado"),CONCATENATE("R9C",'Mapa final'!$Y$50),"")</f>
        <v/>
      </c>
      <c r="Z54" s="65" t="str">
        <f>IF(AND('Mapa final'!$AI$51="Muy Baja",'Mapa final'!$AK$51="Moderado"),CONCATENATE("R9C",'Mapa final'!$Y$51),"")</f>
        <v/>
      </c>
      <c r="AA54" s="66" t="str">
        <f>IF(AND('Mapa final'!$AI$52="Muy Baja",'Mapa final'!$AK$52="Moderado"),CONCATENATE("R9C",'Mapa final'!$Y$52),"")</f>
        <v/>
      </c>
      <c r="AB54" s="49" t="str">
        <f>IF(AND('Mapa final'!$AI$47="Muy Baja",'Mapa final'!$AK$47="Mayor"),CONCATENATE("R9C",'Mapa final'!$Y$47),"")</f>
        <v/>
      </c>
      <c r="AC54" s="50" t="str">
        <f>IF(AND('Mapa final'!$AI$48="Muy Baja",'Mapa final'!$AK$48="Mayor"),CONCATENATE("R9C",'Mapa final'!$Y$48),"")</f>
        <v/>
      </c>
      <c r="AD54" s="50" t="str">
        <f>IF(AND('Mapa final'!$AI$49="Muy Baja",'Mapa final'!$AK$49="Mayor"),CONCATENATE("R9C",'Mapa final'!$Y$49),"")</f>
        <v/>
      </c>
      <c r="AE54" s="50" t="str">
        <f>IF(AND('Mapa final'!$AI$50="Muy Baja",'Mapa final'!$AK$50="Mayor"),CONCATENATE("R9C",'Mapa final'!$Y$50),"")</f>
        <v/>
      </c>
      <c r="AF54" s="50" t="str">
        <f>IF(AND('Mapa final'!$AI$51="Muy Baja",'Mapa final'!$AK$51="Mayor"),CONCATENATE("R9C",'Mapa final'!$Y$51),"")</f>
        <v/>
      </c>
      <c r="AG54" s="51" t="str">
        <f>IF(AND('Mapa final'!$AI$52="Muy Baja",'Mapa final'!$AK$52="Mayor"),CONCATENATE("R9C",'Mapa final'!$Y$52),"")</f>
        <v/>
      </c>
      <c r="AH54" s="52" t="str">
        <f>IF(AND('Mapa final'!$AI$47="Muy Baja",'Mapa final'!$AK$47="Catastrófico"),CONCATENATE("R9C",'Mapa final'!$Y$47),"")</f>
        <v/>
      </c>
      <c r="AI54" s="53" t="str">
        <f>IF(AND('Mapa final'!$AI$48="Muy Baja",'Mapa final'!$AK$48="Catastrófico"),CONCATENATE("R9C",'Mapa final'!$Y$48),"")</f>
        <v/>
      </c>
      <c r="AJ54" s="53" t="str">
        <f>IF(AND('Mapa final'!$AI$49="Muy Baja",'Mapa final'!$AK$49="Catastrófico"),CONCATENATE("R9C",'Mapa final'!$Y$49),"")</f>
        <v/>
      </c>
      <c r="AK54" s="53" t="str">
        <f>IF(AND('Mapa final'!$AI$50="Muy Baja",'Mapa final'!$AK$50="Catastrófico"),CONCATENATE("R9C",'Mapa final'!$Y$50),"")</f>
        <v/>
      </c>
      <c r="AL54" s="53" t="str">
        <f>IF(AND('Mapa final'!$AI$51="Muy Baja",'Mapa final'!$AK$51="Catastrófico"),CONCATENATE("R9C",'Mapa final'!$Y$51),"")</f>
        <v/>
      </c>
      <c r="AM54" s="54" t="str">
        <f>IF(AND('Mapa final'!$AI$52="Muy Baja",'Mapa final'!$AK$52="Catastrófico"),CONCATENATE("R9C",'Mapa final'!$Y$52),"")</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342"/>
      <c r="C55" s="342"/>
      <c r="D55" s="343"/>
      <c r="E55" s="442"/>
      <c r="F55" s="443"/>
      <c r="G55" s="443"/>
      <c r="H55" s="443"/>
      <c r="I55" s="457"/>
      <c r="J55" s="76" t="str">
        <f>IF(AND('Mapa final'!$AI$53="Muy Baja",'Mapa final'!$AK$53="Leve"),CONCATENATE("R10C",'Mapa final'!$Y$53),"")</f>
        <v/>
      </c>
      <c r="K55" s="77" t="str">
        <f>IF(AND('Mapa final'!$AI$54="Muy Baja",'Mapa final'!$AK$54="Leve"),CONCATENATE("R10C",'Mapa final'!$Y$54),"")</f>
        <v/>
      </c>
      <c r="L55" s="77" t="str">
        <f>IF(AND('Mapa final'!$AI$55="Muy Baja",'Mapa final'!$AK$55="Leve"),CONCATENATE("R10C",'Mapa final'!$Y$55),"")</f>
        <v/>
      </c>
      <c r="M55" s="77" t="str">
        <f>IF(AND('Mapa final'!$AI$56="Muy Baja",'Mapa final'!$AK$56="Leve"),CONCATENATE("R10C",'Mapa final'!$Y$56),"")</f>
        <v/>
      </c>
      <c r="N55" s="77" t="str">
        <f>IF(AND('Mapa final'!$AI$57="Muy Baja",'Mapa final'!$AK$57="Leve"),CONCATENATE("R10C",'Mapa final'!$Y$57),"")</f>
        <v/>
      </c>
      <c r="O55" s="78" t="str">
        <f>IF(AND('Mapa final'!$AI$58="Muy Baja",'Mapa final'!$AK$58="Leve"),CONCATENATE("R10C",'Mapa final'!$Y$58),"")</f>
        <v/>
      </c>
      <c r="P55" s="76" t="str">
        <f>IF(AND('Mapa final'!$AI$53="Muy Baja",'Mapa final'!$AK$53="Menor"),CONCATENATE("R10C",'Mapa final'!$Y$53),"")</f>
        <v/>
      </c>
      <c r="Q55" s="77" t="str">
        <f>IF(AND('Mapa final'!$AI$54="Muy Baja",'Mapa final'!$AK$54="Menor"),CONCATENATE("R10C",'Mapa final'!$Y$54),"")</f>
        <v/>
      </c>
      <c r="R55" s="77" t="str">
        <f>IF(AND('Mapa final'!$AI$55="Muy Baja",'Mapa final'!$AK$55="Menor"),CONCATENATE("R10C",'Mapa final'!$Y$55),"")</f>
        <v/>
      </c>
      <c r="S55" s="77" t="str">
        <f>IF(AND('Mapa final'!$AI$56="Muy Baja",'Mapa final'!$AK$56="Menor"),CONCATENATE("R10C",'Mapa final'!$Y$56),"")</f>
        <v/>
      </c>
      <c r="T55" s="77" t="str">
        <f>IF(AND('Mapa final'!$AI$57="Muy Baja",'Mapa final'!$AK$57="Menor"),CONCATENATE("R10C",'Mapa final'!$Y$57),"")</f>
        <v/>
      </c>
      <c r="U55" s="78" t="str">
        <f>IF(AND('Mapa final'!$AI$58="Muy Baja",'Mapa final'!$AK$58="Menor"),CONCATENATE("R10C",'Mapa final'!$Y$58),"")</f>
        <v/>
      </c>
      <c r="V55" s="67" t="str">
        <f>IF(AND('Mapa final'!$AI$53="Muy Baja",'Mapa final'!$AK$53="Moderado"),CONCATENATE("R10C",'Mapa final'!$Y$53),"")</f>
        <v/>
      </c>
      <c r="W55" s="68" t="str">
        <f>IF(AND('Mapa final'!$AI$54="Muy Baja",'Mapa final'!$AK$54="Moderado"),CONCATENATE("R10C",'Mapa final'!$Y$54),"")</f>
        <v/>
      </c>
      <c r="X55" s="68" t="str">
        <f>IF(AND('Mapa final'!$AI$55="Muy Baja",'Mapa final'!$AK$55="Moderado"),CONCATENATE("R10C",'Mapa final'!$Y$55),"")</f>
        <v/>
      </c>
      <c r="Y55" s="68" t="str">
        <f>IF(AND('Mapa final'!$AI$56="Muy Baja",'Mapa final'!$AK$56="Moderado"),CONCATENATE("R10C",'Mapa final'!$Y$56),"")</f>
        <v/>
      </c>
      <c r="Z55" s="68" t="str">
        <f>IF(AND('Mapa final'!$AI$57="Muy Baja",'Mapa final'!$AK$57="Moderado"),CONCATENATE("R10C",'Mapa final'!$Y$57),"")</f>
        <v/>
      </c>
      <c r="AA55" s="69" t="str">
        <f>IF(AND('Mapa final'!$AI$58="Muy Baja",'Mapa final'!$AK$58="Moderado"),CONCATENATE("R10C",'Mapa final'!$Y$58),"")</f>
        <v/>
      </c>
      <c r="AB55" s="55" t="str">
        <f>IF(AND('Mapa final'!$AI$53="Muy Baja",'Mapa final'!$AK$53="Mayor"),CONCATENATE("R10C",'Mapa final'!$Y$53),"")</f>
        <v/>
      </c>
      <c r="AC55" s="56" t="str">
        <f>IF(AND('Mapa final'!$AI$54="Muy Baja",'Mapa final'!$AK$54="Mayor"),CONCATENATE("R10C",'Mapa final'!$Y$54),"")</f>
        <v/>
      </c>
      <c r="AD55" s="56" t="str">
        <f>IF(AND('Mapa final'!$AI$55="Muy Baja",'Mapa final'!$AK$55="Mayor"),CONCATENATE("R10C",'Mapa final'!$Y$55),"")</f>
        <v/>
      </c>
      <c r="AE55" s="56" t="str">
        <f>IF(AND('Mapa final'!$AI$56="Muy Baja",'Mapa final'!$AK$56="Mayor"),CONCATENATE("R10C",'Mapa final'!$Y$56),"")</f>
        <v/>
      </c>
      <c r="AF55" s="56" t="str">
        <f>IF(AND('Mapa final'!$AI$57="Muy Baja",'Mapa final'!$AK$57="Mayor"),CONCATENATE("R10C",'Mapa final'!$Y$57),"")</f>
        <v/>
      </c>
      <c r="AG55" s="57" t="str">
        <f>IF(AND('Mapa final'!$AI$58="Muy Baja",'Mapa final'!$AK$58="Mayor"),CONCATENATE("R10C",'Mapa final'!$Y$58),"")</f>
        <v/>
      </c>
      <c r="AH55" s="58" t="str">
        <f>IF(AND('Mapa final'!$AI$53="Muy Baja",'Mapa final'!$AK$53="Catastrófico"),CONCATENATE("R10C",'Mapa final'!$Y$53),"")</f>
        <v/>
      </c>
      <c r="AI55" s="59" t="str">
        <f>IF(AND('Mapa final'!$AI$54="Muy Baja",'Mapa final'!$AK$54="Catastrófico"),CONCATENATE("R10C",'Mapa final'!$Y$54),"")</f>
        <v/>
      </c>
      <c r="AJ55" s="59" t="str">
        <f>IF(AND('Mapa final'!$AI$55="Muy Baja",'Mapa final'!$AK$55="Catastrófico"),CONCATENATE("R10C",'Mapa final'!$Y$55),"")</f>
        <v/>
      </c>
      <c r="AK55" s="59" t="str">
        <f>IF(AND('Mapa final'!$AI$56="Muy Baja",'Mapa final'!$AK$56="Catastrófico"),CONCATENATE("R10C",'Mapa final'!$Y$56),"")</f>
        <v/>
      </c>
      <c r="AL55" s="59" t="str">
        <f>IF(AND('Mapa final'!$AI$57="Muy Baja",'Mapa final'!$AK$57="Catastrófico"),CONCATENATE("R10C",'Mapa final'!$Y$57),"")</f>
        <v/>
      </c>
      <c r="AM55" s="60" t="str">
        <f>IF(AND('Mapa final'!$AI$58="Muy Baja",'Mapa final'!$AK$58="Catastrófico"),CONCATENATE("R10C",'Mapa final'!$Y$58),"")</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37" t="s">
        <v>177</v>
      </c>
      <c r="K56" s="438"/>
      <c r="L56" s="438"/>
      <c r="M56" s="438"/>
      <c r="N56" s="438"/>
      <c r="O56" s="455"/>
      <c r="P56" s="437" t="s">
        <v>178</v>
      </c>
      <c r="Q56" s="438"/>
      <c r="R56" s="438"/>
      <c r="S56" s="438"/>
      <c r="T56" s="438"/>
      <c r="U56" s="455"/>
      <c r="V56" s="437" t="s">
        <v>179</v>
      </c>
      <c r="W56" s="438"/>
      <c r="X56" s="438"/>
      <c r="Y56" s="438"/>
      <c r="Z56" s="438"/>
      <c r="AA56" s="455"/>
      <c r="AB56" s="437" t="s">
        <v>180</v>
      </c>
      <c r="AC56" s="476"/>
      <c r="AD56" s="438"/>
      <c r="AE56" s="438"/>
      <c r="AF56" s="438"/>
      <c r="AG56" s="455"/>
      <c r="AH56" s="437" t="s">
        <v>181</v>
      </c>
      <c r="AI56" s="438"/>
      <c r="AJ56" s="438"/>
      <c r="AK56" s="438"/>
      <c r="AL56" s="438"/>
      <c r="AM56" s="455"/>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41"/>
      <c r="K57" s="440"/>
      <c r="L57" s="440"/>
      <c r="M57" s="440"/>
      <c r="N57" s="440"/>
      <c r="O57" s="456"/>
      <c r="P57" s="441"/>
      <c r="Q57" s="440"/>
      <c r="R57" s="440"/>
      <c r="S57" s="440"/>
      <c r="T57" s="440"/>
      <c r="U57" s="456"/>
      <c r="V57" s="441"/>
      <c r="W57" s="440"/>
      <c r="X57" s="440"/>
      <c r="Y57" s="440"/>
      <c r="Z57" s="440"/>
      <c r="AA57" s="456"/>
      <c r="AB57" s="441"/>
      <c r="AC57" s="440"/>
      <c r="AD57" s="440"/>
      <c r="AE57" s="440"/>
      <c r="AF57" s="440"/>
      <c r="AG57" s="456"/>
      <c r="AH57" s="441"/>
      <c r="AI57" s="440"/>
      <c r="AJ57" s="440"/>
      <c r="AK57" s="440"/>
      <c r="AL57" s="440"/>
      <c r="AM57" s="456"/>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41"/>
      <c r="K58" s="440"/>
      <c r="L58" s="440"/>
      <c r="M58" s="440"/>
      <c r="N58" s="440"/>
      <c r="O58" s="456"/>
      <c r="P58" s="441"/>
      <c r="Q58" s="440"/>
      <c r="R58" s="440"/>
      <c r="S58" s="440"/>
      <c r="T58" s="440"/>
      <c r="U58" s="456"/>
      <c r="V58" s="441"/>
      <c r="W58" s="440"/>
      <c r="X58" s="440"/>
      <c r="Y58" s="440"/>
      <c r="Z58" s="440"/>
      <c r="AA58" s="456"/>
      <c r="AB58" s="441"/>
      <c r="AC58" s="440"/>
      <c r="AD58" s="440"/>
      <c r="AE58" s="440"/>
      <c r="AF58" s="440"/>
      <c r="AG58" s="456"/>
      <c r="AH58" s="441"/>
      <c r="AI58" s="440"/>
      <c r="AJ58" s="440"/>
      <c r="AK58" s="440"/>
      <c r="AL58" s="440"/>
      <c r="AM58" s="456"/>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41"/>
      <c r="K59" s="440"/>
      <c r="L59" s="440"/>
      <c r="M59" s="440"/>
      <c r="N59" s="440"/>
      <c r="O59" s="456"/>
      <c r="P59" s="441"/>
      <c r="Q59" s="440"/>
      <c r="R59" s="440"/>
      <c r="S59" s="440"/>
      <c r="T59" s="440"/>
      <c r="U59" s="456"/>
      <c r="V59" s="441"/>
      <c r="W59" s="440"/>
      <c r="X59" s="440"/>
      <c r="Y59" s="440"/>
      <c r="Z59" s="440"/>
      <c r="AA59" s="456"/>
      <c r="AB59" s="441"/>
      <c r="AC59" s="440"/>
      <c r="AD59" s="440"/>
      <c r="AE59" s="440"/>
      <c r="AF59" s="440"/>
      <c r="AG59" s="456"/>
      <c r="AH59" s="441"/>
      <c r="AI59" s="440"/>
      <c r="AJ59" s="440"/>
      <c r="AK59" s="440"/>
      <c r="AL59" s="440"/>
      <c r="AM59" s="456"/>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41"/>
      <c r="K60" s="440"/>
      <c r="L60" s="440"/>
      <c r="M60" s="440"/>
      <c r="N60" s="440"/>
      <c r="O60" s="456"/>
      <c r="P60" s="441"/>
      <c r="Q60" s="440"/>
      <c r="R60" s="440"/>
      <c r="S60" s="440"/>
      <c r="T60" s="440"/>
      <c r="U60" s="456"/>
      <c r="V60" s="441"/>
      <c r="W60" s="440"/>
      <c r="X60" s="440"/>
      <c r="Y60" s="440"/>
      <c r="Z60" s="440"/>
      <c r="AA60" s="456"/>
      <c r="AB60" s="441"/>
      <c r="AC60" s="440"/>
      <c r="AD60" s="440"/>
      <c r="AE60" s="440"/>
      <c r="AF60" s="440"/>
      <c r="AG60" s="456"/>
      <c r="AH60" s="441"/>
      <c r="AI60" s="440"/>
      <c r="AJ60" s="440"/>
      <c r="AK60" s="440"/>
      <c r="AL60" s="440"/>
      <c r="AM60" s="456"/>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42"/>
      <c r="K61" s="443"/>
      <c r="L61" s="443"/>
      <c r="M61" s="443"/>
      <c r="N61" s="443"/>
      <c r="O61" s="457"/>
      <c r="P61" s="442"/>
      <c r="Q61" s="443"/>
      <c r="R61" s="443"/>
      <c r="S61" s="443"/>
      <c r="T61" s="443"/>
      <c r="U61" s="457"/>
      <c r="V61" s="442"/>
      <c r="W61" s="443"/>
      <c r="X61" s="443"/>
      <c r="Y61" s="443"/>
      <c r="Z61" s="443"/>
      <c r="AA61" s="457"/>
      <c r="AB61" s="442"/>
      <c r="AC61" s="443"/>
      <c r="AD61" s="443"/>
      <c r="AE61" s="443"/>
      <c r="AF61" s="443"/>
      <c r="AG61" s="457"/>
      <c r="AH61" s="442"/>
      <c r="AI61" s="443"/>
      <c r="AJ61" s="443"/>
      <c r="AK61" s="443"/>
      <c r="AL61" s="443"/>
      <c r="AM61" s="457"/>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80"/>
      <c r="B1" s="477" t="s">
        <v>183</v>
      </c>
      <c r="C1" s="477"/>
      <c r="D1" s="477"/>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184</v>
      </c>
      <c r="D3" s="12" t="s">
        <v>102</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185</v>
      </c>
      <c r="C4" s="14" t="s">
        <v>186</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187</v>
      </c>
      <c r="C5" s="17" t="s">
        <v>188</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189</v>
      </c>
      <c r="C6" s="17" t="s">
        <v>190</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191</v>
      </c>
      <c r="C7" s="17" t="s">
        <v>192</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193</v>
      </c>
      <c r="C8" s="17" t="s">
        <v>194</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478" t="s">
        <v>195</v>
      </c>
      <c r="C1" s="478"/>
      <c r="D1" s="478"/>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101"/>
      <c r="C3" s="33" t="s">
        <v>196</v>
      </c>
      <c r="D3" s="33" t="s">
        <v>197</v>
      </c>
      <c r="E3" s="80"/>
      <c r="F3" s="80"/>
      <c r="G3" s="80"/>
      <c r="H3" s="80"/>
      <c r="I3" s="80"/>
      <c r="J3" s="80"/>
      <c r="K3" s="80"/>
      <c r="L3" s="80"/>
      <c r="M3" s="80"/>
      <c r="N3" s="80"/>
      <c r="O3" s="80"/>
      <c r="P3" s="80"/>
      <c r="Q3" s="80"/>
      <c r="R3" s="80"/>
      <c r="S3" s="80"/>
      <c r="T3" s="80"/>
      <c r="U3" s="80"/>
    </row>
    <row r="4" spans="1:21" ht="33.75" x14ac:dyDescent="0.25">
      <c r="A4" s="100" t="s">
        <v>198</v>
      </c>
      <c r="B4" s="36" t="s">
        <v>199</v>
      </c>
      <c r="C4" s="41" t="s">
        <v>200</v>
      </c>
      <c r="D4" s="34" t="s">
        <v>201</v>
      </c>
      <c r="E4" s="80"/>
      <c r="F4" s="80"/>
      <c r="G4" s="80"/>
      <c r="H4" s="80"/>
      <c r="I4" s="80"/>
      <c r="J4" s="80"/>
      <c r="K4" s="80"/>
      <c r="L4" s="80"/>
      <c r="M4" s="80"/>
      <c r="N4" s="80"/>
      <c r="O4" s="80"/>
      <c r="P4" s="80"/>
      <c r="Q4" s="80"/>
      <c r="R4" s="80"/>
      <c r="S4" s="80"/>
      <c r="T4" s="80"/>
      <c r="U4" s="80"/>
    </row>
    <row r="5" spans="1:21" ht="101.25" x14ac:dyDescent="0.25">
      <c r="A5" s="100" t="s">
        <v>202</v>
      </c>
      <c r="B5" s="37" t="s">
        <v>203</v>
      </c>
      <c r="C5" s="42" t="s">
        <v>204</v>
      </c>
      <c r="D5" s="35" t="s">
        <v>205</v>
      </c>
      <c r="E5" s="80"/>
      <c r="F5" s="80"/>
      <c r="G5" s="80"/>
      <c r="H5" s="80"/>
      <c r="I5" s="80"/>
      <c r="J5" s="80"/>
      <c r="K5" s="80"/>
      <c r="L5" s="80"/>
      <c r="M5" s="80"/>
      <c r="N5" s="80"/>
      <c r="O5" s="80"/>
      <c r="P5" s="80"/>
      <c r="Q5" s="80"/>
      <c r="R5" s="80"/>
      <c r="S5" s="80"/>
      <c r="T5" s="80"/>
      <c r="U5" s="80"/>
    </row>
    <row r="6" spans="1:21" ht="67.5" x14ac:dyDescent="0.25">
      <c r="A6" s="100" t="s">
        <v>173</v>
      </c>
      <c r="B6" s="38" t="s">
        <v>206</v>
      </c>
      <c r="C6" s="42" t="s">
        <v>207</v>
      </c>
      <c r="D6" s="35" t="s">
        <v>208</v>
      </c>
      <c r="E6" s="80"/>
      <c r="F6" s="80"/>
      <c r="G6" s="80"/>
      <c r="H6" s="80"/>
      <c r="I6" s="80"/>
      <c r="J6" s="80"/>
      <c r="K6" s="80"/>
      <c r="L6" s="80"/>
      <c r="M6" s="80"/>
      <c r="N6" s="80"/>
      <c r="O6" s="80"/>
      <c r="P6" s="80"/>
      <c r="Q6" s="80"/>
      <c r="R6" s="80"/>
      <c r="S6" s="80"/>
      <c r="T6" s="80"/>
      <c r="U6" s="80"/>
    </row>
    <row r="7" spans="1:21" ht="101.25" x14ac:dyDescent="0.25">
      <c r="A7" s="100" t="s">
        <v>209</v>
      </c>
      <c r="B7" s="39" t="s">
        <v>210</v>
      </c>
      <c r="C7" s="42" t="s">
        <v>211</v>
      </c>
      <c r="D7" s="35" t="s">
        <v>212</v>
      </c>
      <c r="E7" s="80"/>
      <c r="F7" s="80"/>
      <c r="G7" s="80"/>
      <c r="H7" s="80"/>
      <c r="I7" s="80"/>
      <c r="J7" s="80"/>
      <c r="K7" s="80"/>
      <c r="L7" s="80"/>
      <c r="M7" s="80"/>
      <c r="N7" s="80"/>
      <c r="O7" s="80"/>
      <c r="P7" s="80"/>
      <c r="Q7" s="80"/>
      <c r="R7" s="80"/>
      <c r="S7" s="80"/>
      <c r="T7" s="80"/>
      <c r="U7" s="80"/>
    </row>
    <row r="8" spans="1:21" ht="67.5" x14ac:dyDescent="0.25">
      <c r="A8" s="100" t="s">
        <v>213</v>
      </c>
      <c r="B8" s="40" t="s">
        <v>214</v>
      </c>
      <c r="C8" s="42" t="s">
        <v>215</v>
      </c>
      <c r="D8" s="35" t="s">
        <v>216</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217</v>
      </c>
      <c r="C11" s="100" t="s">
        <v>218</v>
      </c>
      <c r="D11" s="100" t="s">
        <v>219</v>
      </c>
      <c r="E11" s="80"/>
      <c r="F11" s="80"/>
      <c r="G11" s="80"/>
      <c r="H11" s="80"/>
      <c r="I11" s="80"/>
      <c r="J11" s="80"/>
      <c r="K11" s="80"/>
      <c r="L11" s="80"/>
      <c r="M11" s="80"/>
      <c r="N11" s="80"/>
      <c r="O11" s="80"/>
      <c r="P11" s="80"/>
      <c r="Q11" s="80"/>
      <c r="R11" s="80"/>
      <c r="S11" s="80"/>
      <c r="T11" s="80"/>
      <c r="U11" s="80"/>
    </row>
    <row r="12" spans="1:21" x14ac:dyDescent="0.25">
      <c r="A12" s="100"/>
      <c r="B12" s="100" t="s">
        <v>220</v>
      </c>
      <c r="C12" s="100" t="s">
        <v>221</v>
      </c>
      <c r="D12" s="100" t="s">
        <v>152</v>
      </c>
      <c r="E12" s="80"/>
      <c r="F12" s="80"/>
      <c r="G12" s="80"/>
      <c r="H12" s="80"/>
      <c r="I12" s="80"/>
      <c r="J12" s="80"/>
      <c r="K12" s="80"/>
      <c r="L12" s="80"/>
      <c r="M12" s="80"/>
      <c r="N12" s="80"/>
      <c r="O12" s="80"/>
      <c r="P12" s="80"/>
      <c r="Q12" s="80"/>
      <c r="R12" s="80"/>
      <c r="S12" s="80"/>
      <c r="T12" s="80"/>
      <c r="U12" s="80"/>
    </row>
    <row r="13" spans="1:21" x14ac:dyDescent="0.25">
      <c r="A13" s="100"/>
      <c r="B13" s="100"/>
      <c r="C13" s="100" t="s">
        <v>222</v>
      </c>
      <c r="D13" s="100" t="s">
        <v>121</v>
      </c>
      <c r="E13" s="80"/>
      <c r="F13" s="80"/>
      <c r="G13" s="80"/>
      <c r="H13" s="80"/>
      <c r="I13" s="80"/>
      <c r="J13" s="80"/>
      <c r="K13" s="80"/>
      <c r="L13" s="80"/>
      <c r="M13" s="80"/>
      <c r="N13" s="80"/>
      <c r="O13" s="80"/>
      <c r="P13" s="80"/>
      <c r="Q13" s="80"/>
      <c r="R13" s="80"/>
      <c r="S13" s="80"/>
      <c r="T13" s="80"/>
      <c r="U13" s="80"/>
    </row>
    <row r="14" spans="1:21" x14ac:dyDescent="0.25">
      <c r="A14" s="100"/>
      <c r="B14" s="100"/>
      <c r="C14" s="100" t="s">
        <v>223</v>
      </c>
      <c r="D14" s="100" t="s">
        <v>224</v>
      </c>
      <c r="E14" s="80"/>
      <c r="F14" s="80"/>
      <c r="G14" s="80"/>
      <c r="H14" s="80"/>
      <c r="I14" s="80"/>
      <c r="J14" s="80"/>
      <c r="K14" s="80"/>
      <c r="L14" s="80"/>
      <c r="M14" s="80"/>
      <c r="N14" s="80"/>
      <c r="O14" s="80"/>
      <c r="P14" s="80"/>
      <c r="Q14" s="80"/>
      <c r="R14" s="80"/>
      <c r="S14" s="80"/>
      <c r="T14" s="80"/>
      <c r="U14" s="80"/>
    </row>
    <row r="15" spans="1:21" x14ac:dyDescent="0.25">
      <c r="A15" s="100"/>
      <c r="B15" s="100"/>
      <c r="C15" s="100" t="s">
        <v>225</v>
      </c>
      <c r="D15" s="100" t="s">
        <v>226</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227</v>
      </c>
      <c r="C209" s="27" t="s">
        <v>228</v>
      </c>
      <c r="D209" s="30" t="s">
        <v>227</v>
      </c>
      <c r="E209" s="30" t="s">
        <v>228</v>
      </c>
    </row>
    <row r="210" spans="1:8" ht="21" x14ac:dyDescent="0.35">
      <c r="A210" s="80"/>
      <c r="B210" s="28" t="s">
        <v>229</v>
      </c>
      <c r="C210" s="28" t="s">
        <v>230</v>
      </c>
      <c r="D210" t="s">
        <v>229</v>
      </c>
      <c r="F210" t="str">
        <f>IF(NOT(ISBLANK(D210)),D210,IF(NOT(ISBLANK(E210)),"     "&amp;E210,FALSE))</f>
        <v>Afectación Económica o presupuestal</v>
      </c>
      <c r="G210" t="s">
        <v>229</v>
      </c>
      <c r="H210" t="str">
        <f>IF(NOT(ISERROR(MATCH(G210,_xlfn.ANCHORARRAY(B221),0))),F223&amp;"Por favor no seleccionar los criterios de impacto",G210)</f>
        <v>❌Por favor no seleccionar los criterios de impacto</v>
      </c>
    </row>
    <row r="211" spans="1:8" ht="21" x14ac:dyDescent="0.35">
      <c r="A211" s="80"/>
      <c r="B211" s="28" t="s">
        <v>229</v>
      </c>
      <c r="C211" s="28" t="s">
        <v>204</v>
      </c>
      <c r="E211" t="s">
        <v>230</v>
      </c>
      <c r="F211" t="str">
        <f t="shared" ref="F211:F221" si="0">IF(NOT(ISBLANK(D211)),D211,IF(NOT(ISBLANK(E211)),"     "&amp;E211,FALSE))</f>
        <v xml:space="preserve">     Afectación menor a 10 SMLMV .</v>
      </c>
    </row>
    <row r="212" spans="1:8" ht="21" x14ac:dyDescent="0.35">
      <c r="A212" s="80"/>
      <c r="B212" s="28" t="s">
        <v>229</v>
      </c>
      <c r="C212" s="28" t="s">
        <v>207</v>
      </c>
      <c r="E212" t="s">
        <v>204</v>
      </c>
      <c r="F212" t="str">
        <f t="shared" si="0"/>
        <v xml:space="preserve">     Entre 10 y 50 SMLMV </v>
      </c>
    </row>
    <row r="213" spans="1:8" ht="21" x14ac:dyDescent="0.35">
      <c r="A213" s="80"/>
      <c r="B213" s="28" t="s">
        <v>229</v>
      </c>
      <c r="C213" s="28" t="s">
        <v>211</v>
      </c>
      <c r="E213" t="s">
        <v>207</v>
      </c>
      <c r="F213" t="str">
        <f t="shared" si="0"/>
        <v xml:space="preserve">     Entre 50 y 100 SMLMV </v>
      </c>
    </row>
    <row r="214" spans="1:8" ht="21" x14ac:dyDescent="0.35">
      <c r="A214" s="80"/>
      <c r="B214" s="28" t="s">
        <v>229</v>
      </c>
      <c r="C214" s="28" t="s">
        <v>215</v>
      </c>
      <c r="E214" t="s">
        <v>211</v>
      </c>
      <c r="F214" t="str">
        <f t="shared" si="0"/>
        <v xml:space="preserve">     Entre 100 y 500 SMLMV </v>
      </c>
    </row>
    <row r="215" spans="1:8" ht="21" x14ac:dyDescent="0.35">
      <c r="A215" s="80"/>
      <c r="B215" s="28" t="s">
        <v>197</v>
      </c>
      <c r="C215" s="28" t="s">
        <v>201</v>
      </c>
      <c r="E215" t="s">
        <v>215</v>
      </c>
      <c r="F215" t="str">
        <f t="shared" si="0"/>
        <v xml:space="preserve">     Mayor a 500 SMLMV </v>
      </c>
    </row>
    <row r="216" spans="1:8" ht="21" x14ac:dyDescent="0.35">
      <c r="A216" s="80"/>
      <c r="B216" s="28" t="s">
        <v>197</v>
      </c>
      <c r="C216" s="28" t="s">
        <v>205</v>
      </c>
      <c r="D216" t="s">
        <v>197</v>
      </c>
      <c r="F216" t="str">
        <f t="shared" si="0"/>
        <v>Pérdida Reputacional</v>
      </c>
    </row>
    <row r="217" spans="1:8" ht="21" x14ac:dyDescent="0.35">
      <c r="A217" s="80"/>
      <c r="B217" s="28" t="s">
        <v>197</v>
      </c>
      <c r="C217" s="28" t="s">
        <v>208</v>
      </c>
      <c r="E217" t="s">
        <v>201</v>
      </c>
      <c r="F217" t="str">
        <f t="shared" si="0"/>
        <v xml:space="preserve">     El riesgo afecta la imagen de alguna área de la organización</v>
      </c>
    </row>
    <row r="218" spans="1:8" ht="21" x14ac:dyDescent="0.35">
      <c r="A218" s="80"/>
      <c r="B218" s="28" t="s">
        <v>197</v>
      </c>
      <c r="C218" s="28" t="s">
        <v>212</v>
      </c>
      <c r="E218" t="s">
        <v>205</v>
      </c>
      <c r="F218" t="str">
        <f t="shared" si="0"/>
        <v xml:space="preserve">     El riesgo afecta la imagen de la entidad internamente, de conocimiento general, nivel interno, de junta dircetiva y accionistas y/o de provedores</v>
      </c>
    </row>
    <row r="219" spans="1:8" ht="21" x14ac:dyDescent="0.35">
      <c r="A219" s="80"/>
      <c r="B219" s="28" t="s">
        <v>197</v>
      </c>
      <c r="C219" s="28" t="s">
        <v>216</v>
      </c>
      <c r="E219" t="s">
        <v>208</v>
      </c>
      <c r="F219" t="str">
        <f t="shared" si="0"/>
        <v xml:space="preserve">     El riesgo afecta la imagen de la entidad con algunos usuarios de relevancia frente al logro de los objetivos</v>
      </c>
    </row>
    <row r="220" spans="1:8" x14ac:dyDescent="0.25">
      <c r="A220" s="80"/>
      <c r="B220" s="29"/>
      <c r="C220" s="29"/>
      <c r="E220" t="s">
        <v>212</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216</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231</v>
      </c>
    </row>
    <row r="224" spans="1:8" x14ac:dyDescent="0.25">
      <c r="B224" s="22"/>
      <c r="C224" s="22"/>
      <c r="F224" s="32" t="s">
        <v>232</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479" t="s">
        <v>233</v>
      </c>
      <c r="C1" s="480"/>
      <c r="D1" s="480"/>
      <c r="E1" s="480"/>
      <c r="F1" s="481"/>
    </row>
    <row r="2" spans="2:6" ht="16.5" thickBot="1" x14ac:dyDescent="0.3">
      <c r="B2" s="86"/>
      <c r="C2" s="86"/>
      <c r="D2" s="86"/>
      <c r="E2" s="86"/>
      <c r="F2" s="86"/>
    </row>
    <row r="3" spans="2:6" ht="16.5" thickBot="1" x14ac:dyDescent="0.25">
      <c r="B3" s="483" t="s">
        <v>234</v>
      </c>
      <c r="C3" s="484"/>
      <c r="D3" s="484"/>
      <c r="E3" s="98" t="s">
        <v>235</v>
      </c>
      <c r="F3" s="99" t="s">
        <v>236</v>
      </c>
    </row>
    <row r="4" spans="2:6" ht="31.5" x14ac:dyDescent="0.2">
      <c r="B4" s="485" t="s">
        <v>237</v>
      </c>
      <c r="C4" s="487" t="s">
        <v>105</v>
      </c>
      <c r="D4" s="87" t="s">
        <v>123</v>
      </c>
      <c r="E4" s="88" t="s">
        <v>238</v>
      </c>
      <c r="F4" s="89">
        <v>0.25</v>
      </c>
    </row>
    <row r="5" spans="2:6" ht="47.25" x14ac:dyDescent="0.2">
      <c r="B5" s="486"/>
      <c r="C5" s="488"/>
      <c r="D5" s="90" t="s">
        <v>239</v>
      </c>
      <c r="E5" s="91" t="s">
        <v>240</v>
      </c>
      <c r="F5" s="92">
        <v>0.15</v>
      </c>
    </row>
    <row r="6" spans="2:6" ht="47.25" x14ac:dyDescent="0.2">
      <c r="B6" s="486"/>
      <c r="C6" s="488"/>
      <c r="D6" s="90" t="s">
        <v>241</v>
      </c>
      <c r="E6" s="91" t="s">
        <v>242</v>
      </c>
      <c r="F6" s="92">
        <v>0.1</v>
      </c>
    </row>
    <row r="7" spans="2:6" ht="63" x14ac:dyDescent="0.2">
      <c r="B7" s="486"/>
      <c r="C7" s="488" t="s">
        <v>106</v>
      </c>
      <c r="D7" s="90" t="s">
        <v>145</v>
      </c>
      <c r="E7" s="91" t="s">
        <v>243</v>
      </c>
      <c r="F7" s="92">
        <v>0.25</v>
      </c>
    </row>
    <row r="8" spans="2:6" ht="31.5" x14ac:dyDescent="0.2">
      <c r="B8" s="486"/>
      <c r="C8" s="488"/>
      <c r="D8" s="90" t="s">
        <v>124</v>
      </c>
      <c r="E8" s="91" t="s">
        <v>244</v>
      </c>
      <c r="F8" s="92">
        <v>0.15</v>
      </c>
    </row>
    <row r="9" spans="2:6" ht="47.25" x14ac:dyDescent="0.2">
      <c r="B9" s="486" t="s">
        <v>245</v>
      </c>
      <c r="C9" s="488" t="s">
        <v>107</v>
      </c>
      <c r="D9" s="90" t="s">
        <v>125</v>
      </c>
      <c r="E9" s="91" t="s">
        <v>246</v>
      </c>
      <c r="F9" s="93" t="s">
        <v>247</v>
      </c>
    </row>
    <row r="10" spans="2:6" ht="63" x14ac:dyDescent="0.2">
      <c r="B10" s="486"/>
      <c r="C10" s="488"/>
      <c r="D10" s="90" t="s">
        <v>248</v>
      </c>
      <c r="E10" s="91" t="s">
        <v>249</v>
      </c>
      <c r="F10" s="93" t="s">
        <v>247</v>
      </c>
    </row>
    <row r="11" spans="2:6" ht="47.25" x14ac:dyDescent="0.2">
      <c r="B11" s="486"/>
      <c r="C11" s="488" t="s">
        <v>108</v>
      </c>
      <c r="D11" s="90" t="s">
        <v>126</v>
      </c>
      <c r="E11" s="91" t="s">
        <v>250</v>
      </c>
      <c r="F11" s="93" t="s">
        <v>247</v>
      </c>
    </row>
    <row r="12" spans="2:6" ht="47.25" x14ac:dyDescent="0.2">
      <c r="B12" s="486"/>
      <c r="C12" s="488"/>
      <c r="D12" s="90" t="s">
        <v>251</v>
      </c>
      <c r="E12" s="91" t="s">
        <v>252</v>
      </c>
      <c r="F12" s="93" t="s">
        <v>247</v>
      </c>
    </row>
    <row r="13" spans="2:6" ht="31.5" x14ac:dyDescent="0.2">
      <c r="B13" s="486"/>
      <c r="C13" s="488" t="s">
        <v>109</v>
      </c>
      <c r="D13" s="90" t="s">
        <v>127</v>
      </c>
      <c r="E13" s="91" t="s">
        <v>253</v>
      </c>
      <c r="F13" s="93" t="s">
        <v>247</v>
      </c>
    </row>
    <row r="14" spans="2:6" ht="32.25" thickBot="1" x14ac:dyDescent="0.25">
      <c r="B14" s="489"/>
      <c r="C14" s="490"/>
      <c r="D14" s="94" t="s">
        <v>254</v>
      </c>
      <c r="E14" s="95" t="s">
        <v>255</v>
      </c>
      <c r="F14" s="96" t="s">
        <v>247</v>
      </c>
    </row>
    <row r="15" spans="2:6" ht="49.5" customHeight="1" x14ac:dyDescent="0.2">
      <c r="B15" s="482" t="s">
        <v>256</v>
      </c>
      <c r="C15" s="482"/>
      <c r="D15" s="482"/>
      <c r="E15" s="482"/>
      <c r="F15" s="482"/>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181" customWidth="1"/>
    <col min="2" max="2" width="19.7109375" style="181" customWidth="1"/>
    <col min="3" max="3" width="50" style="181" customWidth="1"/>
    <col min="4" max="4" width="16.42578125" style="181" customWidth="1"/>
    <col min="5" max="5" width="2.42578125" style="156" customWidth="1"/>
    <col min="6" max="16384" width="10.85546875" style="156"/>
  </cols>
  <sheetData>
    <row r="1" spans="1:5" ht="16.5" thickBot="1" x14ac:dyDescent="0.3">
      <c r="A1" s="153"/>
      <c r="B1" s="154"/>
      <c r="C1" s="154"/>
      <c r="D1" s="154"/>
      <c r="E1" s="155"/>
    </row>
    <row r="2" spans="1:5" ht="24" customHeight="1" thickBot="1" x14ac:dyDescent="0.3">
      <c r="A2" s="157"/>
      <c r="B2" s="497" t="s">
        <v>257</v>
      </c>
      <c r="C2" s="498"/>
      <c r="D2" s="499"/>
      <c r="E2" s="158"/>
    </row>
    <row r="3" spans="1:5" ht="96.75" customHeight="1" thickBot="1" x14ac:dyDescent="0.3">
      <c r="A3" s="159"/>
      <c r="B3" s="500" t="s">
        <v>258</v>
      </c>
      <c r="C3" s="500"/>
      <c r="D3" s="500"/>
      <c r="E3" s="158"/>
    </row>
    <row r="4" spans="1:5" ht="24.75" customHeight="1" thickBot="1" x14ac:dyDescent="0.3">
      <c r="A4" s="159"/>
      <c r="B4" s="501" t="s">
        <v>259</v>
      </c>
      <c r="C4" s="502"/>
      <c r="D4" s="503"/>
      <c r="E4" s="158"/>
    </row>
    <row r="5" spans="1:5" ht="46.5" customHeight="1" x14ac:dyDescent="0.25">
      <c r="A5" s="159"/>
      <c r="B5" s="504" t="s">
        <v>260</v>
      </c>
      <c r="C5" s="504"/>
      <c r="D5" s="504"/>
      <c r="E5" s="158"/>
    </row>
    <row r="6" spans="1:5" ht="24" customHeight="1" x14ac:dyDescent="0.25">
      <c r="A6" s="159"/>
      <c r="B6" s="160"/>
      <c r="C6" s="161"/>
      <c r="D6" s="162"/>
      <c r="E6" s="158"/>
    </row>
    <row r="7" spans="1:5" ht="24" customHeight="1" x14ac:dyDescent="0.25">
      <c r="A7" s="159"/>
      <c r="B7" s="505" t="s">
        <v>261</v>
      </c>
      <c r="C7" s="505"/>
      <c r="D7" s="505"/>
      <c r="E7" s="158"/>
    </row>
    <row r="8" spans="1:5" ht="63.75" customHeight="1" x14ac:dyDescent="0.25">
      <c r="A8" s="159"/>
      <c r="B8" s="163" t="s">
        <v>262</v>
      </c>
      <c r="C8" s="164" t="s">
        <v>263</v>
      </c>
      <c r="D8" s="164" t="s">
        <v>264</v>
      </c>
      <c r="E8" s="158"/>
    </row>
    <row r="9" spans="1:5" ht="90" customHeight="1" x14ac:dyDescent="0.25">
      <c r="A9" s="159"/>
      <c r="B9" s="165" t="s">
        <v>265</v>
      </c>
      <c r="C9" s="166" t="s">
        <v>266</v>
      </c>
      <c r="D9" s="167" t="s">
        <v>267</v>
      </c>
      <c r="E9" s="158"/>
    </row>
    <row r="10" spans="1:5" ht="75" customHeight="1" x14ac:dyDescent="0.25">
      <c r="A10" s="159"/>
      <c r="B10" s="168" t="s">
        <v>268</v>
      </c>
      <c r="C10" s="169" t="s">
        <v>269</v>
      </c>
      <c r="D10" s="169" t="s">
        <v>270</v>
      </c>
      <c r="E10" s="158"/>
    </row>
    <row r="11" spans="1:5" ht="63.75" customHeight="1" x14ac:dyDescent="0.25">
      <c r="A11" s="159"/>
      <c r="B11" s="170" t="s">
        <v>175</v>
      </c>
      <c r="C11" s="171" t="s">
        <v>271</v>
      </c>
      <c r="D11" s="171" t="s">
        <v>272</v>
      </c>
      <c r="E11" s="158"/>
    </row>
    <row r="12" spans="1:5" ht="29.25" customHeight="1" x14ac:dyDescent="0.25">
      <c r="A12" s="159"/>
      <c r="B12" s="172"/>
      <c r="C12" s="172"/>
      <c r="D12" s="172"/>
      <c r="E12" s="158"/>
    </row>
    <row r="13" spans="1:5" ht="29.25" customHeight="1" x14ac:dyDescent="0.25">
      <c r="A13" s="159"/>
      <c r="B13" s="506" t="s">
        <v>273</v>
      </c>
      <c r="C13" s="507"/>
      <c r="D13" s="507"/>
      <c r="E13" s="158"/>
    </row>
    <row r="14" spans="1:5" ht="32.25" customHeight="1" x14ac:dyDescent="0.25">
      <c r="A14" s="159"/>
      <c r="B14" s="173" t="s">
        <v>274</v>
      </c>
      <c r="C14" s="174" t="s">
        <v>235</v>
      </c>
      <c r="D14" s="174" t="s">
        <v>275</v>
      </c>
      <c r="E14" s="158"/>
    </row>
    <row r="15" spans="1:5" ht="56.25" customHeight="1" x14ac:dyDescent="0.25">
      <c r="A15" s="159"/>
      <c r="B15" s="175" t="s">
        <v>276</v>
      </c>
      <c r="C15" s="176" t="s">
        <v>277</v>
      </c>
      <c r="D15" s="175" t="s">
        <v>278</v>
      </c>
      <c r="E15" s="158"/>
    </row>
    <row r="16" spans="1:5" ht="48" customHeight="1" x14ac:dyDescent="0.25">
      <c r="A16" s="159"/>
      <c r="B16" s="177" t="s">
        <v>279</v>
      </c>
      <c r="C16" s="178" t="s">
        <v>280</v>
      </c>
      <c r="D16" s="177" t="s">
        <v>281</v>
      </c>
      <c r="E16" s="158"/>
    </row>
    <row r="17" spans="1:5" ht="49.5" customHeight="1" x14ac:dyDescent="0.25">
      <c r="A17" s="159"/>
      <c r="B17" s="179" t="s">
        <v>282</v>
      </c>
      <c r="C17" s="180" t="s">
        <v>283</v>
      </c>
      <c r="D17" s="179" t="s">
        <v>284</v>
      </c>
      <c r="E17" s="158"/>
    </row>
    <row r="18" spans="1:5" x14ac:dyDescent="0.25">
      <c r="A18" s="159"/>
      <c r="B18" s="172"/>
      <c r="C18" s="172"/>
      <c r="D18" s="172"/>
      <c r="E18" s="158"/>
    </row>
    <row r="19" spans="1:5" ht="16.5" thickBot="1" x14ac:dyDescent="0.3">
      <c r="A19" s="159"/>
      <c r="B19" s="172"/>
      <c r="D19" s="172"/>
      <c r="E19" s="158"/>
    </row>
    <row r="20" spans="1:5" ht="16.5" thickBot="1" x14ac:dyDescent="0.3">
      <c r="A20" s="159"/>
      <c r="B20" s="491" t="s">
        <v>285</v>
      </c>
      <c r="C20" s="492"/>
      <c r="D20" s="493"/>
      <c r="E20" s="158"/>
    </row>
    <row r="21" spans="1:5" ht="62.25" customHeight="1" x14ac:dyDescent="0.25">
      <c r="A21" s="159"/>
      <c r="B21" s="494" t="s">
        <v>286</v>
      </c>
      <c r="C21" s="495"/>
      <c r="D21" s="496"/>
      <c r="E21" s="158"/>
    </row>
    <row r="22" spans="1:5" ht="16.5" thickBot="1" x14ac:dyDescent="0.3">
      <c r="A22" s="182"/>
      <c r="B22" s="183"/>
      <c r="C22" s="183"/>
      <c r="D22" s="183"/>
      <c r="E22" s="184"/>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287</v>
      </c>
      <c r="E2" t="s">
        <v>288</v>
      </c>
    </row>
    <row r="3" spans="2:5" x14ac:dyDescent="0.25">
      <c r="B3" t="s">
        <v>289</v>
      </c>
      <c r="E3" t="s">
        <v>137</v>
      </c>
    </row>
    <row r="4" spans="2:5" x14ac:dyDescent="0.25">
      <c r="B4" t="s">
        <v>290</v>
      </c>
      <c r="E4" t="s">
        <v>113</v>
      </c>
    </row>
    <row r="5" spans="2:5" x14ac:dyDescent="0.25">
      <c r="B5" t="s">
        <v>128</v>
      </c>
    </row>
    <row r="8" spans="2:5" x14ac:dyDescent="0.25">
      <c r="B8" t="s">
        <v>291</v>
      </c>
    </row>
    <row r="9" spans="2:5" x14ac:dyDescent="0.25">
      <c r="B9" t="s">
        <v>132</v>
      </c>
    </row>
    <row r="10" spans="2:5" x14ac:dyDescent="0.25">
      <c r="B10" t="s">
        <v>136</v>
      </c>
    </row>
    <row r="13" spans="2:5" x14ac:dyDescent="0.25">
      <c r="B13" t="s">
        <v>292</v>
      </c>
    </row>
    <row r="14" spans="2:5" x14ac:dyDescent="0.25">
      <c r="B14" t="s">
        <v>143</v>
      </c>
    </row>
    <row r="15" spans="2:5" x14ac:dyDescent="0.25">
      <c r="B15" t="s">
        <v>293</v>
      </c>
    </row>
    <row r="16" spans="2:5" x14ac:dyDescent="0.25">
      <c r="B16" t="s">
        <v>294</v>
      </c>
    </row>
    <row r="17" spans="2:2" x14ac:dyDescent="0.25">
      <c r="B17" t="s">
        <v>295</v>
      </c>
    </row>
    <row r="18" spans="2:2" x14ac:dyDescent="0.25">
      <c r="B18" t="s">
        <v>296</v>
      </c>
    </row>
    <row r="19" spans="2:2" x14ac:dyDescent="0.25">
      <c r="B19" t="s">
        <v>120</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123</v>
      </c>
    </row>
    <row r="4" spans="1:1" x14ac:dyDescent="0.2">
      <c r="A4" s="10" t="s">
        <v>239</v>
      </c>
    </row>
    <row r="5" spans="1:1" x14ac:dyDescent="0.2">
      <c r="A5" s="10" t="s">
        <v>241</v>
      </c>
    </row>
    <row r="6" spans="1:1" x14ac:dyDescent="0.2">
      <c r="A6" s="10" t="s">
        <v>145</v>
      </c>
    </row>
    <row r="7" spans="1:1" x14ac:dyDescent="0.2">
      <c r="A7" s="10" t="s">
        <v>124</v>
      </c>
    </row>
    <row r="8" spans="1:1" x14ac:dyDescent="0.2">
      <c r="A8" s="10" t="s">
        <v>125</v>
      </c>
    </row>
    <row r="9" spans="1:1" x14ac:dyDescent="0.2">
      <c r="A9" s="10" t="s">
        <v>248</v>
      </c>
    </row>
    <row r="10" spans="1:1" x14ac:dyDescent="0.2">
      <c r="A10" s="10" t="s">
        <v>126</v>
      </c>
    </row>
    <row r="11" spans="1:1" x14ac:dyDescent="0.2">
      <c r="A11" s="10" t="s">
        <v>251</v>
      </c>
    </row>
    <row r="12" spans="1:1" x14ac:dyDescent="0.2">
      <c r="A12" s="10" t="s">
        <v>297</v>
      </c>
    </row>
    <row r="13" spans="1:1" x14ac:dyDescent="0.2">
      <c r="A13" s="10" t="s">
        <v>298</v>
      </c>
    </row>
    <row r="14" spans="1:1" x14ac:dyDescent="0.2">
      <c r="A14" s="10" t="s">
        <v>299</v>
      </c>
    </row>
    <row r="16" spans="1:1" x14ac:dyDescent="0.2">
      <c r="A16" s="10" t="s">
        <v>300</v>
      </c>
    </row>
    <row r="17" spans="1:1" x14ac:dyDescent="0.2">
      <c r="A17" s="10" t="s">
        <v>287</v>
      </c>
    </row>
    <row r="18" spans="1:1" x14ac:dyDescent="0.2">
      <c r="A18" s="10" t="s">
        <v>289</v>
      </c>
    </row>
    <row r="20" spans="1:1" x14ac:dyDescent="0.2">
      <c r="A20" s="10" t="s">
        <v>132</v>
      </c>
    </row>
    <row r="21" spans="1:1" x14ac:dyDescent="0.2">
      <c r="A21" s="10"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2026-04-13T16:13:26Z</dcterms:modified>
  <cp:category/>
  <cp:contentStatus/>
</cp:coreProperties>
</file>