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defaultThemeVersion="124226"/>
  <mc:AlternateContent xmlns:mc="http://schemas.openxmlformats.org/markup-compatibility/2006">
    <mc:Choice Requires="x15">
      <x15ac:absPath xmlns:x15ac="http://schemas.microsoft.com/office/spreadsheetml/2010/11/ac" url="D:\Usuarios\CORPOCESAR\Documents\H -\Mapas de Riesgos\Matriz de Riesgos y Oportunidades_ para vigencia 2025\Seguimiento a corte 31 de diciembre 2025\"/>
    </mc:Choice>
  </mc:AlternateContent>
  <xr:revisionPtr revIDLastSave="0" documentId="13_ncr:1_{AB2CA20E-B5AB-46A1-BFC9-D60872582EEC}" xr6:coauthVersionLast="47" xr6:coauthVersionMax="47" xr10:uidLastSave="{00000000-0000-0000-0000-000000000000}"/>
  <bookViews>
    <workbookView xWindow="-120" yWindow="-120" windowWidth="29040" windowHeight="15720" tabRatio="882" firstSheet="1" activeTab="1" xr2:uid="{00000000-000D-0000-FFFF-FFFF00000000}"/>
  </bookViews>
  <sheets>
    <sheet name="Intructivo" sheetId="20" r:id="rId1"/>
    <sheet name="Mapa final" sheetId="1" r:id="rId2"/>
    <sheet name="Matriz Calor Inherente" sheetId="18" r:id="rId3"/>
    <sheet name="Matriz Calor Residual" sheetId="19" r:id="rId4"/>
    <sheet name="Tabla probabilidad" sheetId="12" r:id="rId5"/>
    <sheet name="Tabla Impacto" sheetId="13" r:id="rId6"/>
    <sheet name="Tabla Valoración controles" sheetId="15" r:id="rId7"/>
    <sheet name="Valoración_Evaluación Oportunid" sheetId="21" r:id="rId8"/>
    <sheet name="Opciones Tratamiento" sheetId="16" state="hidden" r:id="rId9"/>
    <sheet name="Hoja1" sheetId="11" state="hidden" r:id="rId10"/>
  </sheets>
  <externalReferences>
    <externalReference r:id="rId11"/>
  </externalReferenc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26" i="1" l="1"/>
  <c r="AS26" i="1" s="1"/>
  <c r="AT26" i="1" s="1"/>
  <c r="AP26" i="1"/>
  <c r="AR25" i="1"/>
  <c r="AS25" i="1" s="1"/>
  <c r="AT25" i="1" s="1"/>
  <c r="AP25" i="1"/>
  <c r="AR24" i="1"/>
  <c r="AS24" i="1" s="1"/>
  <c r="AT24" i="1" s="1"/>
  <c r="AP24" i="1"/>
  <c r="AR23" i="1"/>
  <c r="AS23" i="1" s="1"/>
  <c r="AT23" i="1" s="1"/>
  <c r="AP23" i="1"/>
  <c r="AR22" i="1"/>
  <c r="AS22" i="1" s="1"/>
  <c r="AT22" i="1" s="1"/>
  <c r="AP22" i="1"/>
  <c r="AR21" i="1"/>
  <c r="AS21" i="1" s="1"/>
  <c r="AT21" i="1" s="1"/>
  <c r="AP21" i="1"/>
  <c r="AR20" i="1"/>
  <c r="AS20" i="1" s="1"/>
  <c r="AT20" i="1" s="1"/>
  <c r="AP20" i="1"/>
  <c r="AR19" i="1"/>
  <c r="AS19" i="1" s="1"/>
  <c r="AT19" i="1" s="1"/>
  <c r="AP19" i="1"/>
  <c r="AR18" i="1"/>
  <c r="AS18" i="1" s="1"/>
  <c r="AT18" i="1" s="1"/>
  <c r="AP18" i="1"/>
  <c r="AR17" i="1"/>
  <c r="AS17" i="1" s="1"/>
  <c r="AT17" i="1" s="1"/>
  <c r="AP17" i="1"/>
  <c r="AR16" i="1"/>
  <c r="AS16" i="1" s="1"/>
  <c r="AT16" i="1" s="1"/>
  <c r="AP16" i="1"/>
  <c r="AR15" i="1"/>
  <c r="AS15" i="1" s="1"/>
  <c r="AT15" i="1" s="1"/>
  <c r="AP15" i="1"/>
  <c r="AR12" i="1"/>
  <c r="AS12" i="1" s="1"/>
  <c r="AT12" i="1" s="1"/>
  <c r="AP12" i="1"/>
  <c r="T16" i="1"/>
  <c r="V54" i="1"/>
  <c r="W54" i="1" s="1"/>
  <c r="X54" i="1" s="1"/>
  <c r="T54" i="1"/>
  <c r="V53" i="1"/>
  <c r="W53" i="1" s="1"/>
  <c r="X53" i="1" s="1"/>
  <c r="T53" i="1"/>
  <c r="V52" i="1"/>
  <c r="W52" i="1" s="1"/>
  <c r="X52" i="1" s="1"/>
  <c r="T52" i="1"/>
  <c r="V51" i="1"/>
  <c r="W51" i="1" s="1"/>
  <c r="X51" i="1" s="1"/>
  <c r="T51" i="1"/>
  <c r="V50" i="1"/>
  <c r="W50" i="1" s="1"/>
  <c r="X50" i="1" s="1"/>
  <c r="T50" i="1"/>
  <c r="V49" i="1"/>
  <c r="W49" i="1" s="1"/>
  <c r="X49" i="1" s="1"/>
  <c r="T49" i="1"/>
  <c r="V48" i="1"/>
  <c r="W48" i="1" s="1"/>
  <c r="X48" i="1" s="1"/>
  <c r="T48" i="1"/>
  <c r="V47" i="1"/>
  <c r="W47" i="1" s="1"/>
  <c r="X47" i="1" s="1"/>
  <c r="T47" i="1"/>
  <c r="V46" i="1"/>
  <c r="W46" i="1" s="1"/>
  <c r="X46" i="1" s="1"/>
  <c r="T46" i="1"/>
  <c r="V45" i="1"/>
  <c r="W45" i="1" s="1"/>
  <c r="X45" i="1" s="1"/>
  <c r="T45" i="1"/>
  <c r="V44" i="1"/>
  <c r="W44" i="1" s="1"/>
  <c r="X44" i="1" s="1"/>
  <c r="T44" i="1"/>
  <c r="V43" i="1"/>
  <c r="W43" i="1" s="1"/>
  <c r="X43" i="1" s="1"/>
  <c r="T43" i="1"/>
  <c r="V42" i="1"/>
  <c r="W42" i="1" s="1"/>
  <c r="X42" i="1" s="1"/>
  <c r="T42" i="1"/>
  <c r="V41" i="1"/>
  <c r="W41" i="1" s="1"/>
  <c r="X41" i="1" s="1"/>
  <c r="T41" i="1"/>
  <c r="V40" i="1"/>
  <c r="W40" i="1" s="1"/>
  <c r="X40" i="1" s="1"/>
  <c r="T40" i="1"/>
  <c r="V39" i="1"/>
  <c r="W39" i="1" s="1"/>
  <c r="X39" i="1" s="1"/>
  <c r="T39" i="1"/>
  <c r="V38" i="1"/>
  <c r="W38" i="1" s="1"/>
  <c r="X38" i="1" s="1"/>
  <c r="T38" i="1"/>
  <c r="V37" i="1"/>
  <c r="W37" i="1" s="1"/>
  <c r="X37" i="1" s="1"/>
  <c r="T37" i="1"/>
  <c r="V36" i="1"/>
  <c r="W36" i="1" s="1"/>
  <c r="X36" i="1" s="1"/>
  <c r="T36" i="1"/>
  <c r="V35" i="1"/>
  <c r="W35" i="1" s="1"/>
  <c r="X35" i="1" s="1"/>
  <c r="T35" i="1"/>
  <c r="V34" i="1"/>
  <c r="W34" i="1" s="1"/>
  <c r="X34" i="1" s="1"/>
  <c r="T34" i="1"/>
  <c r="V33" i="1"/>
  <c r="W33" i="1" s="1"/>
  <c r="X33" i="1" s="1"/>
  <c r="T33" i="1"/>
  <c r="V32" i="1"/>
  <c r="W32" i="1" s="1"/>
  <c r="X32" i="1" s="1"/>
  <c r="T32" i="1"/>
  <c r="V31" i="1"/>
  <c r="W31" i="1" s="1"/>
  <c r="X31" i="1" s="1"/>
  <c r="T31" i="1"/>
  <c r="V30" i="1"/>
  <c r="W30" i="1" s="1"/>
  <c r="X30" i="1" s="1"/>
  <c r="T30" i="1"/>
  <c r="V29" i="1"/>
  <c r="W29" i="1" s="1"/>
  <c r="X29" i="1" s="1"/>
  <c r="T29" i="1"/>
  <c r="V28" i="1"/>
  <c r="W28" i="1" s="1"/>
  <c r="X28" i="1" s="1"/>
  <c r="T28" i="1"/>
  <c r="V27" i="1"/>
  <c r="W27" i="1" s="1"/>
  <c r="X27" i="1" s="1"/>
  <c r="T27" i="1"/>
  <c r="V26" i="1"/>
  <c r="W26" i="1" s="1"/>
  <c r="X26" i="1" s="1"/>
  <c r="T26" i="1"/>
  <c r="V25" i="1"/>
  <c r="W25" i="1" s="1"/>
  <c r="X25" i="1" s="1"/>
  <c r="T25" i="1"/>
  <c r="V24" i="1"/>
  <c r="W24" i="1" s="1"/>
  <c r="X24" i="1" s="1"/>
  <c r="T24" i="1"/>
  <c r="V23" i="1"/>
  <c r="W23" i="1" s="1"/>
  <c r="X23" i="1" s="1"/>
  <c r="T23" i="1"/>
  <c r="V22" i="1"/>
  <c r="W22" i="1" s="1"/>
  <c r="X22" i="1" s="1"/>
  <c r="T22" i="1"/>
  <c r="V21" i="1"/>
  <c r="W21" i="1" s="1"/>
  <c r="X21" i="1" s="1"/>
  <c r="T21" i="1"/>
  <c r="V20" i="1"/>
  <c r="W20" i="1" s="1"/>
  <c r="X20" i="1" s="1"/>
  <c r="T20" i="1"/>
  <c r="V18" i="1"/>
  <c r="W18" i="1" s="1"/>
  <c r="X18" i="1" s="1"/>
  <c r="T18" i="1"/>
  <c r="V17" i="1"/>
  <c r="W17" i="1" s="1"/>
  <c r="X17" i="1" s="1"/>
  <c r="T17" i="1"/>
  <c r="V16" i="1"/>
  <c r="W16" i="1" s="1"/>
  <c r="X16" i="1" s="1"/>
  <c r="V14" i="1"/>
  <c r="W14" i="1" s="1"/>
  <c r="X14" i="1" s="1"/>
  <c r="T14" i="1"/>
  <c r="V13" i="1"/>
  <c r="W13" i="1" s="1"/>
  <c r="X13" i="1" s="1"/>
  <c r="T13" i="1"/>
  <c r="V12" i="1"/>
  <c r="W12" i="1" s="1"/>
  <c r="X12" i="1" s="1"/>
  <c r="T12" i="1"/>
  <c r="V11" i="1"/>
  <c r="W11" i="1" s="1"/>
  <c r="X11" i="1" s="1"/>
  <c r="T11" i="1"/>
  <c r="AD11" i="1" l="1"/>
  <c r="AA11" i="1"/>
  <c r="L11" i="1"/>
  <c r="M11" i="1" s="1"/>
  <c r="O32" i="1"/>
  <c r="O13" i="1"/>
  <c r="O17" i="1"/>
  <c r="O47" i="1"/>
  <c r="O33" i="1"/>
  <c r="O41" i="1"/>
  <c r="O23" i="1"/>
  <c r="O27" i="1"/>
  <c r="O21" i="1"/>
  <c r="O39" i="1"/>
  <c r="O22" i="1"/>
  <c r="O38" i="1"/>
  <c r="O52" i="1"/>
  <c r="O20" i="1"/>
  <c r="O30" i="1"/>
  <c r="O51" i="1"/>
  <c r="O29" i="1"/>
  <c r="O54" i="1"/>
  <c r="O53" i="1"/>
  <c r="O15" i="1"/>
  <c r="O50" i="1"/>
  <c r="O40" i="1"/>
  <c r="O42" i="1"/>
  <c r="O45" i="1"/>
  <c r="O44" i="1"/>
  <c r="O48" i="1"/>
  <c r="O28" i="1"/>
  <c r="O18" i="1"/>
  <c r="O35" i="1"/>
  <c r="O46" i="1"/>
  <c r="O34" i="1"/>
  <c r="O26" i="1"/>
  <c r="O36" i="1"/>
  <c r="O24" i="1"/>
  <c r="F221" i="13" l="1"/>
  <c r="F211" i="13"/>
  <c r="F212" i="13"/>
  <c r="F213" i="13"/>
  <c r="F214" i="13"/>
  <c r="F215" i="13"/>
  <c r="F216" i="13"/>
  <c r="F217" i="13"/>
  <c r="F218" i="13"/>
  <c r="F219" i="13"/>
  <c r="F220" i="13"/>
  <c r="F210" i="13"/>
  <c r="B221" i="13" a="1"/>
  <c r="B221" i="13" l="1"/>
  <c r="AA37" i="1"/>
  <c r="AA32" i="1"/>
  <c r="AA26" i="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AD54" i="1" l="1"/>
  <c r="AA54" i="1"/>
  <c r="AD53" i="1"/>
  <c r="AA53" i="1"/>
  <c r="AD52" i="1"/>
  <c r="AA52" i="1"/>
  <c r="AD51" i="1"/>
  <c r="AA51" i="1"/>
  <c r="AD50" i="1"/>
  <c r="AA50" i="1"/>
  <c r="AD49" i="1"/>
  <c r="AA49" i="1"/>
  <c r="L49" i="1"/>
  <c r="M49" i="1" s="1"/>
  <c r="AD48" i="1"/>
  <c r="AA48" i="1"/>
  <c r="AD47" i="1"/>
  <c r="AA47" i="1"/>
  <c r="AD46" i="1"/>
  <c r="AA46" i="1"/>
  <c r="AD45" i="1"/>
  <c r="AA45" i="1"/>
  <c r="AD44" i="1"/>
  <c r="AA44" i="1"/>
  <c r="AD43" i="1"/>
  <c r="AA43" i="1"/>
  <c r="L43" i="1"/>
  <c r="M43" i="1" s="1"/>
  <c r="AD42" i="1"/>
  <c r="AA42" i="1"/>
  <c r="AD41" i="1"/>
  <c r="AA41" i="1"/>
  <c r="AD40" i="1"/>
  <c r="AA40" i="1"/>
  <c r="AD39" i="1"/>
  <c r="AA39" i="1"/>
  <c r="AD38" i="1"/>
  <c r="AA38" i="1"/>
  <c r="AL38" i="1" s="1"/>
  <c r="AD37" i="1"/>
  <c r="L37" i="1"/>
  <c r="M37" i="1" s="1"/>
  <c r="AD36" i="1"/>
  <c r="AA36" i="1"/>
  <c r="AD35" i="1"/>
  <c r="AA35" i="1"/>
  <c r="AD34" i="1"/>
  <c r="AA34" i="1"/>
  <c r="AD33" i="1"/>
  <c r="AA33" i="1"/>
  <c r="AD32" i="1"/>
  <c r="AD31" i="1"/>
  <c r="AA31" i="1"/>
  <c r="AL32" i="1" s="1"/>
  <c r="L31" i="1"/>
  <c r="M31" i="1" s="1"/>
  <c r="AD30" i="1"/>
  <c r="AA30" i="1"/>
  <c r="AD29" i="1"/>
  <c r="AA29" i="1"/>
  <c r="AD28" i="1"/>
  <c r="AA28" i="1"/>
  <c r="AD27" i="1"/>
  <c r="AA27" i="1"/>
  <c r="AD26" i="1"/>
  <c r="AD25" i="1"/>
  <c r="AA25" i="1"/>
  <c r="AL26" i="1" s="1"/>
  <c r="L25" i="1"/>
  <c r="M25" i="1" s="1"/>
  <c r="AD24" i="1"/>
  <c r="AA24" i="1"/>
  <c r="AD23" i="1"/>
  <c r="AA23" i="1"/>
  <c r="AD22" i="1"/>
  <c r="AA22" i="1"/>
  <c r="AD21" i="1"/>
  <c r="AA21" i="1"/>
  <c r="AD20" i="1"/>
  <c r="AA20" i="1"/>
  <c r="AD19" i="1"/>
  <c r="AA19" i="1"/>
  <c r="L19" i="1"/>
  <c r="M19" i="1" s="1"/>
  <c r="AD18" i="1"/>
  <c r="AA18" i="1"/>
  <c r="AD17" i="1"/>
  <c r="AA17" i="1"/>
  <c r="AD16" i="1"/>
  <c r="AA16" i="1"/>
  <c r="L16" i="1"/>
  <c r="M16" i="1" s="1"/>
  <c r="AD15" i="1"/>
  <c r="AD14" i="1"/>
  <c r="AA14" i="1"/>
  <c r="L14" i="1"/>
  <c r="M14" i="1" s="1"/>
  <c r="L12" i="1"/>
  <c r="AD13" i="1"/>
  <c r="AA13" i="1"/>
  <c r="AD12" i="1"/>
  <c r="AA12" i="1"/>
  <c r="AL50" i="1" l="1"/>
  <c r="AL15" i="1"/>
  <c r="AL17" i="1"/>
  <c r="AL13" i="1"/>
  <c r="AL20" i="1"/>
  <c r="AL44" i="1"/>
  <c r="AL35" i="1"/>
  <c r="AK35" i="1" s="1"/>
  <c r="AL36" i="1"/>
  <c r="AK36" i="1" s="1"/>
  <c r="M12" i="1"/>
  <c r="AH12" i="1" s="1"/>
  <c r="AH49" i="1"/>
  <c r="AH43" i="1"/>
  <c r="AH37" i="1"/>
  <c r="AH31" i="1"/>
  <c r="AH35" i="1"/>
  <c r="AH36" i="1"/>
  <c r="AH25" i="1"/>
  <c r="AH19" i="1"/>
  <c r="AH16" i="1"/>
  <c r="AH14" i="1"/>
  <c r="AI49" i="1" l="1"/>
  <c r="AJ49" i="1"/>
  <c r="AH50" i="1" s="1"/>
  <c r="AI50" i="1" s="1"/>
  <c r="AI43" i="1"/>
  <c r="AJ43" i="1"/>
  <c r="AH44" i="1" s="1"/>
  <c r="AJ44" i="1" s="1"/>
  <c r="AH45" i="1" s="1"/>
  <c r="AI37" i="1"/>
  <c r="AJ37" i="1"/>
  <c r="AH38" i="1" s="1"/>
  <c r="AJ38" i="1" s="1"/>
  <c r="AH39" i="1" s="1"/>
  <c r="AI36" i="1"/>
  <c r="AJ36" i="1"/>
  <c r="AI35" i="1"/>
  <c r="AJ35" i="1"/>
  <c r="AI31" i="1"/>
  <c r="AJ31" i="1"/>
  <c r="AI25" i="1"/>
  <c r="AJ25" i="1"/>
  <c r="AH26" i="1" s="1"/>
  <c r="AJ26" i="1" s="1"/>
  <c r="AH27" i="1" s="1"/>
  <c r="AI19" i="1"/>
  <c r="AJ19" i="1"/>
  <c r="AI16" i="1"/>
  <c r="AJ16" i="1"/>
  <c r="AH17" i="1" s="1"/>
  <c r="AJ17" i="1" s="1"/>
  <c r="AH18" i="1" s="1"/>
  <c r="AI18" i="1" s="1"/>
  <c r="AI14" i="1"/>
  <c r="AJ14" i="1"/>
  <c r="AH15" i="1" s="1"/>
  <c r="AI15" i="1" s="1"/>
  <c r="AI12" i="1"/>
  <c r="AJ12" i="1"/>
  <c r="AH13" i="1" s="1"/>
  <c r="AI44" i="1" l="1"/>
  <c r="AI38" i="1"/>
  <c r="AJ15" i="1"/>
  <c r="AI26" i="1"/>
  <c r="AI17" i="1"/>
  <c r="AI27" i="1"/>
  <c r="AJ27" i="1"/>
  <c r="AJ45" i="1"/>
  <c r="AH46" i="1" s="1"/>
  <c r="AI45" i="1"/>
  <c r="AJ39" i="1"/>
  <c r="AH40" i="1" s="1"/>
  <c r="AI39" i="1"/>
  <c r="AJ50" i="1"/>
  <c r="AH51" i="1" s="1"/>
  <c r="AH20" i="1"/>
  <c r="AH32" i="1"/>
  <c r="AH33" i="1"/>
  <c r="AJ18" i="1"/>
  <c r="T52" i="19"/>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AM35" i="1"/>
  <c r="AM36" i="1"/>
  <c r="AI46" i="1" l="1"/>
  <c r="AJ46" i="1"/>
  <c r="AI40" i="1"/>
  <c r="AJ40" i="1"/>
  <c r="AH41" i="1" s="1"/>
  <c r="AI33" i="1"/>
  <c r="AJ33" i="1"/>
  <c r="AH34" i="1" s="1"/>
  <c r="AI51" i="1"/>
  <c r="AJ51" i="1"/>
  <c r="AH52" i="1" s="1"/>
  <c r="AI32" i="1"/>
  <c r="AJ32" i="1"/>
  <c r="AH28" i="1"/>
  <c r="AI20" i="1"/>
  <c r="AJ20" i="1"/>
  <c r="AH21" i="1" s="1"/>
  <c r="AI21" i="1" s="1"/>
  <c r="AI13" i="1"/>
  <c r="AJ13" i="1"/>
  <c r="AJ21" i="1" l="1"/>
  <c r="AH22" i="1" s="1"/>
  <c r="AJ22" i="1" s="1"/>
  <c r="AH23" i="1" s="1"/>
  <c r="AI41" i="1"/>
  <c r="AJ41" i="1"/>
  <c r="AH42" i="1" s="1"/>
  <c r="AH47" i="1"/>
  <c r="AH48" i="1"/>
  <c r="AI28" i="1"/>
  <c r="AJ28" i="1"/>
  <c r="AH29" i="1" s="1"/>
  <c r="AI29" i="1" s="1"/>
  <c r="AI34" i="1"/>
  <c r="AJ34" i="1"/>
  <c r="AJ52" i="1"/>
  <c r="AI52" i="1"/>
  <c r="AI22" i="1" l="1"/>
  <c r="AI48" i="1"/>
  <c r="AJ48" i="1"/>
  <c r="AI47" i="1"/>
  <c r="AJ47" i="1"/>
  <c r="AI42" i="1"/>
  <c r="AJ42" i="1"/>
  <c r="AH53" i="1"/>
  <c r="AH54" i="1"/>
  <c r="AJ29" i="1"/>
  <c r="AH30" i="1" s="1"/>
  <c r="AI30" i="1" s="1"/>
  <c r="AJ23" i="1"/>
  <c r="AH24" i="1" s="1"/>
  <c r="AI23" i="1"/>
  <c r="AH11" i="1"/>
  <c r="AI11" i="1" s="1"/>
  <c r="AI54" i="1" l="1"/>
  <c r="AJ54" i="1"/>
  <c r="AI53" i="1"/>
  <c r="AJ53" i="1"/>
  <c r="AI24" i="1"/>
  <c r="AJ24" i="1"/>
  <c r="AJ30" i="1"/>
  <c r="AJ11" i="1" l="1"/>
  <c r="AL51" i="1" l="1"/>
  <c r="AL43" i="1"/>
  <c r="AL25" i="1"/>
  <c r="AK25" i="1" s="1"/>
  <c r="AL37" i="1"/>
  <c r="AK37" i="1" s="1"/>
  <c r="AL31" i="1"/>
  <c r="AK31" i="1" s="1"/>
  <c r="J11" i="19" l="1"/>
  <c r="V11" i="19"/>
  <c r="AB21" i="19"/>
  <c r="P31" i="19"/>
  <c r="J31" i="19"/>
  <c r="AB41" i="19"/>
  <c r="AM25" i="1"/>
  <c r="AH41" i="19"/>
  <c r="P41" i="19"/>
  <c r="J21" i="19"/>
  <c r="AB31" i="19"/>
  <c r="AB51" i="19"/>
  <c r="P21" i="19"/>
  <c r="V41" i="19"/>
  <c r="V31" i="19"/>
  <c r="AH21" i="19"/>
  <c r="AB11" i="19"/>
  <c r="P51" i="19"/>
  <c r="V21" i="19"/>
  <c r="AH31" i="19"/>
  <c r="V51" i="19"/>
  <c r="J51" i="19"/>
  <c r="AH51" i="19"/>
  <c r="AH11" i="19"/>
  <c r="J41" i="19"/>
  <c r="P11" i="19"/>
  <c r="AK15" i="1"/>
  <c r="AM37" i="1"/>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AK43" i="1"/>
  <c r="AK50" i="1"/>
  <c r="AK51" i="1"/>
  <c r="AL52" i="1"/>
  <c r="AL21" i="1"/>
  <c r="AK20" i="1"/>
  <c r="AK26" i="1"/>
  <c r="AL27" i="1"/>
  <c r="AK27" i="1" s="1"/>
  <c r="AL28" i="1"/>
  <c r="V32" i="19"/>
  <c r="P42" i="19"/>
  <c r="J12" i="19"/>
  <c r="J32" i="19"/>
  <c r="AB52" i="19"/>
  <c r="AM31" i="1"/>
  <c r="J22" i="19"/>
  <c r="V22" i="19"/>
  <c r="J52" i="19"/>
  <c r="AH12" i="19"/>
  <c r="J42" i="19"/>
  <c r="AH42" i="19"/>
  <c r="P32" i="19"/>
  <c r="AB12" i="19"/>
  <c r="AH32" i="19"/>
  <c r="AB32" i="19"/>
  <c r="AB42" i="19"/>
  <c r="V42" i="19"/>
  <c r="V12" i="19"/>
  <c r="V52" i="19"/>
  <c r="AB22" i="19"/>
  <c r="AH52" i="19"/>
  <c r="AH22" i="19"/>
  <c r="P22" i="19"/>
  <c r="P12" i="19"/>
  <c r="P52" i="19"/>
  <c r="AL33" i="1"/>
  <c r="AK33" i="1" s="1"/>
  <c r="AL34" i="1"/>
  <c r="AK34" i="1" s="1"/>
  <c r="AK32" i="1"/>
  <c r="AK13" i="1"/>
  <c r="AK38" i="1"/>
  <c r="AL39" i="1"/>
  <c r="AK44" i="1"/>
  <c r="AL45" i="1"/>
  <c r="AK17" i="1"/>
  <c r="AL18" i="1"/>
  <c r="W37" i="19" l="1"/>
  <c r="AI7" i="19"/>
  <c r="W17" i="19"/>
  <c r="W27" i="19"/>
  <c r="Q47" i="19"/>
  <c r="W7" i="19"/>
  <c r="AI17" i="19"/>
  <c r="K47" i="19"/>
  <c r="AI47" i="19"/>
  <c r="Q27" i="19"/>
  <c r="AC27" i="19"/>
  <c r="AC47" i="19"/>
  <c r="AC37" i="19"/>
  <c r="AI37" i="19"/>
  <c r="AM13" i="1"/>
  <c r="AC17" i="19"/>
  <c r="K37" i="19"/>
  <c r="AC7" i="19"/>
  <c r="W47" i="19"/>
  <c r="Q37" i="19"/>
  <c r="AI27" i="19"/>
  <c r="Q7" i="19"/>
  <c r="K27" i="19"/>
  <c r="K17" i="19"/>
  <c r="K7" i="19"/>
  <c r="Q17" i="19"/>
  <c r="AK52" i="1"/>
  <c r="AL53" i="1"/>
  <c r="K35" i="19"/>
  <c r="AC25" i="19"/>
  <c r="K45" i="19"/>
  <c r="AI45" i="19"/>
  <c r="W45" i="19"/>
  <c r="Q35" i="19"/>
  <c r="K55" i="19"/>
  <c r="AC15" i="19"/>
  <c r="Q15" i="19"/>
  <c r="AC35" i="19"/>
  <c r="AI35" i="19"/>
  <c r="Q55" i="19"/>
  <c r="AI25" i="19"/>
  <c r="AM50" i="1"/>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AM44" i="1"/>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M26" i="1"/>
  <c r="AD55" i="19"/>
  <c r="R15" i="19"/>
  <c r="AJ35" i="19"/>
  <c r="AM51" i="1"/>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AM43" i="1"/>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M33" i="1"/>
  <c r="AD12" i="19"/>
  <c r="AD32" i="19"/>
  <c r="AD22" i="19"/>
  <c r="X52" i="19"/>
  <c r="AD52" i="19"/>
  <c r="L42" i="19"/>
  <c r="R42" i="19"/>
  <c r="AJ21" i="19"/>
  <c r="AD31" i="19"/>
  <c r="R21" i="19"/>
  <c r="AD41" i="19"/>
  <c r="AJ11" i="19"/>
  <c r="AJ51" i="19"/>
  <c r="AM27" i="1"/>
  <c r="L41" i="19"/>
  <c r="AD11" i="19"/>
  <c r="L21" i="19"/>
  <c r="L11" i="19"/>
  <c r="X51" i="19"/>
  <c r="X21" i="19"/>
  <c r="R11" i="19"/>
  <c r="R31" i="19"/>
  <c r="AJ41" i="19"/>
  <c r="L31" i="19"/>
  <c r="R51" i="19"/>
  <c r="X31" i="19"/>
  <c r="X11" i="19"/>
  <c r="X41" i="19"/>
  <c r="AJ31" i="19"/>
  <c r="AD51" i="19"/>
  <c r="R41" i="19"/>
  <c r="AD21" i="19"/>
  <c r="L51" i="19"/>
  <c r="AK18" i="1"/>
  <c r="AK39" i="1"/>
  <c r="AL40" i="1"/>
  <c r="K42" i="19"/>
  <c r="AC32" i="19"/>
  <c r="W42" i="19"/>
  <c r="AI52" i="19"/>
  <c r="K22" i="19"/>
  <c r="Q32" i="19"/>
  <c r="AI12" i="19"/>
  <c r="AC52" i="19"/>
  <c r="Q42" i="19"/>
  <c r="AC42" i="19"/>
  <c r="K12" i="19"/>
  <c r="Q22" i="19"/>
  <c r="W52" i="19"/>
  <c r="AI42" i="19"/>
  <c r="W32" i="19"/>
  <c r="AI22" i="19"/>
  <c r="W12" i="19"/>
  <c r="AI32" i="19"/>
  <c r="AC12" i="19"/>
  <c r="Q12" i="19"/>
  <c r="Q52" i="19"/>
  <c r="AM32" i="1"/>
  <c r="K32" i="19"/>
  <c r="W22" i="19"/>
  <c r="K52" i="19"/>
  <c r="AC22" i="19"/>
  <c r="AC40" i="19"/>
  <c r="W10" i="19"/>
  <c r="AC50" i="19"/>
  <c r="Q10" i="19"/>
  <c r="Q30" i="19"/>
  <c r="W50" i="19"/>
  <c r="K40" i="19"/>
  <c r="Q50" i="19"/>
  <c r="W20" i="19"/>
  <c r="AM20" i="1"/>
  <c r="K10" i="19"/>
  <c r="Q40" i="19"/>
  <c r="K30" i="19"/>
  <c r="AI50" i="19"/>
  <c r="AI20" i="19"/>
  <c r="K50" i="19"/>
  <c r="AI40" i="19"/>
  <c r="W40" i="19"/>
  <c r="K20" i="19"/>
  <c r="AC10" i="19"/>
  <c r="AI10" i="19"/>
  <c r="AC20" i="19"/>
  <c r="AI30" i="19"/>
  <c r="AC30" i="19"/>
  <c r="W30" i="19"/>
  <c r="Q20" i="19"/>
  <c r="AI6" i="19"/>
  <c r="W26" i="19"/>
  <c r="AI36" i="19"/>
  <c r="W36" i="19"/>
  <c r="K46" i="19"/>
  <c r="Q46" i="19"/>
  <c r="W16" i="19"/>
  <c r="Q6" i="19"/>
  <c r="AI16" i="19"/>
  <c r="K26" i="19"/>
  <c r="AI26" i="19"/>
  <c r="AC36" i="19"/>
  <c r="AI46" i="19"/>
  <c r="AC26" i="19"/>
  <c r="K36" i="19"/>
  <c r="K6" i="19"/>
  <c r="Q36" i="19"/>
  <c r="W46" i="19"/>
  <c r="AC6" i="19"/>
  <c r="K16" i="19"/>
  <c r="AC46" i="19"/>
  <c r="AC16" i="19"/>
  <c r="Q26" i="19"/>
  <c r="Q16" i="19"/>
  <c r="W6" i="19"/>
  <c r="AK45" i="1"/>
  <c r="AL46" i="1"/>
  <c r="K39" i="19"/>
  <c r="AC39" i="19"/>
  <c r="W29" i="19"/>
  <c r="AI49" i="19"/>
  <c r="W9" i="19"/>
  <c r="AC19" i="19"/>
  <c r="Q49" i="19"/>
  <c r="W49" i="19"/>
  <c r="AC9" i="19"/>
  <c r="AI9" i="19"/>
  <c r="Q29" i="19"/>
  <c r="W39" i="19"/>
  <c r="Q39" i="19"/>
  <c r="AM17" i="1"/>
  <c r="K9" i="19"/>
  <c r="W19" i="19"/>
  <c r="AI39" i="19"/>
  <c r="K29" i="19"/>
  <c r="AC49" i="19"/>
  <c r="AI19" i="19"/>
  <c r="AC29" i="19"/>
  <c r="K19" i="19"/>
  <c r="K49" i="19"/>
  <c r="Q19" i="19"/>
  <c r="Q9" i="19"/>
  <c r="AI29" i="19"/>
  <c r="K23" i="19"/>
  <c r="AI43" i="19"/>
  <c r="AC43" i="19"/>
  <c r="AC53" i="19"/>
  <c r="W43" i="19"/>
  <c r="K13" i="19"/>
  <c r="Q53" i="19"/>
  <c r="AI53" i="19"/>
  <c r="K33" i="19"/>
  <c r="K43" i="19"/>
  <c r="AI33" i="19"/>
  <c r="AC33" i="19"/>
  <c r="AM38" i="1"/>
  <c r="Q33" i="19"/>
  <c r="AI23" i="19"/>
  <c r="K53" i="19"/>
  <c r="AC23" i="19"/>
  <c r="AC13" i="19"/>
  <c r="W23" i="19"/>
  <c r="W33" i="19"/>
  <c r="Q13" i="19"/>
  <c r="W13" i="19"/>
  <c r="AI13" i="19"/>
  <c r="Q43" i="19"/>
  <c r="Q23" i="19"/>
  <c r="W53" i="19"/>
  <c r="M12" i="19"/>
  <c r="AK42" i="19"/>
  <c r="AE32" i="19"/>
  <c r="AM34" i="1"/>
  <c r="M52" i="19"/>
  <c r="S12" i="19"/>
  <c r="M32" i="19"/>
  <c r="S52" i="19"/>
  <c r="Y52" i="19"/>
  <c r="Y42" i="19"/>
  <c r="AK12" i="19"/>
  <c r="S22" i="19"/>
  <c r="AE12" i="19"/>
  <c r="Y22" i="19"/>
  <c r="S32" i="19"/>
  <c r="AK52" i="19"/>
  <c r="M22" i="19"/>
  <c r="AK32" i="19"/>
  <c r="AE22" i="19"/>
  <c r="AE42" i="19"/>
  <c r="Y32" i="19"/>
  <c r="M42" i="19"/>
  <c r="Y12" i="19"/>
  <c r="AE52" i="19"/>
  <c r="AK22" i="19"/>
  <c r="S42" i="19"/>
  <c r="AK28" i="1"/>
  <c r="AL30" i="1"/>
  <c r="AK30" i="1" s="1"/>
  <c r="AL29" i="1"/>
  <c r="AK29" i="1" s="1"/>
  <c r="AK21" i="1"/>
  <c r="AL22" i="1"/>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AM15" i="1"/>
  <c r="R40" i="19" l="1"/>
  <c r="AD10" i="19"/>
  <c r="X40" i="19"/>
  <c r="AJ10" i="19"/>
  <c r="R50" i="19"/>
  <c r="X10" i="19"/>
  <c r="R30" i="19"/>
  <c r="AM21" i="1"/>
  <c r="L10" i="19"/>
  <c r="L50" i="19"/>
  <c r="AJ20" i="19"/>
  <c r="AJ40" i="19"/>
  <c r="AD30" i="19"/>
  <c r="R20" i="19"/>
  <c r="AD50" i="19"/>
  <c r="AJ30" i="19"/>
  <c r="AJ50" i="19"/>
  <c r="X30" i="19"/>
  <c r="AD20" i="19"/>
  <c r="L40" i="19"/>
  <c r="X50" i="19"/>
  <c r="X20" i="19"/>
  <c r="AD40" i="19"/>
  <c r="R10" i="19"/>
  <c r="L30" i="19"/>
  <c r="L20" i="19"/>
  <c r="AK40" i="1"/>
  <c r="AL41" i="1"/>
  <c r="AK53" i="1"/>
  <c r="AL54" i="1"/>
  <c r="AK54" i="1" s="1"/>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AM39" i="1"/>
  <c r="X23" i="19"/>
  <c r="R33" i="19"/>
  <c r="R43" i="19"/>
  <c r="AD53" i="19"/>
  <c r="AJ13" i="19"/>
  <c r="R23" i="19"/>
  <c r="R13" i="19"/>
  <c r="AJ53" i="19"/>
  <c r="L33" i="19"/>
  <c r="L23" i="19"/>
  <c r="X43" i="19"/>
  <c r="X53" i="19"/>
  <c r="AD13" i="19"/>
  <c r="L53" i="19"/>
  <c r="L13" i="19"/>
  <c r="AD23" i="19"/>
  <c r="AJ33" i="19"/>
  <c r="AJ23" i="19"/>
  <c r="R53" i="19"/>
  <c r="M55" i="19"/>
  <c r="AK15" i="19"/>
  <c r="AE25" i="19"/>
  <c r="AM52" i="1"/>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M29" i="1"/>
  <c r="AL21" i="19"/>
  <c r="T41" i="19"/>
  <c r="AF41" i="19"/>
  <c r="AE46" i="19"/>
  <c r="M36" i="19"/>
  <c r="Y16" i="19"/>
  <c r="AK46" i="19"/>
  <c r="S36" i="19"/>
  <c r="AE16" i="19"/>
  <c r="M6" i="19"/>
  <c r="AK16" i="19"/>
  <c r="M26" i="19"/>
  <c r="S46" i="19"/>
  <c r="AE26" i="19"/>
  <c r="M16" i="19"/>
  <c r="Y46" i="19"/>
  <c r="AK26" i="19"/>
  <c r="S16" i="19"/>
  <c r="Y6" i="19"/>
  <c r="AK36" i="19"/>
  <c r="S26" i="19"/>
  <c r="AE6" i="19"/>
  <c r="M46" i="19"/>
  <c r="Y26" i="19"/>
  <c r="AK6" i="19"/>
  <c r="Y36" i="19"/>
  <c r="S6" i="19"/>
  <c r="AE36" i="19"/>
  <c r="O11" i="19"/>
  <c r="O21" i="19"/>
  <c r="O51" i="19"/>
  <c r="AA31" i="19"/>
  <c r="AM31" i="19"/>
  <c r="AG51" i="19"/>
  <c r="AA41" i="19"/>
  <c r="AM11" i="19"/>
  <c r="U21" i="19"/>
  <c r="AG41" i="19"/>
  <c r="AM21" i="19"/>
  <c r="AM51" i="19"/>
  <c r="O41" i="19"/>
  <c r="U11" i="19"/>
  <c r="AG31" i="19"/>
  <c r="U41" i="19"/>
  <c r="AM30" i="1"/>
  <c r="AG11" i="19"/>
  <c r="AM41" i="19"/>
  <c r="AA21" i="19"/>
  <c r="AA51" i="19"/>
  <c r="U51" i="19"/>
  <c r="U31" i="19"/>
  <c r="AA11" i="19"/>
  <c r="AG21" i="19"/>
  <c r="O31" i="19"/>
  <c r="AK46" i="1"/>
  <c r="AL47" i="1"/>
  <c r="AJ46" i="19"/>
  <c r="AD46" i="19"/>
  <c r="L36" i="19"/>
  <c r="X16" i="19"/>
  <c r="AJ26" i="19"/>
  <c r="L46" i="19"/>
  <c r="X6" i="19"/>
  <c r="R36" i="19"/>
  <c r="X36" i="19"/>
  <c r="R6" i="19"/>
  <c r="AJ6" i="19"/>
  <c r="AD36" i="19"/>
  <c r="R46" i="19"/>
  <c r="AD26" i="19"/>
  <c r="L16" i="19"/>
  <c r="AD16" i="19"/>
  <c r="X46" i="19"/>
  <c r="X26" i="19"/>
  <c r="AJ36" i="19"/>
  <c r="R26" i="19"/>
  <c r="AD6" i="19"/>
  <c r="L6" i="19"/>
  <c r="L26" i="19"/>
  <c r="R16" i="19"/>
  <c r="AJ16" i="19"/>
  <c r="AK22" i="1"/>
  <c r="AL23" i="1"/>
  <c r="AE11" i="19"/>
  <c r="Y41" i="19"/>
  <c r="M41" i="19"/>
  <c r="Y21" i="19"/>
  <c r="AK41" i="19"/>
  <c r="S31" i="19"/>
  <c r="M31" i="19"/>
  <c r="M51" i="19"/>
  <c r="Y51" i="19"/>
  <c r="AK21" i="19"/>
  <c r="AK31" i="19"/>
  <c r="Y11" i="19"/>
  <c r="AE41" i="19"/>
  <c r="AE21" i="19"/>
  <c r="S51" i="19"/>
  <c r="AE51" i="19"/>
  <c r="AK51" i="19"/>
  <c r="M21" i="19"/>
  <c r="AE31" i="19"/>
  <c r="AM28" i="1"/>
  <c r="S41" i="19"/>
  <c r="AK11" i="19"/>
  <c r="S11" i="19"/>
  <c r="Y31" i="19"/>
  <c r="S21" i="19"/>
  <c r="M11" i="19"/>
  <c r="L54" i="19"/>
  <c r="AJ14" i="19"/>
  <c r="AD44" i="19"/>
  <c r="X54" i="19"/>
  <c r="R14" i="19"/>
  <c r="AD24" i="19"/>
  <c r="AD34" i="19"/>
  <c r="R54" i="19"/>
  <c r="L34" i="19"/>
  <c r="AJ34" i="19"/>
  <c r="X24" i="19"/>
  <c r="AJ24" i="19"/>
  <c r="X44" i="19"/>
  <c r="R24" i="19"/>
  <c r="AM45" i="1"/>
  <c r="X34" i="19"/>
  <c r="L14" i="19"/>
  <c r="AD14" i="19"/>
  <c r="L44" i="19"/>
  <c r="R44" i="19"/>
  <c r="AD54" i="19"/>
  <c r="X14" i="19"/>
  <c r="AJ44" i="19"/>
  <c r="R34" i="19"/>
  <c r="AJ54" i="19"/>
  <c r="L24" i="19"/>
  <c r="AD29" i="19"/>
  <c r="AD19" i="19"/>
  <c r="R39" i="19"/>
  <c r="R9" i="19"/>
  <c r="X49" i="19"/>
  <c r="X9" i="19"/>
  <c r="AD39" i="19"/>
  <c r="R29" i="19"/>
  <c r="L49" i="19"/>
  <c r="X19" i="19"/>
  <c r="X29" i="19"/>
  <c r="X39" i="19"/>
  <c r="L9" i="19"/>
  <c r="AM18" i="1"/>
  <c r="AD9" i="19"/>
  <c r="AJ49" i="19"/>
  <c r="L39" i="19"/>
  <c r="R19" i="19"/>
  <c r="AJ39" i="19"/>
  <c r="AJ29" i="19"/>
  <c r="AJ19" i="19"/>
  <c r="AJ9" i="19"/>
  <c r="AD49" i="19"/>
  <c r="L19" i="19"/>
  <c r="L29" i="19"/>
  <c r="R49" i="19"/>
  <c r="AK23" i="1" l="1"/>
  <c r="AL24" i="1"/>
  <c r="AK24" i="1" s="1"/>
  <c r="AG39" i="19"/>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M46" i="1"/>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M54" i="1"/>
  <c r="AG15" i="19"/>
  <c r="U15" i="19"/>
  <c r="AG55" i="19"/>
  <c r="U55" i="19"/>
  <c r="AE40" i="19"/>
  <c r="Y30" i="19"/>
  <c r="M20" i="19"/>
  <c r="AM22" i="1"/>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AM53" i="1"/>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AK41" i="1"/>
  <c r="AL42" i="1"/>
  <c r="AK42" i="1" s="1"/>
  <c r="AM46" i="19"/>
  <c r="U36" i="19"/>
  <c r="AG16" i="19"/>
  <c r="O6" i="19"/>
  <c r="AA36" i="19"/>
  <c r="AM16" i="19"/>
  <c r="U6" i="19"/>
  <c r="AG46" i="19"/>
  <c r="AA16" i="19"/>
  <c r="AA6" i="19"/>
  <c r="AG6" i="19"/>
  <c r="AA46" i="19"/>
  <c r="AM26" i="19"/>
  <c r="U16" i="19"/>
  <c r="O36" i="19"/>
  <c r="U26" i="19"/>
  <c r="O46" i="19"/>
  <c r="AA26" i="19"/>
  <c r="AM6" i="19"/>
  <c r="U46" i="19"/>
  <c r="AG26" i="19"/>
  <c r="O16" i="19"/>
  <c r="AG36" i="19"/>
  <c r="O26" i="19"/>
  <c r="AM36" i="19"/>
  <c r="AK47" i="1"/>
  <c r="AL48" i="1"/>
  <c r="AK48" i="1" s="1"/>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AM40" i="1"/>
  <c r="M33" i="19"/>
  <c r="AF6" i="19"/>
  <c r="N46" i="19"/>
  <c r="Z26" i="19"/>
  <c r="AL6" i="19"/>
  <c r="AL36" i="19"/>
  <c r="AF26" i="19"/>
  <c r="Z6" i="19"/>
  <c r="T26" i="19"/>
  <c r="Z46" i="19"/>
  <c r="AF46" i="19"/>
  <c r="T46" i="19"/>
  <c r="T6" i="19"/>
  <c r="AF36" i="19"/>
  <c r="N26" i="19"/>
  <c r="Z16" i="19"/>
  <c r="AL26" i="19"/>
  <c r="Z36" i="19"/>
  <c r="N36" i="19"/>
  <c r="AL46" i="19"/>
  <c r="T36" i="19"/>
  <c r="AF16" i="19"/>
  <c r="N6" i="19"/>
  <c r="N16" i="19"/>
  <c r="AL16" i="19"/>
  <c r="T16" i="19"/>
  <c r="AG24" i="19" l="1"/>
  <c r="O44" i="19"/>
  <c r="O24" i="19"/>
  <c r="AM14" i="19"/>
  <c r="AG34" i="19"/>
  <c r="O34" i="19"/>
  <c r="AA44" i="19"/>
  <c r="O14" i="19"/>
  <c r="AA54" i="19"/>
  <c r="U14" i="19"/>
  <c r="AM44" i="19"/>
  <c r="AA34" i="19"/>
  <c r="AM24" i="19"/>
  <c r="AM54" i="19"/>
  <c r="AG14" i="19"/>
  <c r="AM34" i="19"/>
  <c r="U54" i="19"/>
  <c r="AG44" i="19"/>
  <c r="AA24" i="19"/>
  <c r="AG54" i="19"/>
  <c r="U34" i="19"/>
  <c r="U24" i="19"/>
  <c r="AM48" i="1"/>
  <c r="AA14" i="19"/>
  <c r="O54" i="19"/>
  <c r="U44" i="19"/>
  <c r="U43" i="19"/>
  <c r="U13" i="19"/>
  <c r="AM53" i="19"/>
  <c r="AA53" i="19"/>
  <c r="AA43" i="19"/>
  <c r="O53" i="19"/>
  <c r="O23" i="19"/>
  <c r="O13" i="19"/>
  <c r="AG43" i="19"/>
  <c r="U33" i="19"/>
  <c r="U23" i="19"/>
  <c r="AM13" i="19"/>
  <c r="AM23" i="19"/>
  <c r="AG13" i="19"/>
  <c r="AA23" i="19"/>
  <c r="AG33" i="19"/>
  <c r="AA33" i="19"/>
  <c r="AM33" i="19"/>
  <c r="AA13" i="19"/>
  <c r="AM42" i="1"/>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M47" i="1"/>
  <c r="AF53" i="19"/>
  <c r="T43" i="19"/>
  <c r="Z53" i="19"/>
  <c r="N43" i="19"/>
  <c r="T23" i="19"/>
  <c r="AF43" i="19"/>
  <c r="Z13" i="19"/>
  <c r="Z43" i="19"/>
  <c r="AF23" i="19"/>
  <c r="AL13" i="19"/>
  <c r="Z23" i="19"/>
  <c r="AL43" i="19"/>
  <c r="AF13" i="19"/>
  <c r="AL23" i="19"/>
  <c r="N13" i="19"/>
  <c r="T33" i="19"/>
  <c r="AL53" i="19"/>
  <c r="N23" i="19"/>
  <c r="N53" i="19"/>
  <c r="AF33" i="19"/>
  <c r="N33" i="19"/>
  <c r="AM41" i="1"/>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M24" i="1"/>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AM23" i="1"/>
  <c r="T10" i="19"/>
  <c r="AF10" i="19"/>
  <c r="T20" i="19"/>
  <c r="N30" i="19"/>
  <c r="Z20" i="19"/>
  <c r="AF50" i="19"/>
  <c r="T50" i="19"/>
  <c r="AL30" i="19"/>
  <c r="T40" i="19"/>
  <c r="AF40" i="19"/>
  <c r="AF30" i="19"/>
  <c r="N50" i="19"/>
  <c r="AL40" i="19"/>
  <c r="AL20" i="19"/>
  <c r="Z10" i="19"/>
  <c r="AF20" i="19"/>
  <c r="N10" i="19"/>
  <c r="Z50" i="19"/>
  <c r="AL50" i="19"/>
  <c r="N40" i="19"/>
  <c r="T30" i="19"/>
  <c r="Z30" i="19"/>
  <c r="AL10" i="19"/>
  <c r="N20" i="19"/>
  <c r="O25" i="1" l="1"/>
  <c r="P25" i="1" s="1"/>
  <c r="O49" i="1"/>
  <c r="P49" i="1" s="1"/>
  <c r="O11" i="1"/>
  <c r="P11" i="1" s="1"/>
  <c r="O43" i="1"/>
  <c r="P43" i="1" s="1"/>
  <c r="O16" i="1"/>
  <c r="P16" i="1" s="1"/>
  <c r="O31" i="1"/>
  <c r="P31" i="1" s="1"/>
  <c r="O14" i="1"/>
  <c r="P14" i="1" s="1"/>
  <c r="O37" i="1"/>
  <c r="P37" i="1" s="1"/>
  <c r="O19" i="1"/>
  <c r="P19" i="1" s="1"/>
  <c r="O12" i="1"/>
  <c r="P12" i="1" s="1"/>
  <c r="X6" i="18" l="1"/>
  <c r="R12" i="1"/>
  <c r="AD6" i="18"/>
  <c r="L38" i="18"/>
  <c r="R14" i="18"/>
  <c r="AJ30" i="18"/>
  <c r="AD22" i="18"/>
  <c r="AD30" i="18"/>
  <c r="AD14" i="18"/>
  <c r="R22" i="18"/>
  <c r="Q12" i="1"/>
  <c r="AL12" i="1" s="1"/>
  <c r="AK12" i="1" s="1"/>
  <c r="AJ38" i="18"/>
  <c r="R6" i="18"/>
  <c r="L6" i="18"/>
  <c r="X14" i="18"/>
  <c r="AJ22" i="18"/>
  <c r="AJ6" i="18"/>
  <c r="R30" i="18"/>
  <c r="L30" i="18"/>
  <c r="X30" i="18"/>
  <c r="AD38" i="18"/>
  <c r="X22" i="18"/>
  <c r="R38" i="18"/>
  <c r="L14" i="18"/>
  <c r="X38" i="18"/>
  <c r="AJ14" i="18"/>
  <c r="L22" i="18"/>
  <c r="X18" i="18"/>
  <c r="Q37" i="1"/>
  <c r="R42" i="18"/>
  <c r="X42" i="18"/>
  <c r="X34" i="18"/>
  <c r="L18" i="18"/>
  <c r="X26" i="18"/>
  <c r="R26" i="18"/>
  <c r="AD34" i="18"/>
  <c r="X10" i="18"/>
  <c r="AJ26" i="18"/>
  <c r="AJ18" i="18"/>
  <c r="R10" i="18"/>
  <c r="AD10" i="18"/>
  <c r="R18" i="18"/>
  <c r="AD18" i="18"/>
  <c r="R37" i="1"/>
  <c r="L26" i="18"/>
  <c r="AD26" i="18"/>
  <c r="AJ10" i="18"/>
  <c r="R34" i="18"/>
  <c r="L10" i="18"/>
  <c r="AD42" i="18"/>
  <c r="L34" i="18"/>
  <c r="L42" i="18"/>
  <c r="AJ34" i="18"/>
  <c r="AJ42" i="18"/>
  <c r="T38" i="18"/>
  <c r="AF38" i="18"/>
  <c r="Z22" i="18"/>
  <c r="AF30" i="18"/>
  <c r="T22" i="18"/>
  <c r="Q14" i="1"/>
  <c r="AL14" i="1" s="1"/>
  <c r="AK14" i="1" s="1"/>
  <c r="T30" i="18"/>
  <c r="AL14" i="18"/>
  <c r="N38" i="18"/>
  <c r="Z30" i="18"/>
  <c r="N22" i="18"/>
  <c r="AL30" i="18"/>
  <c r="AL6" i="18"/>
  <c r="T14" i="18"/>
  <c r="R14" i="1"/>
  <c r="AL22" i="18"/>
  <c r="Z14" i="18"/>
  <c r="Z6" i="18"/>
  <c r="AL38" i="18"/>
  <c r="AF22" i="18"/>
  <c r="T6" i="18"/>
  <c r="Z38" i="18"/>
  <c r="N14" i="18"/>
  <c r="N6" i="18"/>
  <c r="AF14" i="18"/>
  <c r="N30" i="18"/>
  <c r="AF6" i="18"/>
  <c r="AB40" i="18"/>
  <c r="P24" i="18"/>
  <c r="AH24" i="18"/>
  <c r="P8" i="18"/>
  <c r="V8" i="18"/>
  <c r="AH32" i="18"/>
  <c r="V40" i="18"/>
  <c r="AH8" i="18"/>
  <c r="R16" i="1"/>
  <c r="AB24" i="18"/>
  <c r="P16" i="18"/>
  <c r="AH40" i="18"/>
  <c r="J32" i="18"/>
  <c r="V16" i="18"/>
  <c r="P40" i="18"/>
  <c r="J8" i="18"/>
  <c r="J40" i="18"/>
  <c r="Q16" i="1"/>
  <c r="AL16" i="1" s="1"/>
  <c r="AK16" i="1" s="1"/>
  <c r="V32" i="18"/>
  <c r="AB32" i="18"/>
  <c r="J16" i="18"/>
  <c r="AH16" i="18"/>
  <c r="AB8" i="18"/>
  <c r="V24" i="18"/>
  <c r="P32" i="18"/>
  <c r="AB16" i="18"/>
  <c r="J24" i="18"/>
  <c r="P34" i="18"/>
  <c r="AH42" i="18"/>
  <c r="J10" i="18"/>
  <c r="V18" i="18"/>
  <c r="J34" i="18"/>
  <c r="AB18" i="18"/>
  <c r="AB26" i="18"/>
  <c r="AB10" i="18"/>
  <c r="AB42" i="18"/>
  <c r="AH26" i="18"/>
  <c r="J18" i="18"/>
  <c r="AH34" i="18"/>
  <c r="V26" i="18"/>
  <c r="R31" i="1"/>
  <c r="P10" i="18"/>
  <c r="AB34" i="18"/>
  <c r="P26" i="18"/>
  <c r="V34" i="18"/>
  <c r="V10" i="18"/>
  <c r="J26" i="18"/>
  <c r="P18" i="18"/>
  <c r="Q31" i="1"/>
  <c r="P42" i="18"/>
  <c r="AH18" i="18"/>
  <c r="AH10" i="18"/>
  <c r="J42" i="18"/>
  <c r="V42" i="18"/>
  <c r="AL10" i="18"/>
  <c r="N26" i="18"/>
  <c r="T10" i="18"/>
  <c r="AL26" i="18"/>
  <c r="AL18" i="18"/>
  <c r="R43" i="1"/>
  <c r="Z34" i="18"/>
  <c r="Z42" i="18"/>
  <c r="AF26" i="18"/>
  <c r="N10" i="18"/>
  <c r="AL42" i="18"/>
  <c r="T18" i="18"/>
  <c r="Z10" i="18"/>
  <c r="AF18" i="18"/>
  <c r="N34" i="18"/>
  <c r="AF34" i="18"/>
  <c r="N18" i="18"/>
  <c r="Z26" i="18"/>
  <c r="T42" i="18"/>
  <c r="T34" i="18"/>
  <c r="AF42" i="18"/>
  <c r="T26" i="18"/>
  <c r="AL34" i="18"/>
  <c r="N42" i="18"/>
  <c r="AF10" i="18"/>
  <c r="Q43" i="1"/>
  <c r="Z18" i="18"/>
  <c r="P22" i="18"/>
  <c r="AB38" i="18"/>
  <c r="V6" i="18"/>
  <c r="AB14" i="18"/>
  <c r="V38" i="18"/>
  <c r="J30" i="18"/>
  <c r="AB30" i="18"/>
  <c r="AH14" i="18"/>
  <c r="P38" i="18"/>
  <c r="J22" i="18"/>
  <c r="AH38" i="18"/>
  <c r="AB6" i="18"/>
  <c r="J6" i="18"/>
  <c r="V14" i="18"/>
  <c r="J14" i="18"/>
  <c r="Q11" i="1"/>
  <c r="AL11" i="1" s="1"/>
  <c r="AK11" i="1" s="1"/>
  <c r="P30" i="18"/>
  <c r="P14" i="18"/>
  <c r="AB22" i="18"/>
  <c r="AH30" i="18"/>
  <c r="AH22" i="18"/>
  <c r="AH6" i="18"/>
  <c r="V22" i="18"/>
  <c r="V30" i="18"/>
  <c r="J38" i="18"/>
  <c r="P6" i="18"/>
  <c r="R11" i="1"/>
  <c r="AH12" i="18"/>
  <c r="P44" i="18"/>
  <c r="AH36" i="18"/>
  <c r="V20" i="18"/>
  <c r="P12" i="18"/>
  <c r="V36" i="18"/>
  <c r="J20" i="18"/>
  <c r="AB12" i="18"/>
  <c r="V12" i="18"/>
  <c r="Q49" i="1"/>
  <c r="AL49" i="1" s="1"/>
  <c r="AK49" i="1" s="1"/>
  <c r="J44" i="18"/>
  <c r="P20" i="18"/>
  <c r="V28" i="18"/>
  <c r="J12" i="18"/>
  <c r="V44" i="18"/>
  <c r="AH20" i="18"/>
  <c r="AB28" i="18"/>
  <c r="J36" i="18"/>
  <c r="AH44" i="18"/>
  <c r="AH28" i="18"/>
  <c r="J28" i="18"/>
  <c r="P28" i="18"/>
  <c r="P36" i="18"/>
  <c r="AB20" i="18"/>
  <c r="AB44" i="18"/>
  <c r="R49" i="1"/>
  <c r="AB36" i="18"/>
  <c r="R8" i="18"/>
  <c r="X24" i="18"/>
  <c r="X32" i="18"/>
  <c r="AD24" i="18"/>
  <c r="AJ8" i="18"/>
  <c r="AJ40" i="18"/>
  <c r="AJ16" i="18"/>
  <c r="AJ32" i="18"/>
  <c r="Q19" i="1"/>
  <c r="AL19" i="1" s="1"/>
  <c r="AK19" i="1" s="1"/>
  <c r="R16" i="18"/>
  <c r="AJ24" i="18"/>
  <c r="L16" i="18"/>
  <c r="AD8" i="18"/>
  <c r="R40" i="18"/>
  <c r="AD40" i="18"/>
  <c r="R24" i="18"/>
  <c r="X40" i="18"/>
  <c r="L40" i="18"/>
  <c r="AD32" i="18"/>
  <c r="L8" i="18"/>
  <c r="R19" i="1"/>
  <c r="X16" i="18"/>
  <c r="AD16" i="18"/>
  <c r="X8" i="18"/>
  <c r="R32" i="18"/>
  <c r="L32" i="18"/>
  <c r="L24" i="18"/>
  <c r="AL8" i="18"/>
  <c r="N16" i="18"/>
  <c r="AF16" i="18"/>
  <c r="AL32" i="18"/>
  <c r="AF8" i="18"/>
  <c r="Z8" i="18"/>
  <c r="T32" i="18"/>
  <c r="T16" i="18"/>
  <c r="N32" i="18"/>
  <c r="T8" i="18"/>
  <c r="AL40" i="18"/>
  <c r="N40" i="18"/>
  <c r="AL24" i="18"/>
  <c r="AF24" i="18"/>
  <c r="Z16" i="18"/>
  <c r="N8" i="18"/>
  <c r="Z24" i="18"/>
  <c r="T40" i="18"/>
  <c r="AF32" i="18"/>
  <c r="T24" i="18"/>
  <c r="N24" i="18"/>
  <c r="AL16" i="18"/>
  <c r="R25" i="1"/>
  <c r="Z40" i="18"/>
  <c r="Z32" i="18"/>
  <c r="Q25" i="1"/>
  <c r="AF40" i="18"/>
  <c r="AB15" i="19" l="1"/>
  <c r="AH15" i="19"/>
  <c r="J45" i="19"/>
  <c r="P25" i="19"/>
  <c r="J15" i="19"/>
  <c r="J35" i="19"/>
  <c r="AB45" i="19"/>
  <c r="AH35" i="19"/>
  <c r="P15" i="19"/>
  <c r="V35" i="19"/>
  <c r="V55" i="19"/>
  <c r="AM49" i="1"/>
  <c r="AH45" i="19"/>
  <c r="J25" i="19"/>
  <c r="V25" i="19"/>
  <c r="P45" i="19"/>
  <c r="J55" i="19"/>
  <c r="P35" i="19"/>
  <c r="AH55" i="19"/>
  <c r="V45" i="19"/>
  <c r="V15" i="19"/>
  <c r="AB55" i="19"/>
  <c r="AH25" i="19"/>
  <c r="AB35" i="19"/>
  <c r="AB25" i="19"/>
  <c r="P55" i="19"/>
  <c r="AH48" i="19"/>
  <c r="P8" i="19"/>
  <c r="P18" i="19"/>
  <c r="AB48" i="19"/>
  <c r="V18" i="19"/>
  <c r="AB18" i="19"/>
  <c r="J48" i="19"/>
  <c r="J38" i="19"/>
  <c r="J28" i="19"/>
  <c r="AM14" i="1"/>
  <c r="AB8" i="19"/>
  <c r="AH28" i="19"/>
  <c r="V28" i="19"/>
  <c r="AH38" i="19"/>
  <c r="AB28" i="19"/>
  <c r="AH8" i="19"/>
  <c r="AB38" i="19"/>
  <c r="P38" i="19"/>
  <c r="P28" i="19"/>
  <c r="P48" i="19"/>
  <c r="J18" i="19"/>
  <c r="V8" i="19"/>
  <c r="V48" i="19"/>
  <c r="J8" i="19"/>
  <c r="V38" i="19"/>
  <c r="AH18" i="19"/>
  <c r="AB19" i="19"/>
  <c r="AH49" i="19"/>
  <c r="P9" i="19"/>
  <c r="AB39" i="19"/>
  <c r="J19" i="19"/>
  <c r="P29" i="19"/>
  <c r="V39" i="19"/>
  <c r="P19" i="19"/>
  <c r="V49" i="19"/>
  <c r="V19" i="19"/>
  <c r="P49" i="19"/>
  <c r="AB29" i="19"/>
  <c r="J39" i="19"/>
  <c r="AB49" i="19"/>
  <c r="AB9" i="19"/>
  <c r="AH29" i="19"/>
  <c r="AH9" i="19"/>
  <c r="P39" i="19"/>
  <c r="AM16" i="1"/>
  <c r="J49" i="19"/>
  <c r="V29" i="19"/>
  <c r="J29" i="19"/>
  <c r="V9" i="19"/>
  <c r="J9" i="19"/>
  <c r="AH39" i="19"/>
  <c r="AH19" i="19"/>
  <c r="P37" i="19"/>
  <c r="AH47" i="19"/>
  <c r="J37" i="19"/>
  <c r="V47" i="19"/>
  <c r="AB7" i="19"/>
  <c r="P47" i="19"/>
  <c r="J17" i="19"/>
  <c r="P17" i="19"/>
  <c r="AB47" i="19"/>
  <c r="V7" i="19"/>
  <c r="P27" i="19"/>
  <c r="P7" i="19"/>
  <c r="AB27" i="19"/>
  <c r="J7" i="19"/>
  <c r="AB17" i="19"/>
  <c r="V37" i="19"/>
  <c r="AB37" i="19"/>
  <c r="AM12" i="1"/>
  <c r="J47" i="19"/>
  <c r="AH27" i="19"/>
  <c r="V27" i="19"/>
  <c r="AH7" i="19"/>
  <c r="AH37" i="19"/>
  <c r="AH17" i="19"/>
  <c r="V17" i="19"/>
  <c r="J27" i="19"/>
  <c r="P16" i="19"/>
  <c r="AB26" i="19"/>
  <c r="V36" i="19"/>
  <c r="J26" i="19"/>
  <c r="P46" i="19"/>
  <c r="P6" i="19"/>
  <c r="AB16" i="19"/>
  <c r="AM11" i="1"/>
  <c r="J46" i="19"/>
  <c r="AH46" i="19"/>
  <c r="AB46" i="19"/>
  <c r="J36" i="19"/>
  <c r="AH6" i="19"/>
  <c r="AH26" i="19"/>
  <c r="AH16" i="19"/>
  <c r="AB36" i="19"/>
  <c r="AH36" i="19"/>
  <c r="P26" i="19"/>
  <c r="V46" i="19"/>
  <c r="J16" i="19"/>
  <c r="V6" i="19"/>
  <c r="V26" i="19"/>
  <c r="AB6" i="19"/>
  <c r="V16" i="19"/>
  <c r="J6" i="19"/>
  <c r="P36" i="19"/>
  <c r="J40" i="19"/>
  <c r="AH40" i="19"/>
  <c r="V20" i="19"/>
  <c r="AH30" i="19"/>
  <c r="J50" i="19"/>
  <c r="AH20" i="19"/>
  <c r="P50" i="19"/>
  <c r="J20" i="19"/>
  <c r="P10" i="19"/>
  <c r="J10" i="19"/>
  <c r="P30" i="19"/>
  <c r="V10" i="19"/>
  <c r="V40" i="19"/>
  <c r="AH50" i="19"/>
  <c r="AH10" i="19"/>
  <c r="AB50" i="19"/>
  <c r="V30" i="19"/>
  <c r="J30" i="19"/>
  <c r="AB10" i="19"/>
  <c r="AB30" i="19"/>
  <c r="AB40" i="19"/>
  <c r="V50" i="19"/>
  <c r="P20" i="19"/>
  <c r="AB20" i="19"/>
  <c r="AM19" i="1"/>
  <c r="P40" i="1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<sst xmlns="http://schemas.openxmlformats.org/spreadsheetml/2006/main" count="478" uniqueCount="319">
  <si>
    <t>Matriz Mapa de Riesgos</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</si>
  <si>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</si>
  <si>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</si>
  <si>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</si>
  <si>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Hoja 1 Instructivo</t>
    </r>
    <r>
      <rPr>
        <sz val="10"/>
        <rFont val="Arial Narrow"/>
        <family val="2"/>
      </rPr>
      <t xml:space="preserve">
 -  </t>
    </r>
    <r>
      <rPr>
        <b/>
        <sz val="11"/>
        <rFont val="Arial Narrow"/>
        <family val="2"/>
      </rPr>
      <t xml:space="preserve">Hoja 2 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</si>
  <si>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</si>
  <si>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</si>
  <si>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</si>
  <si>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</si>
  <si>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</si>
  <si>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</si>
  <si>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</si>
  <si>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</si>
  <si>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</si>
  <si>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</si>
  <si>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</si>
  <si>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</si>
  <si>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</si>
  <si>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</si>
  <si>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</si>
  <si>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</si>
  <si>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</si>
  <si>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</si>
  <si>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</si>
  <si>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</si>
  <si>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</si>
  <si>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</si>
  <si>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</si>
  <si>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</si>
  <si>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</si>
  <si>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</si>
  <si>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</si>
  <si>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</si>
  <si>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</si>
  <si>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</si>
  <si>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9"/>
        <rFont val="Arial Narrow"/>
        <family val="2"/>
      </rPr>
      <t>Tipo</t>
    </r>
  </si>
  <si>
    <t>Utilice la lista de despligue que se encuentra parametrizada, le aparecerán las opciones: i)Preventivo, ii)Detectivo, iii)Correctivo.</t>
  </si>
  <si>
    <r>
      <t xml:space="preserve">ATRIBUTOS EFICIENCIA
</t>
    </r>
    <r>
      <rPr>
        <sz val="9"/>
        <rFont val="Arial Narrow"/>
        <family val="2"/>
      </rPr>
      <t>Implementación</t>
    </r>
  </si>
  <si>
    <t>Utilice la lista de despligue que se encuentra parametrizada, le aparecerán las opciones: i)Automático, ii)Manual.</t>
  </si>
  <si>
    <r>
      <t xml:space="preserve">ATRIBUTOS EFICIENCIA
</t>
    </r>
    <r>
      <rPr>
        <sz val="9"/>
        <rFont val="Arial Narrow"/>
        <family val="2"/>
      </rPr>
      <t>Calificación</t>
    </r>
  </si>
  <si>
    <t xml:space="preserve">La matriz automáticamente hará el cálculo para el control analizado (Columna T) </t>
  </si>
  <si>
    <r>
      <t xml:space="preserve">ATRIBUTOS INFORMATIVOS
</t>
    </r>
    <r>
      <rPr>
        <sz val="9"/>
        <rFont val="Arial Narrow"/>
        <family val="2"/>
      </rPr>
      <t>Documentación</t>
    </r>
  </si>
  <si>
    <t>Utilice la lista de despligue que se encuentra parametrizada, le aparecerán las opciones: i)Documentado, ii)Sin documentar.</t>
  </si>
  <si>
    <r>
      <t xml:space="preserve">ATRIBUTOS INFORMATIVOS
</t>
    </r>
    <r>
      <rPr>
        <sz val="9"/>
        <rFont val="Arial Narrow"/>
        <family val="2"/>
      </rPr>
      <t>Frecuencia</t>
    </r>
  </si>
  <si>
    <t>Utilice la lista de despligue que se encuentra parametrizada, le aparecerán las opciones: i)Continua, ii)Aleatoria.</t>
  </si>
  <si>
    <r>
      <t xml:space="preserve">ATRIBUTOS INFORMATIVOS
</t>
    </r>
    <r>
      <rPr>
        <sz val="9"/>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</si>
  <si>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</si>
  <si>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</si>
  <si>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9"/>
        <color theme="9" tint="-0.249977111117893"/>
        <rFont val="Arial Narrow"/>
        <family val="2"/>
      </rPr>
      <t xml:space="preserve"> nivel de riesgo inherente</t>
    </r>
    <r>
      <rPr>
        <sz val="9"/>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</si>
  <si>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</si>
  <si>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</si>
  <si>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9"/>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</si>
  <si>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</si>
  <si>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</si>
  <si>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</si>
  <si>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Hoja 3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</si>
  <si>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4 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</si>
  <si>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Hoja 5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</si>
  <si>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6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</si>
  <si>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Hoja 7 Tabla de Valoración de Controles: </t>
    </r>
    <r>
      <rPr>
        <sz val="11"/>
        <rFont val="Arial Narrow"/>
        <family val="2"/>
      </rPr>
      <t>Tabla referente para todos los cálculos (no se diligencia)</t>
    </r>
  </si>
  <si>
    <r>
      <rPr>
        <b/>
        <sz val="14"/>
        <color theme="1"/>
        <rFont val="Arial Narrow"/>
        <family val="2"/>
      </rPr>
      <t xml:space="preserve">CODIGO: </t>
    </r>
    <r>
      <rPr>
        <sz val="14"/>
        <color theme="1"/>
        <rFont val="Arial Narrow"/>
        <family val="2"/>
      </rPr>
      <t>PCE-01-F-02</t>
    </r>
  </si>
  <si>
    <t>Proceso:</t>
  </si>
  <si>
    <t>GESTIÓN FINANCIERA</t>
  </si>
  <si>
    <t>Objetivo:</t>
  </si>
  <si>
    <t>Administrar adecuadamente los recursos financieros de la Corporación a través de la verificación, seguimiento y control de las actividades relacionadas con el presupuesto, tesorería, pagaduría y contabilidad para proveer información útil para la toma de decisiones.</t>
  </si>
  <si>
    <t>Alcance:</t>
  </si>
  <si>
    <t xml:space="preserve">Comprende desde la etapa de planeación presupuestal, presentación de  informes financieros, hasta la administración de los recursos financieros de la Entidad.   
   </t>
  </si>
  <si>
    <t>Análisis del riesgo inherente</t>
  </si>
  <si>
    <t>Evaluación del riesgo - Valoración de los controles</t>
  </si>
  <si>
    <t>Evaluación del riesgo - Nivel del riesgo residual</t>
  </si>
  <si>
    <t>Plan de Acción</t>
  </si>
  <si>
    <t xml:space="preserve">Referencia </t>
  </si>
  <si>
    <t xml:space="preserve">Causa </t>
  </si>
  <si>
    <t>Riesgo</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</si>
  <si>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</si>
  <si>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</si>
  <si>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</si>
  <si>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</si>
  <si>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</si>
  <si>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</si>
  <si>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</si>
  <si>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</si>
  <si>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</si>
  <si>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</si>
  <si>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</si>
  <si>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</si>
  <si>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</si>
  <si>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</si>
  <si>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</si>
  <si>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t>
  </si>
  <si>
    <t>objetivo estragtegico</t>
  </si>
  <si>
    <t>Contexto Estrategico Interno-Externo-Proceso</t>
  </si>
  <si>
    <t>Tipo</t>
  </si>
  <si>
    <t>Implementación</t>
  </si>
  <si>
    <t>Calificación</t>
  </si>
  <si>
    <t>Documentación</t>
  </si>
  <si>
    <t>Frecuencia</t>
  </si>
  <si>
    <t>Evidencia</t>
  </si>
  <si>
    <t>Asegurar continuamente el cumplimiento de los requisitos legales y los demas que le apliquen a la entidad en el desarrollo de su gestión interna</t>
  </si>
  <si>
    <t>Económico y Reputacional</t>
  </si>
  <si>
    <t xml:space="preserve">Estrategico 
</t>
  </si>
  <si>
    <t>Incumplimiento de las actividades suscritas  en los planes de mejoramiento con entes de control y otros.</t>
  </si>
  <si>
    <t>Deficiente mejoramiento continuo del proceso de Gestión Financiera</t>
  </si>
  <si>
    <t>Ejecucion y Administracion de procesos</t>
  </si>
  <si>
    <t xml:space="preserve">     El riesgo afecta la imagen de la entidad a nivel nacional, con efecto publicitarios sostenible a nivel país</t>
  </si>
  <si>
    <t>Seguimiento a los planes de mejoramiento.</t>
  </si>
  <si>
    <t>Correctivo</t>
  </si>
  <si>
    <t>Manual</t>
  </si>
  <si>
    <t>Documentado</t>
  </si>
  <si>
    <t>Continua</t>
  </si>
  <si>
    <t>Con Registro</t>
  </si>
  <si>
    <t>Reducir (mitigar)</t>
  </si>
  <si>
    <t>Realizar el seguimiento al cumplimiento de las acciones acordadas en los planes de mejoramiento</t>
  </si>
  <si>
    <t>Subdirector Administrativo y Financiero - Coordinador GIT Para La Gestión Financiera</t>
  </si>
  <si>
    <t xml:space="preserve">Administrativo
</t>
  </si>
  <si>
    <t xml:space="preserve">     El riesgo afecta la imagen de la entidad internamente, de conocimiento general, nivel interno, de junta dircetiva y accionistas y/o de provedores</t>
  </si>
  <si>
    <t>Plan de capacitación en actualización en las normas aplicables al proceso financiero.</t>
  </si>
  <si>
    <t>Preventivo</t>
  </si>
  <si>
    <t>Socializar el conocimiento adquirido en materia de actualización normativa relacionada con la gestión financiera</t>
  </si>
  <si>
    <t>Todos los Servidores Públicos de la Subdirección Administrativa y Financiera que reciban Capacitación</t>
  </si>
  <si>
    <t>Permanente</t>
  </si>
  <si>
    <t>Personal</t>
  </si>
  <si>
    <t>Tecnologico</t>
  </si>
  <si>
    <t>Optimizar los recursos y el tiempo disponible para la realización de  informes.</t>
  </si>
  <si>
    <t>Subdirector Administrativo y Fianciero - Coordinador GIT para la Gestión Financiera - Contador - Auxiliar de Apoyo (Presupuesto) - Administrativo (SGR)</t>
  </si>
  <si>
    <t>Trimestral</t>
  </si>
  <si>
    <t>Económico</t>
  </si>
  <si>
    <t xml:space="preserve">Tecnologico
</t>
  </si>
  <si>
    <t>1. Deficiente liquidez de recursos. 
2. Deficiente getión en el recuado. 
3. Mora en la radicación de cuentas por parte de supervisores.
4. Devoluciones a interventores por inconsistencias o documentación incompleta. 
5. Caídas y fallas en el SIIF o en Internet.</t>
  </si>
  <si>
    <t xml:space="preserve">     Entre 10 y 50 SMLMV </t>
  </si>
  <si>
    <t>Automático</t>
  </si>
  <si>
    <t>Gestión de recaudo.</t>
  </si>
  <si>
    <t>Coordinador GIT para la Gestión Financiera - Tesorera - Jefe Oficina Jurídica</t>
  </si>
  <si>
    <t xml:space="preserve">     Entre 50 y 100 SMLMV </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</si>
  <si>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</si>
  <si>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</si>
  <si>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</si>
  <si>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</si>
  <si>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</si>
  <si>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</si>
  <si>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</si>
  <si>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</si>
  <si>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</si>
  <si>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</si>
  <si>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</si>
  <si>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</si>
  <si>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</si>
  <si>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</si>
  <si>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</si>
  <si>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</si>
  <si>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</si>
  <si>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</si>
  <si>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</si>
  <si>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</si>
  <si>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</si>
  <si>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</si>
  <si>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</si>
  <si>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</si>
  <si>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</si>
  <si>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</si>
  <si>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</si>
  <si>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</si>
  <si>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</si>
  <si>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</si>
  <si>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</si>
  <si>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</si>
  <si>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</si>
  <si>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</si>
  <si>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</si>
  <si>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</si>
  <si>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</si>
  <si>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</si>
  <si>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</si>
  <si>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</si>
  <si>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</si>
  <si>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</si>
  <si>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</si>
  <si>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</si>
  <si>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</si>
  <si>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</si>
  <si>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</si>
  <si>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</si>
  <si>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</si>
  <si>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</si>
  <si>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</si>
  <si>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</si>
  <si>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</si>
  <si>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</si>
  <si>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</si>
  <si>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</si>
  <si>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</si>
  <si>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El riesgo afecta la imagen de la entidad con algunos usuarios de relevancia frente al logro de los objetivos</t>
  </si>
  <si>
    <t xml:space="preserve">     Entre 100 y 500 SMLMV </t>
  </si>
  <si>
    <t xml:space="preserve">     El riesgo afecta la imagen de de la entidad con efecto publicitario sostenido a nivel de sector administrativo, nivel departamental o municipal</t>
  </si>
  <si>
    <t xml:space="preserve">     Mayor a 500 SMLMV </t>
  </si>
  <si>
    <t>Criterios</t>
  </si>
  <si>
    <t>Subcriterios</t>
  </si>
  <si>
    <t>Afectación Económica o presupuestal</t>
  </si>
  <si>
    <t>Afectación menor a 10 SMLMV .</t>
  </si>
  <si>
    <t>❌</t>
  </si>
  <si>
    <t>✔</t>
  </si>
  <si>
    <t>Tabla Atributos de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</si>
  <si>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</si>
  <si>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</si>
  <si>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</si>
  <si>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</si>
  <si>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</si>
  <si>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</si>
  <si>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</si>
  <si>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</si>
  <si>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</si>
  <si>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</si>
  <si>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</si>
  <si>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</si>
  <si>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</si>
  <si>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</si>
  <si>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</si>
  <si>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</si>
  <si>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</si>
  <si>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</si>
  <si>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</si>
  <si>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</si>
  <si>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</si>
  <si>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</si>
  <si>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</si>
  <si>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Evitar</t>
  </si>
  <si>
    <t>Reputacional</t>
  </si>
  <si>
    <t>Reducir (compartir)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</si>
  <si>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</si>
  <si>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</si>
  <si>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</si>
  <si>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</si>
  <si>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</si>
  <si>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</si>
  <si>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</si>
  <si>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</si>
  <si>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</si>
  <si>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Registro Sustancial</t>
  </si>
  <si>
    <t>Registro Material</t>
  </si>
  <si>
    <t>Sin registro</t>
  </si>
  <si>
    <t>Reducir</t>
  </si>
  <si>
    <t>Probabilidad de incumplimiento de las acciones propuestas en los planes de mejoramiento en auditorias externas e internas.</t>
  </si>
  <si>
    <t xml:space="preserve">1. Deficiente autocontrol  en la revision previa.
2. No cumplir con las actividades planteadas. 
</t>
  </si>
  <si>
    <t>Probabilidad de afectación a la razonabilidad de la información financiera, por informacion financiera deficiente o inoportuna.</t>
  </si>
  <si>
    <t>1. Deficiente flujo de informacion.
2. No cumplir con los procedimientos internos.</t>
  </si>
  <si>
    <t>1. Deficiente conocimiento de informes  a repórtar.
2. Desconocimiento del manejo de los aplicativos para el reporte de informacion</t>
  </si>
  <si>
    <t>1. Debilidad por asignacion tardia de recursos</t>
  </si>
  <si>
    <t>Inadecuada constitucion de reservas presupuestales</t>
  </si>
  <si>
    <t>Falta de informacion y cumplimiento de los procedimientos internos.</t>
  </si>
  <si>
    <t>información financiera deficiente por no reflejar informacion financiera razonable</t>
  </si>
  <si>
    <t>Posibles sanciones de los entes de control</t>
  </si>
  <si>
    <t xml:space="preserve">Sanciones   disciplinarias, administrativas por parte de entes competentes </t>
  </si>
  <si>
    <t>Sanciones economicas debido al incumplimiento en los pagos</t>
  </si>
  <si>
    <t>Inoportunidad en los pagos</t>
  </si>
  <si>
    <t>Semestral</t>
  </si>
  <si>
    <t>SISTEMA INTEGRADO DE GESTIÓN
PLANEACIÓN ESTRATEGICA
MAPA DE RIESGOS Y OPORTUNIDADES POR PROCESOS</t>
  </si>
  <si>
    <r>
      <t xml:space="preserve">versión: </t>
    </r>
    <r>
      <rPr>
        <sz val="14"/>
        <color theme="1"/>
        <rFont val="Arial Narrow"/>
        <family val="2"/>
      </rPr>
      <t>4.0</t>
    </r>
  </si>
  <si>
    <t>Identificación del Riesgo y/o Oportunidad(es)</t>
  </si>
  <si>
    <t>Consecuencia</t>
  </si>
  <si>
    <t>Oportunidad(es)</t>
  </si>
  <si>
    <t xml:space="preserve"> Implementación de nuevas estrategias y/o tecnologías para el recaudo </t>
  </si>
  <si>
    <t xml:space="preserve"> Fortalecimiento del cumplimiento normativo y mejora en los procesos y procedimientos internos, a través de la capacitación permanente del talento humano de la dependencia.</t>
  </si>
  <si>
    <t>Descripción del Control para Riesgos y/o Oportunidades</t>
  </si>
  <si>
    <t>Análisis de Oportunidades</t>
  </si>
  <si>
    <t>Evaluación</t>
  </si>
  <si>
    <t>Nivel de la Oportunidad</t>
  </si>
  <si>
    <t>Zona de Oportunidad</t>
  </si>
  <si>
    <t>Análisis de Oportunidades con Tratamiento</t>
  </si>
  <si>
    <t>Nivel de la oportunidad</t>
  </si>
  <si>
    <t>Zona de la Oportunidad con Tratamiento</t>
  </si>
  <si>
    <t>CRITERIOS DE EVALUACIÓN DE OPORTUNIDADES DEL SIG</t>
  </si>
  <si>
    <r>
      <rPr>
        <b/>
        <sz val="12"/>
        <color theme="1"/>
        <rFont val="Arial Narrow"/>
        <family val="2"/>
      </rPr>
      <t>Oportunidad:</t>
    </r>
    <r>
      <rPr>
        <sz val="12"/>
        <color theme="1"/>
        <rFont val="Arial Narrow"/>
        <family val="2"/>
      </rPr>
      <t xml:space="preserve"> se refiere a la posibilidad de obtener un resultado favorable, o una desviación positiva, que puede ser aprovechada para mejorar la organización. Estas oportunidades pueden surgir de diversos factores, tanto internos como externos, y pueden ser identificadas y gestionadas para obtener beneficios</t>
    </r>
  </si>
  <si>
    <t>ALCANCE</t>
  </si>
  <si>
    <t>Esta matriz será aplicable para el análisis de las oportunidades identificadas en la matriz de Contexto Interno y Externo y/o las identificadas en el proceso de autoevaluación y/o auditorías al sistema.</t>
  </si>
  <si>
    <t>TABLA 1: Análisis de Oportunidades</t>
  </si>
  <si>
    <t>CLASIFICACION 
(De acuerdo a la probabilidad y el impacto)</t>
  </si>
  <si>
    <t>Criterio</t>
  </si>
  <si>
    <t>Evaluación (Valor)</t>
  </si>
  <si>
    <t xml:space="preserve">Alto </t>
  </si>
  <si>
    <t xml:space="preserve">Oportunidad cuyo aprovechamiento mejora significativamente el desempeño de dos (2) o más Procesos de la Entidad. Requiere recursos (Talento Humano, logísticos, tecnológicos, económicos), y/o puede ameritar una alta inversión y afectar el presupuesto </t>
  </si>
  <si>
    <t>≥10</t>
  </si>
  <si>
    <t xml:space="preserve">Medio </t>
  </si>
  <si>
    <t>Oportunidad cuyo aprovechamiento requiere recursos (Talento Humano, logísticos, tecnológicos, económicos), o que puede ameritar una mediana inversión, y afectar de forma importante el presupuesto.</t>
  </si>
  <si>
    <t>≥4
≤9</t>
  </si>
  <si>
    <t>Oportunidad cuyo aprovechamiento requiere recursos con los que cuenta la entidad (Talento Humano, logísticos, tecnológicos, económicos), o que puede ameritar una inversión que genera afectaciones mínimas al presupuesto.</t>
  </si>
  <si>
    <t>≥0
≤3</t>
  </si>
  <si>
    <t>TABLA 2: EVALUACIÓN FINAL - BENEFICIO PARA LA ORGANIZACIÓN 
(Análisis de Oportunidades con Tratamiento)</t>
  </si>
  <si>
    <t>NIVEL DE OPORTUNIDAD</t>
  </si>
  <si>
    <t>VALOR</t>
  </si>
  <si>
    <t>BAJO</t>
  </si>
  <si>
    <t>La acción no genera beneficios, no agrega valor suficiente.</t>
  </si>
  <si>
    <t>0 - 3 puntos</t>
  </si>
  <si>
    <t>MEDIO</t>
  </si>
  <si>
    <t>Genera beneficio pero no de alto valor agregado. El beneficio no justifica los esfuerzos en costos y demás elementos involucrados</t>
  </si>
  <si>
    <t>4- 9 puntos</t>
  </si>
  <si>
    <t>ALTO</t>
  </si>
  <si>
    <t xml:space="preserve">Apoyo significativo en el desarrollo de los objetivos estratégicos.  Genera alto impacto para la Entidad.  Agrega alto valor </t>
  </si>
  <si>
    <t>10 - 25 puntos</t>
  </si>
  <si>
    <t>PLAN DE ACCIÓN DE OPORTUNIDAD</t>
  </si>
  <si>
    <t>Las oportunidades que arrojen un nivel de oportunidad ALTO se les deberá formular un plan de acción en el formato de la Matriz de Riesgos y Oportunidades PCE-01-F-02 para cada proceso.</t>
  </si>
  <si>
    <t xml:space="preserve">Para el Riesgo:
Revisión de los informes y las fechas de cumplimiento por parte del Subdirector Administrativo y Financiero, y del Coordinador GIT para la Gestión Financiera.
</t>
  </si>
  <si>
    <t>Para la Oportunidad:
Capacitaciones del talento humano del proceso de Gestión Financiera.</t>
  </si>
  <si>
    <t>Todos los Servidores Públicos del Proceso de Gestión Financiera que reciban Capacitación</t>
  </si>
  <si>
    <t>Probabilidad de extemporaneidad en la entrega de informes, por  desconocimiento del manejo de los aplicativos establecidos para los reportes.</t>
  </si>
  <si>
    <t>Probabilidad de demora en el pagos de compromisos con terceros, por falta de disponibilidad de los recursos con rentas propias</t>
  </si>
  <si>
    <t>Probabilidad de constitucion de reservas presupuestales con recursos de la Nación por asignación tardia de los recursos.</t>
  </si>
  <si>
    <t xml:space="preserve">Sanciones  u observaciones por entes de control </t>
  </si>
  <si>
    <t>Seguimiento a la ejecución presupuestal de los contratos</t>
  </si>
  <si>
    <t>Procedimiento de Cierre fiscal, presupuestal y contable</t>
  </si>
  <si>
    <t>Subdirector Administrativo y Financiero - Coordinador GIT Para La Gestión Financiera -  Contador.</t>
  </si>
  <si>
    <t>Se cuenta con el Informe de la ejecución presupuestal.
SIIF Nación, Informes mensuales del Sistema General de Regalias - SPGR</t>
  </si>
  <si>
    <t>Cobro persuasivo.</t>
  </si>
  <si>
    <t>Se ha realizado el seguimiento a la acción establecida a un hallazgo descrito en el Plan de Mejoramiento suscrito con ocasión de auditoría de la CGR: Conforme a la necesidad de Fortalecer la gestión de las reservas presupuestales, se encuentra en estructuración el procedimiento que detalle la gestión de los registros de reservas presupuestales, para tal efecto se cuenta con modelo de formato que deben realizar para la justificación y constitución de las reservas presupuestales.
A 31 de diciembre: se cuenta con el formato justificacion para la constitucion de Reservas Presupuestales PCA-05-F-26 Version 1. de Fecha 06-11-2025</t>
  </si>
  <si>
    <r>
      <t xml:space="preserve">Presentacion de informes: 
SISTEMA GENERAL DE REGALIAS (SGR) en fecha 18 de febrero de 2025 y 25 abril de 2025 a traves de la plataforma SCHIP de la CGN.
INFORMACION CONTABLE PUBLICA_CONVERGENCIA en fecha 15 de febrero de 2025 y 28 de abril de 2025 a traves de la plataforma SCHIP de la CGN.
CUIPO en fecha 20 de febrero de 2025 y 29 de abril de 2025 a traves de la plataforma SCHIP de la CGN.
SISTEMA GENERAL DE REGALIAS (SGR) en fecha 24 de julio de 2025 a traves de la plataforma SCHIP de la CGN.
INFORMACION CONTABLE PUBLICA_CONVERGENCIA en fecha 30 de julio de 2025 a traves de la plataforma SCHIP de la CGN.
CUIPO en fecha 24 de julio de 2025 a traves de la plataforma SCHIP de la CGN.
SISTEMA GENERAL DE REGALIAS (SGR) en fecha </t>
    </r>
    <r>
      <rPr>
        <sz val="11"/>
        <rFont val="Arial Narrow"/>
        <family val="2"/>
      </rPr>
      <t>29 de octubre de 2025</t>
    </r>
    <r>
      <rPr>
        <sz val="11"/>
        <color rgb="FFFF0000"/>
        <rFont val="Arial Narrow"/>
        <family val="2"/>
      </rPr>
      <t xml:space="preserve"> </t>
    </r>
    <r>
      <rPr>
        <sz val="11"/>
        <color theme="1"/>
        <rFont val="Arial Narrow"/>
        <family val="2"/>
      </rPr>
      <t>a traves de la plataforma SCHIP de la CGN.
INFORMACION CONTABLE PUBLICA_CONVERGENCIA en fecha</t>
    </r>
    <r>
      <rPr>
        <sz val="11"/>
        <color rgb="FFFF0000"/>
        <rFont val="Arial Narrow"/>
        <family val="2"/>
      </rPr>
      <t xml:space="preserve"> </t>
    </r>
    <r>
      <rPr>
        <sz val="11"/>
        <rFont val="Arial Narrow"/>
        <family val="2"/>
      </rPr>
      <t>30 de octubre de 2025</t>
    </r>
    <r>
      <rPr>
        <sz val="11"/>
        <color rgb="FFFF0000"/>
        <rFont val="Arial Narrow"/>
        <family val="2"/>
      </rPr>
      <t xml:space="preserve"> </t>
    </r>
    <r>
      <rPr>
        <sz val="11"/>
        <color theme="1"/>
        <rFont val="Arial Narrow"/>
        <family val="2"/>
      </rPr>
      <t xml:space="preserve">a traves de la plataforma SCHIP de la CGN.
CUIPO en fecha </t>
    </r>
    <r>
      <rPr>
        <sz val="11"/>
        <rFont val="Arial Narrow"/>
        <family val="2"/>
      </rPr>
      <t>28 de octubre de 2025</t>
    </r>
    <r>
      <rPr>
        <sz val="11"/>
        <color rgb="FFFF0000"/>
        <rFont val="Arial Narrow"/>
        <family val="2"/>
      </rPr>
      <t xml:space="preserve"> </t>
    </r>
    <r>
      <rPr>
        <sz val="11"/>
        <color theme="1"/>
        <rFont val="Arial Narrow"/>
        <family val="2"/>
      </rPr>
      <t xml:space="preserve">a traves de la plataforma SCHIP de la CGN.
</t>
    </r>
  </si>
  <si>
    <t>El 11 de Octubre de 2024, se socializó al personal del proceso de Gestión Financiera, el conocimiento adquirido en XXVII Congreso Nacional de Finanzas Públicas en la ciudad de Bogotá realizado los días 19 a 21 de septiembre. Soporte: Acta de reunión con listado de asistencia donde se socializa el conocimiento.
El 27-28 de marzo de 2025 la Tesorera asistió al Congreso Nacional de Gestión de Cartera y cobro Coactivo para el sector público, en la ciudad de Bogotá. La Socialización al personal del proceso se realizó el 05 de mayo de 2025. Soporte: Acta de reunión y listado de asistencia a la socialización del conocimiento.
El 04 y 05 de diciembre de 2025 los funcionarios de las áreas de contabilidad, tesorería, pagaduría y coordinación financiera asistieron al Seminario de actualización Claves para el Cierre Financiero y Contable 2025 Y Preparación del 2026, en la ciudad de Bogotá. La Socialización al personal del proceso se realizó el 15 de diciembre de 2025. Soporte: Acta de reunión y listado de asistencia a la socialización del conocimiento.</t>
  </si>
  <si>
    <r>
      <t xml:space="preserve">FECHA: </t>
    </r>
    <r>
      <rPr>
        <sz val="14"/>
        <color theme="1"/>
        <rFont val="Arial Narrow"/>
        <family val="2"/>
      </rPr>
      <t>27/12/2024</t>
    </r>
  </si>
  <si>
    <r>
      <t xml:space="preserve">Fecha Actualización: </t>
    </r>
    <r>
      <rPr>
        <sz val="12"/>
        <color theme="1"/>
        <rFont val="Arial Narrow"/>
        <family val="2"/>
      </rPr>
      <t>31/12/2025</t>
    </r>
  </si>
  <si>
    <t>El 11 de Octubre de 2024, se socializó al personal del proceso de Gestión Financiera, el conocimiento adquirido en XXVII Congreso Nacional de Finanzas Públicas en la ciudad de Bogotá realizado los días 19 a 21 de septiembre. Soporte: Acta de reunión con listado de asistencia donde se socializa el conocimiento.
El 27-28 de marzo de 2025 la Tesorera asistió al Congreso Nacional de Gestión de Cartera y cobro Coactivo para el sector público, en la ciudad de Bogotá. La Socialización al personal del proceso se realizó el 05 de mayo de 2025. Soporte: Acta de reunión y listado de asistencia a la socialización del conocimiento.
El 04 y 05 de diciembre de 2025 los funcionarios de las áreas de contabilidad, tesorería, pagaduría y coordinación financiera asistieron al Seminario de actualización Claves para el Cierre Financiero y Contable 2025 Y Preparación del 2026, en la ciudad de Bogotá. La Socialización al personal del proceso se realizó el 15 de diciembre de 2025. Soporte: Acta de reunión y listado de asistencia a la socialización del conocimiento.</t>
  </si>
  <si>
    <t>Durante la vigencia 2025, se estimó un presupuesto cercano a los $ 35.845.096.652, de los cuales a la fecha se han gestionado y obtenido recursos por el orden de $ 34.256.331.342, lo que equivale a 95.5%, a corte 30 de septiembre de 2025. Se destacan dentro de los recaudos, los recursos del balance y rendimientos financieros, en atención al manejo adecuado que la tesorería de la entidad viene dando a los recaudos de recursos propios. Se observa un bajo recaudo de contribución del sector eléctrico en atención a que la empresa DRUMMON LTD viene generando menor aporte de su planta de energía eléctrica.
En 2025, las tasas y derechos administrativos tales como TUA y TR, muestran un comportamiento adecuado considerando que dicha facturación se pudo hacer solo en el segundo semestre de la presente anualidad.
Por su parte los aportes de NACION se viene recibiendo con la periodicidad mensual esperada.
A fin de 2025 las metas se cumplan cabalmente salvo los recaudos esperados por venta de bienes y servicios y las contribuciones del sector eléctrico. Evidencia: Informe de Avances Metas de Recaudo 2025_ Subdirección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</si>
</sst>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0"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4"/>
      <color theme="1"/>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u/>
      <sz val="11"/>
      <name val="Arial Narrow"/>
      <family val="2"/>
    </font>
    <font>
      <b/>
      <sz val="11"/>
      <name val="Arial Narrow"/>
      <family val="2"/>
    </font>
    <font>
      <b/>
      <sz val="10"/>
      <name val="Arial Narrow"/>
      <family val="2"/>
    </font>
    <font>
      <b/>
      <sz val="9"/>
      <name val="Arial Narrow"/>
      <family val="2"/>
    </font>
    <font>
      <sz val="9"/>
      <name val="Arial Narrow"/>
      <family val="2"/>
    </font>
    <font>
      <b/>
      <sz val="9"/>
      <color theme="9" tint="-0.249977111117893"/>
      <name val="Arial Narrow"/>
      <family val="2"/>
    </font>
    <font>
      <b/>
      <sz val="10"/>
      <color theme="9" tint="-0.249977111117893"/>
      <name val="Arial Narrow"/>
      <family val="2"/>
    </font>
    <font>
      <sz val="16"/>
      <color theme="1"/>
      <name val="Arial Narrow"/>
      <family val="2"/>
    </font>
    <font>
      <b/>
      <sz val="12"/>
      <color theme="1"/>
      <name val="Arial Narrow"/>
      <family val="2"/>
    </font>
    <font>
      <sz val="11"/>
      <color theme="1"/>
      <name val="Arial"/>
      <family val="2"/>
    </font>
    <font>
      <b/>
      <sz val="12"/>
      <color theme="0"/>
      <name val="Arial Narrow"/>
      <family val="2"/>
    </font>
    <font>
      <sz val="11"/>
      <color indexed="8"/>
      <name val="Calibri"/>
      <family val="2"/>
    </font>
    <font>
      <b/>
      <sz val="12"/>
      <color indexed="8"/>
      <name val="Arial Narrow"/>
      <family val="2"/>
    </font>
    <font>
      <sz val="12"/>
      <color indexed="8"/>
      <name val="Arial Narrow"/>
      <family val="2"/>
    </font>
    <font>
      <b/>
      <sz val="11"/>
      <color indexed="8"/>
      <name val="Arial Narrow"/>
      <family val="2"/>
    </font>
    <font>
      <sz val="11"/>
      <color indexed="8"/>
      <name val="Arial Narrow"/>
      <family val="2"/>
    </font>
    <font>
      <sz val="11"/>
      <color rgb="FF242424"/>
      <name val="Arial Narrow"/>
      <family val="2"/>
    </font>
    <font>
      <sz val="11"/>
      <color rgb="FFFF0000"/>
      <name val="Arial Narrow"/>
      <family val="2"/>
    </font>
  </fonts>
  <fills count="24">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FFBD5D"/>
        <bgColor indexed="64"/>
      </patternFill>
    </fill>
    <fill>
      <patternFill patternType="solid">
        <fgColor rgb="FFFF9900"/>
        <bgColor indexed="64"/>
      </patternFill>
    </fill>
    <fill>
      <patternFill patternType="solid">
        <fgColor theme="9"/>
        <bgColor rgb="FF000000"/>
      </patternFill>
    </fill>
    <fill>
      <patternFill patternType="solid">
        <fgColor theme="0"/>
        <bgColor rgb="FF000000"/>
      </patternFill>
    </fill>
    <fill>
      <patternFill patternType="solid">
        <fgColor rgb="FFFFFF66"/>
        <bgColor rgb="FF000000"/>
      </patternFill>
    </fill>
    <fill>
      <patternFill patternType="solid">
        <fgColor rgb="FFFFC000"/>
        <bgColor rgb="FF000000"/>
      </patternFill>
    </fill>
    <fill>
      <patternFill patternType="solid">
        <fgColor rgb="FF92D050"/>
        <bgColor rgb="FF000000"/>
      </patternFill>
    </fill>
  </fills>
  <borders count="93">
    <border>
      <left/>
      <right/>
      <top/>
      <bottom/>
      <diagonal/>
    </border>
    <border>
      <left style="dotted">
        <color rgb="FFF79646"/>
      </left>
      <right style="dotted">
        <color rgb="FFF79646"/>
      </right>
      <top style="dotted">
        <color rgb="FFF79646"/>
      </top>
      <bottom style="dotted">
        <color rgb="FFF79646"/>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right/>
      <top style="dashed">
        <color theme="9" tint="-0.24994659260841701"/>
      </top>
      <bottom style="dashed">
        <color theme="9" tint="-0.24994659260841701"/>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ashed">
        <color theme="9" tint="-0.24994659260841701"/>
      </left>
      <right/>
      <top style="dashed">
        <color theme="9" tint="-0.24994659260841701"/>
      </top>
      <bottom style="thin">
        <color indexed="64"/>
      </bottom>
      <diagonal/>
    </border>
    <border>
      <left/>
      <right/>
      <top style="dashed">
        <color theme="9" tint="-0.24994659260841701"/>
      </top>
      <bottom style="thin">
        <color indexed="64"/>
      </bottom>
      <diagonal/>
    </border>
    <border>
      <left/>
      <right style="dashed">
        <color theme="9" tint="-0.24994659260841701"/>
      </right>
      <top style="dashed">
        <color theme="9" tint="-0.24994659260841701"/>
      </top>
      <bottom style="thin">
        <color indexed="64"/>
      </bottom>
      <diagonal/>
    </border>
    <border>
      <left style="dashed">
        <color theme="9" tint="-0.24994659260841701"/>
      </left>
      <right style="dashed">
        <color theme="9" tint="-0.24994659260841701"/>
      </right>
      <top style="thin">
        <color indexed="64"/>
      </top>
      <bottom/>
      <diagonal/>
    </border>
    <border>
      <left style="thin">
        <color theme="9"/>
      </left>
      <right style="thin">
        <color theme="9"/>
      </right>
      <top style="thin">
        <color theme="9"/>
      </top>
      <bottom style="thin">
        <color theme="9"/>
      </bottom>
      <diagonal/>
    </border>
    <border>
      <left style="dashed">
        <color theme="9" tint="-0.24994659260841701"/>
      </left>
      <right/>
      <top style="thin">
        <color theme="9"/>
      </top>
      <bottom style="dashed">
        <color theme="9" tint="-0.24994659260841701"/>
      </bottom>
      <diagonal/>
    </border>
    <border>
      <left/>
      <right style="dashed">
        <color theme="9" tint="-0.24994659260841701"/>
      </right>
      <top style="thin">
        <color theme="9"/>
      </top>
      <bottom style="dashed">
        <color theme="9" tint="-0.24994659260841701"/>
      </bottom>
      <diagonal/>
    </border>
    <border>
      <left style="thin">
        <color theme="9"/>
      </left>
      <right/>
      <top style="dashed">
        <color theme="9" tint="-0.24994659260841701"/>
      </top>
      <bottom/>
      <diagonal/>
    </border>
    <border>
      <left style="thin">
        <color theme="9"/>
      </left>
      <right/>
      <top style="thin">
        <color theme="9"/>
      </top>
      <bottom style="thin">
        <color theme="9"/>
      </bottom>
      <diagonal/>
    </border>
    <border>
      <left/>
      <right style="thin">
        <color theme="9"/>
      </right>
      <top style="thin">
        <color theme="9"/>
      </top>
      <bottom style="thin">
        <color theme="9"/>
      </bottom>
      <diagonal/>
    </border>
    <border>
      <left style="thin">
        <color auto="1"/>
      </left>
      <right/>
      <top/>
      <bottom style="thin">
        <color auto="1"/>
      </bottom>
      <diagonal/>
    </border>
    <border>
      <left/>
      <right style="thin">
        <color auto="1"/>
      </right>
      <top/>
      <bottom style="thin">
        <color auto="1"/>
      </bottom>
      <diagonal/>
    </border>
  </borders>
  <cellStyleXfs count="7">
    <xf numFmtId="0" fontId="0" fillId="0" borderId="0"/>
    <xf numFmtId="9" fontId="15" fillId="0" borderId="0" applyFont="0" applyFill="0" applyBorder="0" applyAlignment="0" applyProtection="0"/>
    <xf numFmtId="0" fontId="48" fillId="0" borderId="0"/>
    <xf numFmtId="0" fontId="49" fillId="0" borderId="0"/>
    <xf numFmtId="0" fontId="5" fillId="0" borderId="0"/>
    <xf numFmtId="0" fontId="37" fillId="0" borderId="0"/>
    <xf numFmtId="0" fontId="63" fillId="0" borderId="0"/>
  </cellStyleXfs>
  <cellXfs count="521">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textRotation="90"/>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9" fillId="0" borderId="0" xfId="0" applyFont="1" applyAlignment="1">
      <alignment horizontal="center" vertical="center" wrapText="1"/>
    </xf>
    <xf numFmtId="0" fontId="10" fillId="6" borderId="0" xfId="0" applyFont="1" applyFill="1" applyAlignment="1">
      <alignment horizontal="center" vertical="center" wrapText="1" readingOrder="1"/>
    </xf>
    <xf numFmtId="0" fontId="11" fillId="5" borderId="11" xfId="0" applyFont="1" applyFill="1" applyBorder="1" applyAlignment="1">
      <alignment horizontal="center" vertical="center" wrapText="1" readingOrder="1"/>
    </xf>
    <xf numFmtId="0" fontId="11" fillId="0" borderId="11" xfId="0" applyFont="1" applyBorder="1" applyAlignment="1">
      <alignment horizontal="justify" vertical="center" wrapText="1" readingOrder="1"/>
    </xf>
    <xf numFmtId="9" fontId="11" fillId="0" borderId="11" xfId="0" applyNumberFormat="1" applyFont="1" applyBorder="1" applyAlignment="1">
      <alignment horizontal="center" vertical="center" wrapText="1" readingOrder="1"/>
    </xf>
    <xf numFmtId="0" fontId="11" fillId="7" borderId="1" xfId="0" applyFont="1" applyFill="1" applyBorder="1" applyAlignment="1">
      <alignment horizontal="center" vertical="center" wrapText="1" readingOrder="1"/>
    </xf>
    <xf numFmtId="0" fontId="11" fillId="0" borderId="1" xfId="0" applyFont="1" applyBorder="1" applyAlignment="1">
      <alignment horizontal="justify" vertical="center" wrapText="1" readingOrder="1"/>
    </xf>
    <xf numFmtId="9" fontId="11" fillId="0" borderId="1" xfId="0" applyNumberFormat="1" applyFont="1" applyBorder="1" applyAlignment="1">
      <alignment horizontal="center" vertical="center" wrapText="1" readingOrder="1"/>
    </xf>
    <xf numFmtId="0" fontId="11" fillId="4" borderId="1" xfId="0" applyFont="1" applyFill="1" applyBorder="1" applyAlignment="1">
      <alignment horizontal="center" vertical="center" wrapText="1" readingOrder="1"/>
    </xf>
    <xf numFmtId="0" fontId="11" fillId="8" borderId="1" xfId="0" applyFont="1" applyFill="1" applyBorder="1" applyAlignment="1">
      <alignment horizontal="center" vertical="center" wrapText="1" readingOrder="1"/>
    </xf>
    <xf numFmtId="0" fontId="12" fillId="9" borderId="1" xfId="0" applyFont="1" applyFill="1" applyBorder="1" applyAlignment="1">
      <alignment horizontal="center" vertical="center" wrapText="1" readingOrder="1"/>
    </xf>
    <xf numFmtId="0" fontId="16" fillId="0" borderId="0" xfId="0" applyFont="1"/>
    <xf numFmtId="0" fontId="14"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9" fillId="0" borderId="0" xfId="0" applyFont="1" applyAlignment="1">
      <alignment vertical="center"/>
    </xf>
    <xf numFmtId="0" fontId="30" fillId="0" borderId="0" xfId="0" applyFont="1"/>
    <xf numFmtId="0" fontId="28" fillId="0" borderId="0" xfId="0" applyFont="1"/>
    <xf numFmtId="0" fontId="0" fillId="0" borderId="0" xfId="0" pivotButton="1"/>
    <xf numFmtId="0" fontId="13" fillId="0" borderId="0" xfId="0" applyFont="1" applyAlignment="1">
      <alignment horizontal="justify" vertical="center" wrapText="1" readingOrder="1"/>
    </xf>
    <xf numFmtId="0" fontId="31" fillId="0" borderId="0" xfId="0" applyFont="1"/>
    <xf numFmtId="0" fontId="33" fillId="6" borderId="0" xfId="0" applyFont="1" applyFill="1" applyAlignment="1">
      <alignment horizontal="center" vertical="center" wrapText="1" readingOrder="1"/>
    </xf>
    <xf numFmtId="0" fontId="34" fillId="0" borderId="11" xfId="0" applyFont="1" applyBorder="1" applyAlignment="1">
      <alignment horizontal="justify" vertical="center" wrapText="1" readingOrder="1"/>
    </xf>
    <xf numFmtId="0" fontId="34" fillId="0" borderId="1" xfId="0" applyFont="1" applyBorder="1" applyAlignment="1">
      <alignment horizontal="justify" vertical="center" wrapText="1" readingOrder="1"/>
    </xf>
    <xf numFmtId="0" fontId="34" fillId="5" borderId="11" xfId="0" applyFont="1" applyFill="1" applyBorder="1" applyAlignment="1">
      <alignment horizontal="center" vertical="center" wrapText="1" readingOrder="1"/>
    </xf>
    <xf numFmtId="0" fontId="34" fillId="7" borderId="1" xfId="0" applyFont="1" applyFill="1" applyBorder="1" applyAlignment="1">
      <alignment horizontal="center" vertical="center" wrapText="1" readingOrder="1"/>
    </xf>
    <xf numFmtId="0" fontId="34" fillId="4" borderId="1" xfId="0" applyFont="1" applyFill="1" applyBorder="1" applyAlignment="1">
      <alignment horizontal="center" vertical="center" wrapText="1" readingOrder="1"/>
    </xf>
    <xf numFmtId="0" fontId="34" fillId="8" borderId="1" xfId="0" applyFont="1" applyFill="1" applyBorder="1" applyAlignment="1">
      <alignment horizontal="center" vertical="center" wrapText="1" readingOrder="1"/>
    </xf>
    <xf numFmtId="0" fontId="35" fillId="9" borderId="1" xfId="0" applyFont="1" applyFill="1" applyBorder="1" applyAlignment="1">
      <alignment horizontal="center" vertical="center" wrapText="1" readingOrder="1"/>
    </xf>
    <xf numFmtId="0" fontId="34" fillId="0" borderId="11" xfId="0" applyFont="1" applyBorder="1" applyAlignment="1">
      <alignment horizontal="center" vertical="center" wrapText="1" readingOrder="1"/>
    </xf>
    <xf numFmtId="0" fontId="34" fillId="0" borderId="1" xfId="0" applyFont="1" applyBorder="1" applyAlignment="1">
      <alignment horizontal="center" vertical="center" wrapText="1" readingOrder="1"/>
    </xf>
    <xf numFmtId="0" fontId="20" fillId="11" borderId="12" xfId="0" applyFont="1" applyFill="1" applyBorder="1" applyAlignment="1" applyProtection="1">
      <alignment horizontal="center" vertical="center" wrapText="1" readingOrder="1"/>
      <protection hidden="1"/>
    </xf>
    <xf numFmtId="0" fontId="20" fillId="11" borderId="19" xfId="0" applyFont="1" applyFill="1" applyBorder="1" applyAlignment="1" applyProtection="1">
      <alignment horizontal="center" vertical="center" wrapText="1" readingOrder="1"/>
      <protection hidden="1"/>
    </xf>
    <xf numFmtId="0" fontId="20" fillId="11" borderId="13" xfId="0" applyFont="1" applyFill="1" applyBorder="1" applyAlignment="1" applyProtection="1">
      <alignment horizontal="center" vertical="center" wrapText="1" readingOrder="1"/>
      <protection hidden="1"/>
    </xf>
    <xf numFmtId="0" fontId="20" fillId="12" borderId="12" xfId="0" applyFont="1" applyFill="1" applyBorder="1" applyAlignment="1" applyProtection="1">
      <alignment horizontal="center" wrapText="1" readingOrder="1"/>
      <protection hidden="1"/>
    </xf>
    <xf numFmtId="0" fontId="20" fillId="12" borderId="19" xfId="0" applyFont="1" applyFill="1" applyBorder="1" applyAlignment="1" applyProtection="1">
      <alignment horizontal="center" wrapText="1" readingOrder="1"/>
      <protection hidden="1"/>
    </xf>
    <xf numFmtId="0" fontId="20" fillId="12" borderId="13" xfId="0" applyFont="1" applyFill="1" applyBorder="1" applyAlignment="1" applyProtection="1">
      <alignment horizontal="center" wrapText="1" readingOrder="1"/>
      <protection hidden="1"/>
    </xf>
    <xf numFmtId="0" fontId="20" fillId="11" borderId="14" xfId="0" applyFont="1" applyFill="1" applyBorder="1" applyAlignment="1" applyProtection="1">
      <alignment horizontal="center" vertical="center" wrapText="1" readingOrder="1"/>
      <protection hidden="1"/>
    </xf>
    <xf numFmtId="0" fontId="20" fillId="11" borderId="0" xfId="0" applyFont="1" applyFill="1" applyAlignment="1" applyProtection="1">
      <alignment horizontal="center" vertical="center" wrapText="1" readingOrder="1"/>
      <protection hidden="1"/>
    </xf>
    <xf numFmtId="0" fontId="20" fillId="11" borderId="15" xfId="0" applyFont="1" applyFill="1" applyBorder="1" applyAlignment="1" applyProtection="1">
      <alignment horizontal="center" vertical="center" wrapText="1" readingOrder="1"/>
      <protection hidden="1"/>
    </xf>
    <xf numFmtId="0" fontId="20" fillId="12" borderId="14" xfId="0" applyFont="1" applyFill="1" applyBorder="1" applyAlignment="1" applyProtection="1">
      <alignment horizontal="center" wrapText="1" readingOrder="1"/>
      <protection hidden="1"/>
    </xf>
    <xf numFmtId="0" fontId="20" fillId="12" borderId="0" xfId="0" applyFont="1" applyFill="1" applyAlignment="1" applyProtection="1">
      <alignment horizontal="center" wrapText="1" readingOrder="1"/>
      <protection hidden="1"/>
    </xf>
    <xf numFmtId="0" fontId="20" fillId="12" borderId="15" xfId="0" applyFont="1" applyFill="1" applyBorder="1" applyAlignment="1" applyProtection="1">
      <alignment horizontal="center" wrapText="1" readingOrder="1"/>
      <protection hidden="1"/>
    </xf>
    <xf numFmtId="0" fontId="20" fillId="11" borderId="16" xfId="0" applyFont="1" applyFill="1" applyBorder="1" applyAlignment="1" applyProtection="1">
      <alignment horizontal="center" vertical="center" wrapText="1" readingOrder="1"/>
      <protection hidden="1"/>
    </xf>
    <xf numFmtId="0" fontId="20" fillId="11" borderId="18" xfId="0" applyFont="1" applyFill="1" applyBorder="1" applyAlignment="1" applyProtection="1">
      <alignment horizontal="center" vertical="center" wrapText="1" readingOrder="1"/>
      <protection hidden="1"/>
    </xf>
    <xf numFmtId="0" fontId="20" fillId="11" borderId="17" xfId="0" applyFont="1" applyFill="1" applyBorder="1" applyAlignment="1" applyProtection="1">
      <alignment horizontal="center" vertical="center" wrapText="1" readingOrder="1"/>
      <protection hidden="1"/>
    </xf>
    <xf numFmtId="0" fontId="20" fillId="12" borderId="16" xfId="0" applyFont="1" applyFill="1" applyBorder="1" applyAlignment="1" applyProtection="1">
      <alignment horizontal="center" wrapText="1" readingOrder="1"/>
      <protection hidden="1"/>
    </xf>
    <xf numFmtId="0" fontId="20" fillId="12" borderId="18" xfId="0" applyFont="1" applyFill="1" applyBorder="1" applyAlignment="1" applyProtection="1">
      <alignment horizontal="center" wrapText="1" readingOrder="1"/>
      <protection hidden="1"/>
    </xf>
    <xf numFmtId="0" fontId="20" fillId="12" borderId="17" xfId="0" applyFont="1" applyFill="1" applyBorder="1" applyAlignment="1" applyProtection="1">
      <alignment horizontal="center" wrapText="1" readingOrder="1"/>
      <protection hidden="1"/>
    </xf>
    <xf numFmtId="0" fontId="20" fillId="13" borderId="12" xfId="0" applyFont="1" applyFill="1" applyBorder="1" applyAlignment="1" applyProtection="1">
      <alignment horizontal="center" wrapText="1" readingOrder="1"/>
      <protection hidden="1"/>
    </xf>
    <xf numFmtId="0" fontId="20" fillId="13" borderId="19" xfId="0" applyFont="1" applyFill="1" applyBorder="1" applyAlignment="1" applyProtection="1">
      <alignment horizontal="center" wrapText="1" readingOrder="1"/>
      <protection hidden="1"/>
    </xf>
    <xf numFmtId="0" fontId="20" fillId="13" borderId="13" xfId="0" applyFont="1" applyFill="1" applyBorder="1" applyAlignment="1" applyProtection="1">
      <alignment horizontal="center" wrapText="1" readingOrder="1"/>
      <protection hidden="1"/>
    </xf>
    <xf numFmtId="0" fontId="20" fillId="13" borderId="14" xfId="0" applyFont="1" applyFill="1" applyBorder="1" applyAlignment="1" applyProtection="1">
      <alignment horizontal="center" wrapText="1" readingOrder="1"/>
      <protection hidden="1"/>
    </xf>
    <xf numFmtId="0" fontId="20" fillId="13" borderId="0" xfId="0" applyFont="1" applyFill="1" applyAlignment="1" applyProtection="1">
      <alignment horizontal="center" wrapText="1" readingOrder="1"/>
      <protection hidden="1"/>
    </xf>
    <xf numFmtId="0" fontId="20" fillId="13" borderId="15" xfId="0" applyFont="1" applyFill="1" applyBorder="1" applyAlignment="1" applyProtection="1">
      <alignment horizontal="center" wrapText="1" readingOrder="1"/>
      <protection hidden="1"/>
    </xf>
    <xf numFmtId="0" fontId="20" fillId="13" borderId="16" xfId="0" applyFont="1" applyFill="1" applyBorder="1" applyAlignment="1" applyProtection="1">
      <alignment horizontal="center" wrapText="1" readingOrder="1"/>
      <protection hidden="1"/>
    </xf>
    <xf numFmtId="0" fontId="20" fillId="13" borderId="18" xfId="0" applyFont="1" applyFill="1" applyBorder="1" applyAlignment="1" applyProtection="1">
      <alignment horizontal="center" wrapText="1" readingOrder="1"/>
      <protection hidden="1"/>
    </xf>
    <xf numFmtId="0" fontId="20" fillId="13" borderId="17" xfId="0" applyFont="1" applyFill="1" applyBorder="1" applyAlignment="1" applyProtection="1">
      <alignment horizontal="center" wrapText="1" readingOrder="1"/>
      <protection hidden="1"/>
    </xf>
    <xf numFmtId="0" fontId="20" fillId="5" borderId="12" xfId="0" applyFont="1" applyFill="1" applyBorder="1" applyAlignment="1" applyProtection="1">
      <alignment horizontal="center" wrapText="1" readingOrder="1"/>
      <protection hidden="1"/>
    </xf>
    <xf numFmtId="0" fontId="20" fillId="5" borderId="19" xfId="0" applyFont="1" applyFill="1" applyBorder="1" applyAlignment="1" applyProtection="1">
      <alignment horizontal="center" wrapText="1" readingOrder="1"/>
      <protection hidden="1"/>
    </xf>
    <xf numFmtId="0" fontId="20" fillId="5" borderId="13" xfId="0" applyFont="1" applyFill="1" applyBorder="1" applyAlignment="1" applyProtection="1">
      <alignment horizontal="center" wrapText="1" readingOrder="1"/>
      <protection hidden="1"/>
    </xf>
    <xf numFmtId="0" fontId="20" fillId="5" borderId="14" xfId="0" applyFont="1" applyFill="1" applyBorder="1" applyAlignment="1" applyProtection="1">
      <alignment horizontal="center" wrapText="1" readingOrder="1"/>
      <protection hidden="1"/>
    </xf>
    <xf numFmtId="0" fontId="20" fillId="5" borderId="0" xfId="0" applyFont="1" applyFill="1" applyAlignment="1" applyProtection="1">
      <alignment horizontal="center" wrapText="1" readingOrder="1"/>
      <protection hidden="1"/>
    </xf>
    <xf numFmtId="0" fontId="20" fillId="5" borderId="15" xfId="0" applyFont="1" applyFill="1" applyBorder="1" applyAlignment="1" applyProtection="1">
      <alignment horizontal="center" wrapText="1" readingOrder="1"/>
      <protection hidden="1"/>
    </xf>
    <xf numFmtId="0" fontId="20" fillId="5" borderId="16" xfId="0" applyFont="1" applyFill="1" applyBorder="1" applyAlignment="1" applyProtection="1">
      <alignment horizontal="center" wrapText="1" readingOrder="1"/>
      <protection hidden="1"/>
    </xf>
    <xf numFmtId="0" fontId="20" fillId="5" borderId="18" xfId="0" applyFont="1" applyFill="1" applyBorder="1" applyAlignment="1" applyProtection="1">
      <alignment horizontal="center" wrapText="1" readingOrder="1"/>
      <protection hidden="1"/>
    </xf>
    <xf numFmtId="0" fontId="20" fillId="5" borderId="17" xfId="0" applyFont="1" applyFill="1" applyBorder="1" applyAlignment="1" applyProtection="1">
      <alignment horizontal="center" wrapText="1" readingOrder="1"/>
      <protection hidden="1"/>
    </xf>
    <xf numFmtId="0" fontId="24" fillId="13" borderId="19" xfId="0" applyFont="1" applyFill="1" applyBorder="1" applyAlignment="1" applyProtection="1">
      <alignment horizontal="center" wrapText="1" readingOrder="1"/>
      <protection hidden="1"/>
    </xf>
    <xf numFmtId="0" fontId="0" fillId="3" borderId="0" xfId="0" applyFill="1"/>
    <xf numFmtId="0" fontId="50" fillId="3" borderId="51" xfId="2" applyFont="1" applyFill="1" applyBorder="1"/>
    <xf numFmtId="0" fontId="50" fillId="3" borderId="52" xfId="2" applyFont="1" applyFill="1" applyBorder="1"/>
    <xf numFmtId="0" fontId="50" fillId="3" borderId="53" xfId="2" applyFont="1" applyFill="1" applyBorder="1"/>
    <xf numFmtId="0" fontId="17" fillId="3" borderId="0" xfId="0" applyFont="1" applyFill="1" applyAlignment="1">
      <alignment vertical="center"/>
    </xf>
    <xf numFmtId="0" fontId="5" fillId="3" borderId="0" xfId="0" applyFont="1" applyFill="1"/>
    <xf numFmtId="0" fontId="37" fillId="3" borderId="0" xfId="0" applyFont="1" applyFill="1"/>
    <xf numFmtId="0" fontId="38" fillId="3" borderId="34" xfId="0" applyFont="1" applyFill="1" applyBorder="1" applyAlignment="1">
      <alignment horizontal="center" vertical="center" wrapText="1" readingOrder="1"/>
    </xf>
    <xf numFmtId="0" fontId="39" fillId="3" borderId="34" xfId="0" applyFont="1" applyFill="1" applyBorder="1" applyAlignment="1">
      <alignment horizontal="justify" vertical="center" wrapText="1" readingOrder="1"/>
    </xf>
    <xf numFmtId="9" fontId="38" fillId="3" borderId="43" xfId="0" applyNumberFormat="1"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9" fillId="3" borderId="33" xfId="0" applyFont="1" applyFill="1" applyBorder="1" applyAlignment="1">
      <alignment horizontal="justify" vertical="center" wrapText="1" readingOrder="1"/>
    </xf>
    <xf numFmtId="9" fontId="38" fillId="3" borderId="38" xfId="0" applyNumberFormat="1" applyFont="1" applyFill="1" applyBorder="1" applyAlignment="1">
      <alignment horizontal="center" vertical="center" wrapText="1" readingOrder="1"/>
    </xf>
    <xf numFmtId="0" fontId="39" fillId="3" borderId="38"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39" fillId="3" borderId="40" xfId="0" applyFont="1" applyFill="1" applyBorder="1" applyAlignment="1">
      <alignment horizontal="justify" vertical="center" wrapText="1" readingOrder="1"/>
    </xf>
    <xf numFmtId="0" fontId="39" fillId="3" borderId="41" xfId="0" applyFont="1" applyFill="1" applyBorder="1" applyAlignment="1">
      <alignment horizontal="center" vertical="center" wrapText="1" readingOrder="1"/>
    </xf>
    <xf numFmtId="0" fontId="47" fillId="3" borderId="0" xfId="0" applyFont="1" applyFill="1"/>
    <xf numFmtId="0" fontId="38" fillId="15" borderId="45" xfId="0" applyFont="1" applyFill="1" applyBorder="1" applyAlignment="1">
      <alignment horizontal="center" vertical="center" wrapText="1" readingOrder="1"/>
    </xf>
    <xf numFmtId="0" fontId="38" fillId="15" borderId="46" xfId="0" applyFont="1" applyFill="1" applyBorder="1" applyAlignment="1">
      <alignment horizontal="center" vertical="center" wrapText="1" readingOrder="1"/>
    </xf>
    <xf numFmtId="0" fontId="14" fillId="3" borderId="0" xfId="0" applyFont="1" applyFill="1"/>
    <xf numFmtId="0" fontId="32" fillId="3" borderId="0" xfId="0" applyFont="1" applyFill="1" applyAlignment="1">
      <alignment horizontal="center" vertical="center" wrapText="1"/>
    </xf>
    <xf numFmtId="0" fontId="13" fillId="3" borderId="0" xfId="0" applyFont="1" applyFill="1" applyAlignment="1">
      <alignment horizontal="justify" vertical="center" wrapText="1" readingOrder="1"/>
    </xf>
    <xf numFmtId="0" fontId="4" fillId="3" borderId="0" xfId="0" applyFont="1" applyFill="1" applyAlignment="1">
      <alignment vertical="center"/>
    </xf>
    <xf numFmtId="0" fontId="16" fillId="3" borderId="0" xfId="0" applyFont="1" applyFill="1"/>
    <xf numFmtId="0" fontId="4" fillId="3" borderId="0" xfId="0" applyFont="1" applyFill="1" applyAlignment="1">
      <alignment horizontal="left" vertical="center"/>
    </xf>
    <xf numFmtId="0" fontId="50" fillId="3" borderId="14" xfId="2" applyFont="1" applyFill="1" applyBorder="1"/>
    <xf numFmtId="0" fontId="55" fillId="3" borderId="0" xfId="0" applyFont="1" applyFill="1" applyAlignment="1">
      <alignment horizontal="left" vertical="center" wrapText="1"/>
    </xf>
    <xf numFmtId="0" fontId="56" fillId="3" borderId="0" xfId="0" applyFont="1" applyFill="1" applyAlignment="1">
      <alignment horizontal="left" vertical="top" wrapText="1"/>
    </xf>
    <xf numFmtId="0" fontId="50" fillId="3" borderId="0" xfId="2" applyFont="1" applyFill="1"/>
    <xf numFmtId="0" fontId="50" fillId="3" borderId="15" xfId="2" applyFont="1" applyFill="1" applyBorder="1"/>
    <xf numFmtId="0" fontId="50" fillId="3" borderId="16" xfId="2" applyFont="1" applyFill="1" applyBorder="1"/>
    <xf numFmtId="0" fontId="50" fillId="3" borderId="18" xfId="2" applyFont="1" applyFill="1" applyBorder="1"/>
    <xf numFmtId="0" fontId="50" fillId="3" borderId="17" xfId="2" applyFont="1" applyFill="1" applyBorder="1"/>
    <xf numFmtId="0" fontId="54" fillId="3" borderId="0" xfId="2" applyFont="1" applyFill="1" applyAlignment="1">
      <alignment horizontal="left" vertical="center" wrapText="1"/>
    </xf>
    <xf numFmtId="0" fontId="50" fillId="3" borderId="0" xfId="2" applyFont="1" applyFill="1" applyAlignment="1">
      <alignment horizontal="left" vertical="center" wrapText="1"/>
    </xf>
    <xf numFmtId="0" fontId="50" fillId="3" borderId="0" xfId="2" quotePrefix="1" applyFont="1" applyFill="1" applyAlignment="1">
      <alignment horizontal="left" vertical="center" wrapText="1"/>
    </xf>
    <xf numFmtId="0" fontId="52" fillId="3" borderId="14" xfId="2" quotePrefix="1" applyFont="1" applyFill="1" applyBorder="1" applyAlignment="1">
      <alignment horizontal="left" vertical="top" wrapText="1"/>
    </xf>
    <xf numFmtId="0" fontId="53" fillId="3" borderId="0" xfId="2" quotePrefix="1" applyFont="1" applyFill="1" applyAlignment="1">
      <alignment horizontal="left" vertical="top" wrapText="1"/>
    </xf>
    <xf numFmtId="0" fontId="53" fillId="3" borderId="15" xfId="2" quotePrefix="1" applyFont="1" applyFill="1" applyBorder="1" applyAlignment="1">
      <alignment horizontal="left" vertical="top" wrapText="1"/>
    </xf>
    <xf numFmtId="0" fontId="1" fillId="0" borderId="4" xfId="0" applyFont="1" applyBorder="1" applyAlignment="1" applyProtection="1">
      <alignment horizontal="center" vertical="top" textRotation="90"/>
      <protection locked="0"/>
    </xf>
    <xf numFmtId="0" fontId="1" fillId="0" borderId="2" xfId="0" applyFont="1" applyBorder="1" applyAlignment="1" applyProtection="1">
      <alignment horizontal="center" vertical="top" wrapText="1"/>
      <protection locked="0"/>
    </xf>
    <xf numFmtId="0" fontId="1" fillId="0" borderId="2" xfId="0" applyFont="1" applyBorder="1" applyAlignment="1" applyProtection="1">
      <alignment horizontal="center" vertical="top"/>
      <protection locked="0"/>
    </xf>
    <xf numFmtId="14" fontId="1" fillId="0" borderId="2" xfId="0" applyNumberFormat="1" applyFont="1" applyBorder="1" applyAlignment="1" applyProtection="1">
      <alignment horizontal="center" vertical="top"/>
      <protection locked="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2" fillId="0" borderId="5" xfId="0" applyFont="1" applyBorder="1" applyAlignment="1" applyProtection="1">
      <alignment horizontal="center" vertical="top" wrapText="1"/>
      <protection locked="0"/>
    </xf>
    <xf numFmtId="0" fontId="4" fillId="2" borderId="2" xfId="0" applyFont="1" applyFill="1" applyBorder="1" applyAlignment="1">
      <alignment horizontal="center" vertical="center" wrapText="1"/>
    </xf>
    <xf numFmtId="0" fontId="27" fillId="2" borderId="5" xfId="0" applyFont="1" applyFill="1" applyBorder="1" applyAlignment="1">
      <alignment horizontal="center" vertical="center" textRotation="90"/>
    </xf>
    <xf numFmtId="0" fontId="4" fillId="2" borderId="5" xfId="0" applyFont="1" applyFill="1" applyBorder="1" applyAlignment="1">
      <alignment horizontal="center" vertical="center"/>
    </xf>
    <xf numFmtId="0" fontId="27" fillId="2" borderId="8" xfId="0" applyFont="1" applyFill="1" applyBorder="1" applyAlignment="1">
      <alignment horizontal="center" vertical="center" textRotation="90"/>
    </xf>
    <xf numFmtId="0" fontId="1" fillId="0" borderId="6" xfId="0" applyFont="1" applyBorder="1" applyAlignment="1">
      <alignment horizontal="center" vertical="center"/>
    </xf>
    <xf numFmtId="0" fontId="26" fillId="3" borderId="0" xfId="0" applyFont="1" applyFill="1" applyAlignment="1">
      <alignment vertical="center"/>
    </xf>
    <xf numFmtId="0" fontId="26" fillId="3" borderId="0" xfId="0" applyFont="1" applyFill="1" applyAlignment="1">
      <alignment horizontal="center" vertical="center"/>
    </xf>
    <xf numFmtId="0" fontId="1" fillId="0" borderId="2" xfId="0" applyFont="1" applyBorder="1" applyAlignment="1" applyProtection="1">
      <alignment horizontal="center" vertical="center" wrapText="1"/>
      <protection locked="0"/>
    </xf>
    <xf numFmtId="14"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14" fontId="1" fillId="0" borderId="2" xfId="0" applyNumberFormat="1" applyFont="1" applyBorder="1" applyAlignment="1" applyProtection="1">
      <alignment horizontal="center" vertical="center" wrapText="1"/>
      <protection locked="0"/>
    </xf>
    <xf numFmtId="0" fontId="4" fillId="2" borderId="5" xfId="0" applyFont="1" applyFill="1" applyBorder="1" applyAlignment="1">
      <alignment horizontal="center" vertical="center" wrapText="1"/>
    </xf>
    <xf numFmtId="0" fontId="4" fillId="2" borderId="5" xfId="0" applyFont="1" applyFill="1" applyBorder="1" applyAlignment="1">
      <alignment horizontal="center" vertical="center" textRotation="90" wrapText="1"/>
    </xf>
    <xf numFmtId="0" fontId="8" fillId="3" borderId="0" xfId="0" applyFont="1" applyFill="1" applyAlignment="1" applyProtection="1">
      <alignment horizontal="left" vertical="center"/>
      <protection locked="0"/>
    </xf>
    <xf numFmtId="0" fontId="8" fillId="3" borderId="0" xfId="0" applyFont="1" applyFill="1" applyAlignment="1" applyProtection="1">
      <alignment horizontal="left" vertical="center" wrapText="1"/>
      <protection locked="0"/>
    </xf>
    <xf numFmtId="0" fontId="26" fillId="2" borderId="29" xfId="0" applyFont="1" applyFill="1" applyBorder="1" applyAlignment="1">
      <alignment vertical="center"/>
    </xf>
    <xf numFmtId="0" fontId="26" fillId="2" borderId="0" xfId="0" applyFont="1" applyFill="1" applyAlignment="1">
      <alignment vertical="center"/>
    </xf>
    <xf numFmtId="0" fontId="4" fillId="0" borderId="4" xfId="0" applyFont="1" applyBorder="1" applyAlignment="1" applyProtection="1">
      <alignment horizontal="center" vertical="center"/>
      <protection hidden="1"/>
    </xf>
    <xf numFmtId="0" fontId="4" fillId="0" borderId="4" xfId="0" applyFont="1" applyBorder="1" applyAlignment="1" applyProtection="1">
      <alignment horizontal="center" vertical="top"/>
      <protection hidden="1"/>
    </xf>
    <xf numFmtId="0" fontId="1" fillId="3" borderId="0" xfId="0" applyFont="1" applyFill="1" applyAlignment="1">
      <alignment horizontal="center" vertical="center"/>
    </xf>
    <xf numFmtId="0" fontId="6"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hidden="1"/>
    </xf>
    <xf numFmtId="0" fontId="1" fillId="0" borderId="2" xfId="0" applyFont="1" applyBorder="1" applyAlignment="1" applyProtection="1">
      <alignment horizontal="center" vertical="center" textRotation="90"/>
      <protection locked="0"/>
    </xf>
    <xf numFmtId="9" fontId="1" fillId="0" borderId="2" xfId="0" applyNumberFormat="1" applyFont="1" applyBorder="1" applyAlignment="1" applyProtection="1">
      <alignment horizontal="center" vertical="center"/>
      <protection hidden="1"/>
    </xf>
    <xf numFmtId="164" fontId="1" fillId="0" borderId="2" xfId="1" applyNumberFormat="1" applyFont="1" applyBorder="1" applyAlignment="1">
      <alignment horizontal="center" vertical="center"/>
    </xf>
    <xf numFmtId="0" fontId="4" fillId="0" borderId="2" xfId="0" applyFont="1" applyBorder="1" applyAlignment="1" applyProtection="1">
      <alignment horizontal="center" vertical="center" textRotation="90" wrapText="1"/>
      <protection hidden="1"/>
    </xf>
    <xf numFmtId="9" fontId="1" fillId="0" borderId="4" xfId="0" applyNumberFormat="1" applyFont="1" applyBorder="1" applyAlignment="1" applyProtection="1">
      <alignment horizontal="center" vertical="center"/>
      <protection hidden="1"/>
    </xf>
    <xf numFmtId="0" fontId="4" fillId="0" borderId="2" xfId="0" applyFont="1" applyBorder="1" applyAlignment="1" applyProtection="1">
      <alignment horizontal="center" vertical="center" textRotation="90"/>
      <protection hidden="1"/>
    </xf>
    <xf numFmtId="0" fontId="1" fillId="0" borderId="4" xfId="0" applyFont="1" applyBorder="1" applyAlignment="1" applyProtection="1">
      <alignment horizontal="center" vertical="center" textRotation="90"/>
      <protection locked="0"/>
    </xf>
    <xf numFmtId="164" fontId="1" fillId="3" borderId="2" xfId="1" applyNumberFormat="1" applyFont="1" applyFill="1" applyBorder="1" applyAlignment="1">
      <alignment horizontal="center" vertical="center"/>
    </xf>
    <xf numFmtId="0" fontId="4" fillId="2" borderId="32" xfId="0" applyFont="1" applyFill="1" applyBorder="1" applyAlignment="1">
      <alignment horizontal="center" vertical="center" textRotation="90" wrapText="1"/>
    </xf>
    <xf numFmtId="0" fontId="4" fillId="0" borderId="4" xfId="0" applyFont="1" applyBorder="1" applyAlignment="1" applyProtection="1">
      <alignment horizontal="center" vertical="center" textRotation="90"/>
      <protection hidden="1"/>
    </xf>
    <xf numFmtId="0" fontId="36" fillId="3" borderId="12" xfId="5" applyFont="1" applyFill="1" applyBorder="1" applyAlignment="1">
      <alignment vertical="center"/>
    </xf>
    <xf numFmtId="0" fontId="36" fillId="3" borderId="19" xfId="5" applyFont="1" applyFill="1" applyBorder="1" applyAlignment="1">
      <alignment vertical="center"/>
    </xf>
    <xf numFmtId="0" fontId="61" fillId="3" borderId="13" xfId="5" applyFont="1" applyFill="1" applyBorder="1" applyAlignment="1">
      <alignment vertical="center"/>
    </xf>
    <xf numFmtId="0" fontId="61" fillId="3" borderId="0" xfId="5" applyFont="1" applyFill="1" applyAlignment="1">
      <alignment vertical="center"/>
    </xf>
    <xf numFmtId="0" fontId="62" fillId="3" borderId="14" xfId="5" applyFont="1" applyFill="1" applyBorder="1" applyAlignment="1">
      <alignment vertical="center"/>
    </xf>
    <xf numFmtId="0" fontId="61" fillId="3" borderId="15" xfId="5" applyFont="1" applyFill="1" applyBorder="1" applyAlignment="1">
      <alignment vertical="center"/>
    </xf>
    <xf numFmtId="0" fontId="36" fillId="3" borderId="14" xfId="5" applyFont="1" applyFill="1" applyBorder="1" applyAlignment="1">
      <alignment vertical="center"/>
    </xf>
    <xf numFmtId="0" fontId="64" fillId="3" borderId="0" xfId="6" applyFont="1" applyFill="1" applyAlignment="1">
      <alignment horizontal="center" vertical="center"/>
    </xf>
    <xf numFmtId="0" fontId="65" fillId="3" borderId="0" xfId="6" applyFont="1" applyFill="1" applyAlignment="1">
      <alignment horizontal="center" vertical="center" wrapText="1"/>
    </xf>
    <xf numFmtId="0" fontId="65" fillId="3" borderId="0" xfId="6" applyFont="1" applyFill="1" applyAlignment="1">
      <alignment horizontal="center" vertical="center"/>
    </xf>
    <xf numFmtId="0" fontId="66" fillId="17" borderId="33" xfId="6" applyFont="1" applyFill="1" applyBorder="1" applyAlignment="1">
      <alignment horizontal="center" vertical="center" wrapText="1"/>
    </xf>
    <xf numFmtId="0" fontId="66" fillId="17" borderId="33" xfId="6" applyFont="1" applyFill="1" applyBorder="1" applyAlignment="1">
      <alignment horizontal="center" vertical="center"/>
    </xf>
    <xf numFmtId="0" fontId="66" fillId="9" borderId="33" xfId="6" applyFont="1" applyFill="1" applyBorder="1" applyAlignment="1">
      <alignment horizontal="center" vertical="center"/>
    </xf>
    <xf numFmtId="0" fontId="67" fillId="9" borderId="33" xfId="6" applyFont="1" applyFill="1" applyBorder="1" applyAlignment="1">
      <alignment horizontal="center" vertical="center" wrapText="1"/>
    </xf>
    <xf numFmtId="0" fontId="67" fillId="9" borderId="33" xfId="6" applyFont="1" applyFill="1" applyBorder="1" applyAlignment="1">
      <alignment horizontal="center" vertical="center"/>
    </xf>
    <xf numFmtId="0" fontId="66" fillId="18" borderId="33" xfId="6" applyFont="1" applyFill="1" applyBorder="1" applyAlignment="1">
      <alignment horizontal="center" vertical="center"/>
    </xf>
    <xf numFmtId="0" fontId="67" fillId="18" borderId="33" xfId="6" applyFont="1" applyFill="1" applyBorder="1" applyAlignment="1">
      <alignment horizontal="center" vertical="center" wrapText="1"/>
    </xf>
    <xf numFmtId="0" fontId="66" fillId="5" borderId="33" xfId="6" applyFont="1" applyFill="1" applyBorder="1" applyAlignment="1">
      <alignment horizontal="center" vertical="center"/>
    </xf>
    <xf numFmtId="0" fontId="67" fillId="5" borderId="33" xfId="6" applyFont="1" applyFill="1" applyBorder="1" applyAlignment="1">
      <alignment horizontal="center" vertical="center" wrapText="1"/>
    </xf>
    <xf numFmtId="0" fontId="36" fillId="3" borderId="0" xfId="5" applyFont="1" applyFill="1" applyAlignment="1">
      <alignment horizontal="center" vertical="center" wrapText="1"/>
    </xf>
    <xf numFmtId="0" fontId="38" fillId="20" borderId="33" xfId="0" applyFont="1" applyFill="1" applyBorder="1" applyAlignment="1">
      <alignment horizontal="center" vertical="center" wrapText="1"/>
    </xf>
    <xf numFmtId="0" fontId="38" fillId="20" borderId="33" xfId="0" applyFont="1" applyFill="1" applyBorder="1" applyAlignment="1">
      <alignment horizontal="center" vertical="center"/>
    </xf>
    <xf numFmtId="0" fontId="38" fillId="21" borderId="33" xfId="0" applyFont="1" applyFill="1" applyBorder="1" applyAlignment="1">
      <alignment horizontal="center" vertical="center" wrapText="1"/>
    </xf>
    <xf numFmtId="0" fontId="65" fillId="4" borderId="33" xfId="6" applyFont="1" applyFill="1" applyBorder="1" applyAlignment="1">
      <alignment horizontal="center" vertical="center" wrapText="1"/>
    </xf>
    <xf numFmtId="0" fontId="38" fillId="22" borderId="33" xfId="0" applyFont="1" applyFill="1" applyBorder="1" applyAlignment="1">
      <alignment horizontal="center" vertical="center" wrapText="1"/>
    </xf>
    <xf numFmtId="0" fontId="65" fillId="8" borderId="33" xfId="6" applyFont="1" applyFill="1" applyBorder="1" applyAlignment="1">
      <alignment horizontal="center" vertical="center" wrapText="1"/>
    </xf>
    <xf numFmtId="0" fontId="38" fillId="23" borderId="33" xfId="0" applyFont="1" applyFill="1" applyBorder="1" applyAlignment="1">
      <alignment horizontal="center" vertical="center" wrapText="1"/>
    </xf>
    <xf numFmtId="0" fontId="65" fillId="5" borderId="33" xfId="6" applyFont="1" applyFill="1" applyBorder="1" applyAlignment="1">
      <alignment horizontal="center" vertical="center" wrapText="1"/>
    </xf>
    <xf numFmtId="0" fontId="36" fillId="3" borderId="0" xfId="5" applyFont="1" applyFill="1" applyAlignment="1">
      <alignment vertical="center"/>
    </xf>
    <xf numFmtId="0" fontId="36" fillId="3" borderId="16" xfId="5" applyFont="1" applyFill="1" applyBorder="1" applyAlignment="1">
      <alignment vertical="center"/>
    </xf>
    <xf numFmtId="0" fontId="36" fillId="3" borderId="18" xfId="5" applyFont="1" applyFill="1" applyBorder="1" applyAlignment="1">
      <alignment vertical="center"/>
    </xf>
    <xf numFmtId="0" fontId="61" fillId="3" borderId="17" xfId="5" applyFont="1" applyFill="1" applyBorder="1" applyAlignment="1">
      <alignment vertical="center"/>
    </xf>
    <xf numFmtId="0" fontId="2" fillId="0" borderId="8" xfId="0" applyFont="1" applyBorder="1" applyAlignment="1" applyProtection="1">
      <alignment vertical="top" wrapText="1"/>
      <protection locked="0"/>
    </xf>
    <xf numFmtId="0" fontId="2" fillId="0" borderId="5" xfId="0" applyFont="1" applyBorder="1" applyAlignment="1" applyProtection="1">
      <alignment vertical="top" wrapText="1"/>
      <protection locked="0"/>
    </xf>
    <xf numFmtId="0" fontId="1" fillId="0" borderId="8" xfId="0" applyFont="1" applyBorder="1" applyAlignment="1" applyProtection="1">
      <alignment vertical="top" wrapText="1"/>
      <protection locked="0"/>
    </xf>
    <xf numFmtId="0" fontId="1" fillId="0" borderId="5" xfId="0" applyFont="1" applyBorder="1" applyAlignment="1" applyProtection="1">
      <alignment vertical="top" wrapText="1"/>
      <protection locked="0"/>
    </xf>
    <xf numFmtId="0" fontId="1" fillId="0" borderId="8" xfId="0" applyFont="1" applyBorder="1" applyAlignment="1" applyProtection="1">
      <alignment vertical="top"/>
      <protection locked="0"/>
    </xf>
    <xf numFmtId="0" fontId="1" fillId="0" borderId="5" xfId="0" applyFont="1" applyBorder="1" applyAlignment="1" applyProtection="1">
      <alignment vertical="top"/>
      <protection locked="0"/>
    </xf>
    <xf numFmtId="0" fontId="4" fillId="0" borderId="8" xfId="0" applyFont="1" applyBorder="1" applyAlignment="1" applyProtection="1">
      <alignment vertical="top" wrapText="1"/>
      <protection hidden="1"/>
    </xf>
    <xf numFmtId="0" fontId="4" fillId="0" borderId="5" xfId="0" applyFont="1" applyBorder="1" applyAlignment="1" applyProtection="1">
      <alignment vertical="top" wrapText="1"/>
      <protection hidden="1"/>
    </xf>
    <xf numFmtId="9" fontId="1" fillId="0" borderId="8" xfId="0" applyNumberFormat="1" applyFont="1" applyBorder="1" applyAlignment="1" applyProtection="1">
      <alignment vertical="top" wrapText="1"/>
      <protection hidden="1"/>
    </xf>
    <xf numFmtId="9" fontId="1" fillId="0" borderId="5" xfId="0" applyNumberFormat="1" applyFont="1" applyBorder="1" applyAlignment="1" applyProtection="1">
      <alignment vertical="top" wrapText="1"/>
      <protection hidden="1"/>
    </xf>
    <xf numFmtId="9" fontId="1" fillId="0" borderId="8" xfId="0" applyNumberFormat="1" applyFont="1" applyBorder="1" applyAlignment="1" applyProtection="1">
      <alignment vertical="top" wrapText="1"/>
      <protection locked="0"/>
    </xf>
    <xf numFmtId="9" fontId="1" fillId="0" borderId="5" xfId="0" applyNumberFormat="1" applyFont="1" applyBorder="1" applyAlignment="1" applyProtection="1">
      <alignment vertical="top" wrapText="1"/>
      <protection locked="0"/>
    </xf>
    <xf numFmtId="0" fontId="4" fillId="0" borderId="8" xfId="0" applyFont="1" applyBorder="1" applyAlignment="1" applyProtection="1">
      <alignment vertical="top"/>
      <protection hidden="1"/>
    </xf>
    <xf numFmtId="0" fontId="4" fillId="0" borderId="5" xfId="0" applyFont="1" applyBorder="1" applyAlignment="1" applyProtection="1">
      <alignment vertical="top"/>
      <protection hidden="1"/>
    </xf>
    <xf numFmtId="0" fontId="2" fillId="0" borderId="4"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hidden="1"/>
    </xf>
    <xf numFmtId="9" fontId="1" fillId="0" borderId="4" xfId="0" applyNumberFormat="1" applyFont="1" applyBorder="1" applyAlignment="1" applyProtection="1">
      <alignment horizontal="center" vertical="center" wrapText="1"/>
      <protection locked="0"/>
    </xf>
    <xf numFmtId="9" fontId="1" fillId="0" borderId="4" xfId="0" applyNumberFormat="1"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hidden="1"/>
    </xf>
    <xf numFmtId="0" fontId="1" fillId="0" borderId="4" xfId="0" applyFont="1" applyBorder="1" applyAlignment="1" applyProtection="1">
      <alignment horizontal="center" vertical="top"/>
      <protection locked="0"/>
    </xf>
    <xf numFmtId="0" fontId="1" fillId="0" borderId="2" xfId="0" applyFont="1" applyBorder="1" applyAlignment="1" applyProtection="1">
      <alignment horizontal="justify" vertical="center" wrapText="1"/>
      <protection locked="0"/>
    </xf>
    <xf numFmtId="0" fontId="36" fillId="0" borderId="2" xfId="0" applyFont="1" applyBorder="1" applyAlignment="1" applyProtection="1">
      <alignment horizontal="center" vertical="center" wrapText="1"/>
      <protection locked="0"/>
    </xf>
    <xf numFmtId="0" fontId="1" fillId="0" borderId="2" xfId="0" applyFont="1" applyBorder="1" applyAlignment="1" applyProtection="1">
      <alignment horizontal="justify" vertical="top" wrapText="1"/>
      <protection locked="0"/>
    </xf>
    <xf numFmtId="0" fontId="4" fillId="0" borderId="4" xfId="0" applyFont="1" applyBorder="1" applyAlignment="1" applyProtection="1">
      <alignment horizontal="center" vertical="top" wrapText="1"/>
      <protection hidden="1"/>
    </xf>
    <xf numFmtId="0" fontId="4" fillId="0" borderId="8" xfId="0" applyFont="1" applyBorder="1" applyAlignment="1" applyProtection="1">
      <alignment horizontal="center" vertical="top" wrapText="1"/>
      <protection hidden="1"/>
    </xf>
    <xf numFmtId="9" fontId="1" fillId="0" borderId="4" xfId="0" applyNumberFormat="1" applyFont="1" applyBorder="1" applyAlignment="1" applyProtection="1">
      <alignment horizontal="center" vertical="top" wrapText="1"/>
      <protection hidden="1"/>
    </xf>
    <xf numFmtId="9" fontId="1" fillId="0" borderId="8" xfId="0" applyNumberFormat="1" applyFont="1" applyBorder="1" applyAlignment="1" applyProtection="1">
      <alignment horizontal="center" vertical="top" wrapText="1"/>
      <protection hidden="1"/>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85" xfId="0" applyFont="1" applyFill="1" applyBorder="1" applyAlignment="1">
      <alignment horizontal="center" vertical="center"/>
    </xf>
    <xf numFmtId="0" fontId="4" fillId="2" borderId="88"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89" xfId="0" applyFont="1" applyFill="1" applyBorder="1" applyAlignment="1">
      <alignment horizontal="center" vertical="center" textRotation="90" wrapText="1"/>
    </xf>
    <xf numFmtId="0" fontId="4" fillId="2" borderId="90" xfId="0" applyFont="1" applyFill="1" applyBorder="1" applyAlignment="1">
      <alignment horizontal="center" vertical="center" textRotation="90" wrapText="1"/>
    </xf>
    <xf numFmtId="0" fontId="4" fillId="2" borderId="2" xfId="0" applyFont="1" applyFill="1" applyBorder="1" applyAlignment="1">
      <alignment horizontal="center" vertical="center" textRotation="90"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4"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2" borderId="4" xfId="0" applyFont="1" applyFill="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1" fillId="3" borderId="0" xfId="0" applyFont="1" applyFill="1" applyAlignment="1">
      <alignment horizontal="left" vertical="center"/>
    </xf>
    <xf numFmtId="0" fontId="4" fillId="2" borderId="33"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84"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85"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87" xfId="0" applyFont="1" applyFill="1" applyBorder="1" applyAlignment="1">
      <alignment horizontal="center" vertical="center" wrapText="1"/>
    </xf>
    <xf numFmtId="0" fontId="27" fillId="2" borderId="8" xfId="0" applyFont="1" applyFill="1" applyBorder="1" applyAlignment="1">
      <alignment horizontal="center" vertical="center" textRotation="90"/>
    </xf>
    <xf numFmtId="0" fontId="27" fillId="2" borderId="5" xfId="0" applyFont="1" applyFill="1" applyBorder="1" applyAlignment="1">
      <alignment horizontal="center" vertical="center" textRotation="90"/>
    </xf>
    <xf numFmtId="0" fontId="1" fillId="0" borderId="4" xfId="0" applyFont="1" applyBorder="1" applyAlignment="1">
      <alignment horizontal="center" vertical="top"/>
    </xf>
    <xf numFmtId="0" fontId="1" fillId="0" borderId="8" xfId="0" applyFont="1" applyBorder="1" applyAlignment="1">
      <alignment horizontal="center" vertical="top"/>
    </xf>
    <xf numFmtId="0" fontId="1" fillId="0" borderId="4"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4" xfId="0" applyFont="1" applyBorder="1" applyAlignment="1">
      <alignment horizontal="center" vertical="top" wrapText="1"/>
    </xf>
    <xf numFmtId="0" fontId="1" fillId="0" borderId="8" xfId="0" applyFont="1" applyBorder="1" applyAlignment="1">
      <alignment horizontal="center" vertical="top" wrapText="1"/>
    </xf>
    <xf numFmtId="0" fontId="2" fillId="0" borderId="4" xfId="0" applyFont="1" applyBorder="1" applyAlignment="1" applyProtection="1">
      <alignment horizontal="center" vertical="top" wrapText="1"/>
      <protection locked="0"/>
    </xf>
    <xf numFmtId="0" fontId="2" fillId="0" borderId="8" xfId="0" applyFont="1" applyBorder="1" applyAlignment="1" applyProtection="1">
      <alignment horizontal="center" vertical="top" wrapText="1"/>
      <protection locked="0"/>
    </xf>
    <xf numFmtId="0" fontId="4" fillId="0" borderId="4" xfId="0" applyFont="1" applyBorder="1" applyAlignment="1" applyProtection="1">
      <alignment horizontal="center" vertical="top"/>
      <protection hidden="1"/>
    </xf>
    <xf numFmtId="0" fontId="4" fillId="0" borderId="8" xfId="0" applyFont="1" applyBorder="1" applyAlignment="1" applyProtection="1">
      <alignment horizontal="center" vertical="top"/>
      <protection hidden="1"/>
    </xf>
    <xf numFmtId="9" fontId="1" fillId="0" borderId="4" xfId="0" applyNumberFormat="1" applyFont="1" applyBorder="1" applyAlignment="1" applyProtection="1">
      <alignment horizontal="center" vertical="top" wrapText="1"/>
      <protection locked="0"/>
    </xf>
    <xf numFmtId="9" fontId="1" fillId="0" borderId="8" xfId="0" applyNumberFormat="1" applyFont="1" applyBorder="1" applyAlignment="1" applyProtection="1">
      <alignment horizontal="center" vertical="top" wrapText="1"/>
      <protection locked="0"/>
    </xf>
    <xf numFmtId="0" fontId="1" fillId="0" borderId="4" xfId="0" applyFont="1" applyBorder="1" applyAlignment="1" applyProtection="1">
      <alignment horizontal="center" vertical="top"/>
      <protection locked="0"/>
    </xf>
    <xf numFmtId="0" fontId="1" fillId="0" borderId="8" xfId="0" applyFont="1" applyBorder="1" applyAlignment="1" applyProtection="1">
      <alignment horizontal="center" vertical="top"/>
      <protection locked="0"/>
    </xf>
    <xf numFmtId="0" fontId="2" fillId="0" borderId="5" xfId="0" applyFont="1" applyBorder="1" applyAlignment="1" applyProtection="1">
      <alignment horizontal="center" vertical="top" wrapText="1"/>
      <protection locked="0"/>
    </xf>
    <xf numFmtId="0" fontId="1" fillId="0" borderId="5" xfId="0" applyFont="1" applyBorder="1" applyAlignment="1">
      <alignment horizontal="center" vertical="top"/>
    </xf>
    <xf numFmtId="0" fontId="1" fillId="0" borderId="5" xfId="0" applyFont="1" applyBorder="1" applyAlignment="1" applyProtection="1">
      <alignment horizontal="center" vertical="top" wrapText="1"/>
      <protection locked="0"/>
    </xf>
    <xf numFmtId="9" fontId="1" fillId="0" borderId="5" xfId="0" applyNumberFormat="1" applyFont="1" applyBorder="1" applyAlignment="1" applyProtection="1">
      <alignment horizontal="center" vertical="top" wrapText="1"/>
      <protection hidden="1"/>
    </xf>
    <xf numFmtId="0" fontId="4" fillId="0" borderId="5" xfId="0" applyFont="1" applyBorder="1" applyAlignment="1" applyProtection="1">
      <alignment horizontal="center" vertical="top"/>
      <protection hidden="1"/>
    </xf>
    <xf numFmtId="9" fontId="1" fillId="0" borderId="5" xfId="0" applyNumberFormat="1"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hidden="1"/>
    </xf>
    <xf numFmtId="0" fontId="1" fillId="0" borderId="5" xfId="0" applyFont="1" applyBorder="1" applyAlignment="1" applyProtection="1">
      <alignment horizontal="center" vertical="top"/>
      <protection locked="0"/>
    </xf>
    <xf numFmtId="0" fontId="4" fillId="2" borderId="31" xfId="0" applyFont="1" applyFill="1" applyBorder="1" applyAlignment="1">
      <alignment horizontal="center" vertical="center"/>
    </xf>
    <xf numFmtId="0" fontId="4" fillId="2" borderId="32" xfId="0" applyFont="1" applyFill="1" applyBorder="1" applyAlignment="1">
      <alignment horizontal="center" vertical="center"/>
    </xf>
    <xf numFmtId="0" fontId="1" fillId="0" borderId="6" xfId="0" applyFont="1" applyBorder="1" applyAlignment="1">
      <alignment horizontal="left" vertical="center" wrapText="1"/>
    </xf>
    <xf numFmtId="0" fontId="1" fillId="0" borderId="10" xfId="0" applyFont="1" applyBorder="1" applyAlignment="1">
      <alignment horizontal="left" vertical="center" wrapText="1"/>
    </xf>
    <xf numFmtId="0" fontId="1" fillId="0" borderId="7" xfId="0" applyFont="1" applyBorder="1" applyAlignment="1">
      <alignment horizontal="left" vertical="center" wrapText="1"/>
    </xf>
    <xf numFmtId="0" fontId="8" fillId="3" borderId="78" xfId="0" applyFont="1" applyFill="1" applyBorder="1" applyAlignment="1" applyProtection="1">
      <alignment horizontal="left" vertical="center"/>
      <protection locked="0"/>
    </xf>
    <xf numFmtId="0" fontId="8" fillId="3" borderId="79" xfId="0" applyFont="1" applyFill="1" applyBorder="1" applyAlignment="1" applyProtection="1">
      <alignment horizontal="left" vertical="center"/>
      <protection locked="0"/>
    </xf>
    <xf numFmtId="0" fontId="8" fillId="3" borderId="80" xfId="0" applyFont="1" applyFill="1" applyBorder="1" applyAlignment="1" applyProtection="1">
      <alignment horizontal="left" vertical="center"/>
      <protection locked="0"/>
    </xf>
    <xf numFmtId="0" fontId="8" fillId="3" borderId="6" xfId="0" applyFont="1" applyFill="1" applyBorder="1" applyAlignment="1" applyProtection="1">
      <alignment horizontal="left" vertical="center" wrapText="1"/>
      <protection locked="0"/>
    </xf>
    <xf numFmtId="0" fontId="8" fillId="3" borderId="10"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wrapText="1"/>
      <protection locked="0"/>
    </xf>
    <xf numFmtId="0" fontId="59" fillId="3" borderId="81" xfId="0" applyFont="1" applyFill="1" applyBorder="1" applyAlignment="1">
      <alignment horizontal="left" vertical="center" wrapText="1"/>
    </xf>
    <xf numFmtId="0" fontId="59" fillId="3" borderId="82" xfId="0" applyFont="1" applyFill="1" applyBorder="1" applyAlignment="1">
      <alignment horizontal="left" vertical="center"/>
    </xf>
    <xf numFmtId="0" fontId="59" fillId="3" borderId="83" xfId="0" applyFont="1" applyFill="1" applyBorder="1" applyAlignment="1">
      <alignment horizontal="left" vertical="center"/>
    </xf>
    <xf numFmtId="0" fontId="26" fillId="3" borderId="33" xfId="0" applyFont="1" applyFill="1" applyBorder="1" applyAlignment="1">
      <alignment horizontal="center" vertical="center"/>
    </xf>
    <xf numFmtId="0" fontId="26" fillId="3" borderId="33" xfId="0" applyFont="1" applyFill="1" applyBorder="1" applyAlignment="1">
      <alignment horizontal="center" vertical="center" wrapText="1"/>
    </xf>
    <xf numFmtId="0" fontId="8" fillId="3" borderId="76" xfId="0" applyFont="1" applyFill="1" applyBorder="1" applyAlignment="1">
      <alignment horizontal="left"/>
    </xf>
    <xf numFmtId="0" fontId="8" fillId="3" borderId="77" xfId="0" applyFont="1" applyFill="1" applyBorder="1" applyAlignment="1">
      <alignment horizontal="left"/>
    </xf>
    <xf numFmtId="0" fontId="8" fillId="3" borderId="75" xfId="0" applyFont="1" applyFill="1" applyBorder="1" applyAlignment="1">
      <alignment horizontal="left"/>
    </xf>
    <xf numFmtId="0" fontId="27" fillId="3" borderId="76" xfId="0" applyFont="1" applyFill="1" applyBorder="1" applyAlignment="1">
      <alignment horizontal="left" vertical="center"/>
    </xf>
    <xf numFmtId="0" fontId="27" fillId="3" borderId="77" xfId="0" applyFont="1" applyFill="1" applyBorder="1" applyAlignment="1">
      <alignment horizontal="left" vertical="center"/>
    </xf>
    <xf numFmtId="0" fontId="27" fillId="3" borderId="75" xfId="0" applyFont="1" applyFill="1" applyBorder="1" applyAlignment="1">
      <alignment horizontal="left" vertical="center"/>
    </xf>
    <xf numFmtId="0" fontId="60" fillId="3" borderId="76" xfId="0" applyFont="1" applyFill="1" applyBorder="1" applyAlignment="1">
      <alignment horizontal="left"/>
    </xf>
    <xf numFmtId="0" fontId="60" fillId="3" borderId="77" xfId="0" applyFont="1" applyFill="1" applyBorder="1" applyAlignment="1">
      <alignment horizontal="left"/>
    </xf>
    <xf numFmtId="0" fontId="60" fillId="3" borderId="75" xfId="0" applyFont="1" applyFill="1" applyBorder="1" applyAlignment="1">
      <alignment horizontal="left"/>
    </xf>
    <xf numFmtId="0" fontId="25" fillId="2" borderId="3" xfId="0" applyFont="1" applyFill="1" applyBorder="1" applyAlignment="1">
      <alignment horizontal="left" vertical="center"/>
    </xf>
    <xf numFmtId="0" fontId="25" fillId="2" borderId="31" xfId="0" applyFont="1" applyFill="1" applyBorder="1" applyAlignment="1">
      <alignment horizontal="left" vertical="center"/>
    </xf>
    <xf numFmtId="0" fontId="25" fillId="2" borderId="32" xfId="0" applyFont="1" applyFill="1" applyBorder="1" applyAlignment="1">
      <alignment horizontal="left" vertical="center"/>
    </xf>
    <xf numFmtId="0" fontId="25" fillId="2" borderId="6"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7" xfId="0" applyFont="1" applyFill="1" applyBorder="1" applyAlignment="1">
      <alignment horizontal="left" vertical="center"/>
    </xf>
    <xf numFmtId="0" fontId="25" fillId="2" borderId="28" xfId="0" applyFont="1" applyFill="1" applyBorder="1" applyAlignment="1">
      <alignment horizontal="left" vertical="center"/>
    </xf>
    <xf numFmtId="0" fontId="25" fillId="2" borderId="29" xfId="0" applyFont="1" applyFill="1" applyBorder="1" applyAlignment="1">
      <alignment horizontal="left" vertical="center"/>
    </xf>
    <xf numFmtId="0" fontId="25" fillId="2" borderId="30" xfId="0" applyFont="1" applyFill="1" applyBorder="1" applyAlignment="1">
      <alignment horizontal="left" vertical="center"/>
    </xf>
    <xf numFmtId="0" fontId="51" fillId="14" borderId="48" xfId="2" applyFont="1" applyFill="1" applyBorder="1" applyAlignment="1">
      <alignment horizontal="center" vertical="center" wrapText="1"/>
    </xf>
    <xf numFmtId="0" fontId="51" fillId="14" borderId="49" xfId="2" applyFont="1" applyFill="1" applyBorder="1" applyAlignment="1">
      <alignment horizontal="center" vertical="center" wrapText="1"/>
    </xf>
    <xf numFmtId="0" fontId="51" fillId="14" borderId="50" xfId="2" applyFont="1" applyFill="1" applyBorder="1" applyAlignment="1">
      <alignment horizontal="center" vertical="center" wrapText="1"/>
    </xf>
    <xf numFmtId="0" fontId="50" fillId="0" borderId="14" xfId="2" quotePrefix="1" applyFont="1" applyBorder="1" applyAlignment="1">
      <alignment horizontal="left" vertical="center" wrapText="1"/>
    </xf>
    <xf numFmtId="0" fontId="50" fillId="0" borderId="0" xfId="2" quotePrefix="1" applyFont="1" applyAlignment="1">
      <alignment horizontal="left" vertical="center" wrapText="1"/>
    </xf>
    <xf numFmtId="0" fontId="50" fillId="0" borderId="15" xfId="2" quotePrefix="1" applyFont="1" applyBorder="1" applyAlignment="1">
      <alignment horizontal="left" vertical="center" wrapText="1"/>
    </xf>
    <xf numFmtId="0" fontId="50" fillId="0" borderId="68" xfId="2" quotePrefix="1" applyFont="1" applyBorder="1" applyAlignment="1">
      <alignment horizontal="left" vertical="center" wrapText="1"/>
    </xf>
    <xf numFmtId="0" fontId="50" fillId="0" borderId="69" xfId="2" quotePrefix="1" applyFont="1" applyBorder="1" applyAlignment="1">
      <alignment horizontal="left" vertical="center" wrapText="1"/>
    </xf>
    <xf numFmtId="0" fontId="50" fillId="0" borderId="70" xfId="2" quotePrefix="1" applyFont="1" applyBorder="1" applyAlignment="1">
      <alignment horizontal="left" vertical="center" wrapText="1"/>
    </xf>
    <xf numFmtId="0" fontId="52" fillId="3" borderId="51" xfId="2" quotePrefix="1" applyFont="1" applyFill="1" applyBorder="1" applyAlignment="1">
      <alignment horizontal="left" vertical="top" wrapText="1"/>
    </xf>
    <xf numFmtId="0" fontId="53" fillId="3" borderId="52" xfId="2" quotePrefix="1" applyFont="1" applyFill="1" applyBorder="1" applyAlignment="1">
      <alignment horizontal="left" vertical="top" wrapText="1"/>
    </xf>
    <xf numFmtId="0" fontId="53" fillId="3" borderId="53" xfId="2" quotePrefix="1" applyFont="1" applyFill="1" applyBorder="1" applyAlignment="1">
      <alignment horizontal="left" vertical="top" wrapText="1"/>
    </xf>
    <xf numFmtId="0" fontId="50" fillId="0" borderId="14" xfId="2" quotePrefix="1" applyFont="1" applyBorder="1" applyAlignment="1">
      <alignment horizontal="left" vertical="top" wrapText="1"/>
    </xf>
    <xf numFmtId="0" fontId="50" fillId="0" borderId="0" xfId="2" quotePrefix="1" applyFont="1" applyAlignment="1">
      <alignment horizontal="left" vertical="top" wrapText="1"/>
    </xf>
    <xf numFmtId="0" fontId="50" fillId="0" borderId="15" xfId="2" quotePrefix="1" applyFont="1" applyBorder="1" applyAlignment="1">
      <alignment horizontal="left" vertical="top" wrapText="1"/>
    </xf>
    <xf numFmtId="0" fontId="55" fillId="14" borderId="54" xfId="3" applyFont="1" applyFill="1" applyBorder="1" applyAlignment="1">
      <alignment horizontal="center" vertical="center" wrapText="1"/>
    </xf>
    <xf numFmtId="0" fontId="55" fillId="14" borderId="55" xfId="3" applyFont="1" applyFill="1" applyBorder="1" applyAlignment="1">
      <alignment horizontal="center" vertical="center" wrapText="1"/>
    </xf>
    <xf numFmtId="0" fontId="55" fillId="14" borderId="56" xfId="2" applyFont="1" applyFill="1" applyBorder="1" applyAlignment="1">
      <alignment horizontal="center" vertical="center"/>
    </xf>
    <xf numFmtId="0" fontId="55" fillId="14" borderId="57" xfId="2" applyFont="1" applyFill="1" applyBorder="1" applyAlignment="1">
      <alignment horizontal="center" vertical="center"/>
    </xf>
    <xf numFmtId="0" fontId="2" fillId="3" borderId="68" xfId="2" quotePrefix="1" applyFont="1" applyFill="1" applyBorder="1" applyAlignment="1">
      <alignment horizontal="justify" vertical="center" wrapText="1"/>
    </xf>
    <xf numFmtId="0" fontId="2" fillId="3" borderId="69" xfId="2" quotePrefix="1" applyFont="1" applyFill="1" applyBorder="1" applyAlignment="1">
      <alignment horizontal="justify" vertical="center" wrapText="1"/>
    </xf>
    <xf numFmtId="0" fontId="2" fillId="3" borderId="70" xfId="2" quotePrefix="1" applyFont="1" applyFill="1" applyBorder="1" applyAlignment="1">
      <alignment horizontal="justify" vertical="center" wrapText="1"/>
    </xf>
    <xf numFmtId="0" fontId="55" fillId="3" borderId="58" xfId="3" applyFont="1" applyFill="1" applyBorder="1" applyAlignment="1">
      <alignment horizontal="left" vertical="top" wrapText="1" readingOrder="1"/>
    </xf>
    <xf numFmtId="0" fontId="55" fillId="3" borderId="59" xfId="3" applyFont="1" applyFill="1" applyBorder="1" applyAlignment="1">
      <alignment horizontal="left" vertical="top" wrapText="1" readingOrder="1"/>
    </xf>
    <xf numFmtId="0" fontId="56" fillId="3" borderId="60" xfId="2" applyFont="1" applyFill="1" applyBorder="1" applyAlignment="1">
      <alignment horizontal="justify" vertical="center" wrapText="1"/>
    </xf>
    <xf numFmtId="0" fontId="56" fillId="3" borderId="61" xfId="2" applyFont="1" applyFill="1" applyBorder="1" applyAlignment="1">
      <alignment horizontal="justify" vertical="center" wrapText="1"/>
    </xf>
    <xf numFmtId="0" fontId="55" fillId="3" borderId="62" xfId="0" applyFont="1" applyFill="1" applyBorder="1" applyAlignment="1">
      <alignment horizontal="left" vertical="center" wrapText="1"/>
    </xf>
    <xf numFmtId="0" fontId="55" fillId="3" borderId="63" xfId="0" applyFont="1" applyFill="1" applyBorder="1" applyAlignment="1">
      <alignment horizontal="left" vertical="center" wrapText="1"/>
    </xf>
    <xf numFmtId="0" fontId="56" fillId="3" borderId="64" xfId="2" applyFont="1" applyFill="1" applyBorder="1" applyAlignment="1">
      <alignment horizontal="justify" vertical="center" wrapText="1"/>
    </xf>
    <xf numFmtId="0" fontId="56" fillId="3" borderId="65" xfId="2" applyFont="1" applyFill="1" applyBorder="1" applyAlignment="1">
      <alignment horizontal="justify" vertical="center" wrapText="1"/>
    </xf>
    <xf numFmtId="0" fontId="50" fillId="3" borderId="14" xfId="2" applyFont="1" applyFill="1" applyBorder="1" applyAlignment="1">
      <alignment horizontal="left" vertical="top" wrapText="1"/>
    </xf>
    <xf numFmtId="0" fontId="50" fillId="3" borderId="0" xfId="2" applyFont="1" applyFill="1" applyAlignment="1">
      <alignment horizontal="left" vertical="top" wrapText="1"/>
    </xf>
    <xf numFmtId="0" fontId="50" fillId="3" borderId="15" xfId="2" applyFont="1" applyFill="1" applyBorder="1" applyAlignment="1">
      <alignment horizontal="left" vertical="top" wrapText="1"/>
    </xf>
    <xf numFmtId="0" fontId="55" fillId="3" borderId="71" xfId="0" applyFont="1" applyFill="1" applyBorder="1" applyAlignment="1">
      <alignment horizontal="left" vertical="center" wrapText="1"/>
    </xf>
    <xf numFmtId="0" fontId="55" fillId="3" borderId="72" xfId="0" applyFont="1" applyFill="1" applyBorder="1" applyAlignment="1">
      <alignment horizontal="left" vertical="center" wrapText="1"/>
    </xf>
    <xf numFmtId="0" fontId="55" fillId="3" borderId="73" xfId="0" applyFont="1" applyFill="1" applyBorder="1" applyAlignment="1">
      <alignment horizontal="left" vertical="center" wrapText="1"/>
    </xf>
    <xf numFmtId="0" fontId="55" fillId="3" borderId="74" xfId="0" applyFont="1" applyFill="1" applyBorder="1" applyAlignment="1">
      <alignment horizontal="left" vertical="center" wrapText="1"/>
    </xf>
    <xf numFmtId="0" fontId="56" fillId="3" borderId="66" xfId="0" applyFont="1" applyFill="1" applyBorder="1" applyAlignment="1">
      <alignment horizontal="justify" vertical="center" wrapText="1"/>
    </xf>
    <xf numFmtId="0" fontId="56" fillId="3" borderId="67" xfId="0" applyFont="1" applyFill="1" applyBorder="1" applyAlignment="1">
      <alignment horizontal="justify" vertical="center" wrapText="1"/>
    </xf>
    <xf numFmtId="0" fontId="26" fillId="0" borderId="0" xfId="0" applyFont="1" applyAlignment="1">
      <alignment horizontal="center" vertical="center" wrapText="1"/>
    </xf>
    <xf numFmtId="0" fontId="21" fillId="5" borderId="14" xfId="0" applyFont="1" applyFill="1" applyBorder="1" applyAlignment="1" applyProtection="1">
      <alignment horizontal="center" wrapText="1" readingOrder="1"/>
      <protection hidden="1"/>
    </xf>
    <xf numFmtId="0" fontId="21" fillId="5" borderId="0" xfId="0" applyFont="1" applyFill="1" applyAlignment="1" applyProtection="1">
      <alignment horizontal="center" wrapText="1" readingOrder="1"/>
      <protection hidden="1"/>
    </xf>
    <xf numFmtId="0" fontId="21" fillId="5" borderId="15" xfId="0" applyFont="1" applyFill="1" applyBorder="1" applyAlignment="1" applyProtection="1">
      <alignment horizontal="center" wrapText="1" readingOrder="1"/>
      <protection hidden="1"/>
    </xf>
    <xf numFmtId="0" fontId="21" fillId="5" borderId="16" xfId="0" applyFont="1" applyFill="1" applyBorder="1" applyAlignment="1" applyProtection="1">
      <alignment horizontal="center" wrapText="1" readingOrder="1"/>
      <protection hidden="1"/>
    </xf>
    <xf numFmtId="0" fontId="21" fillId="5" borderId="18" xfId="0" applyFont="1" applyFill="1" applyBorder="1" applyAlignment="1" applyProtection="1">
      <alignment horizontal="center" wrapText="1" readingOrder="1"/>
      <protection hidden="1"/>
    </xf>
    <xf numFmtId="0" fontId="21" fillId="5" borderId="17" xfId="0" applyFont="1" applyFill="1" applyBorder="1" applyAlignment="1" applyProtection="1">
      <alignment horizontal="center" wrapText="1" readingOrder="1"/>
      <protection hidden="1"/>
    </xf>
    <xf numFmtId="0" fontId="21" fillId="5" borderId="12" xfId="0" applyFont="1" applyFill="1" applyBorder="1" applyAlignment="1" applyProtection="1">
      <alignment horizontal="center" wrapText="1" readingOrder="1"/>
      <protection hidden="1"/>
    </xf>
    <xf numFmtId="0" fontId="21" fillId="5" borderId="19" xfId="0" applyFont="1" applyFill="1" applyBorder="1" applyAlignment="1" applyProtection="1">
      <alignment horizontal="center" wrapText="1" readingOrder="1"/>
      <protection hidden="1"/>
    </xf>
    <xf numFmtId="0" fontId="21" fillId="5" borderId="13" xfId="0" applyFont="1" applyFill="1" applyBorder="1" applyAlignment="1" applyProtection="1">
      <alignment horizontal="center" wrapText="1" readingOrder="1"/>
      <protection hidden="1"/>
    </xf>
    <xf numFmtId="0" fontId="21" fillId="13" borderId="14" xfId="0" applyFont="1" applyFill="1" applyBorder="1" applyAlignment="1" applyProtection="1">
      <alignment horizontal="center" wrapText="1" readingOrder="1"/>
      <protection hidden="1"/>
    </xf>
    <xf numFmtId="0" fontId="21" fillId="13" borderId="0" xfId="0" applyFont="1" applyFill="1" applyAlignment="1" applyProtection="1">
      <alignment horizontal="center" wrapText="1" readingOrder="1"/>
      <protection hidden="1"/>
    </xf>
    <xf numFmtId="0" fontId="21" fillId="13" borderId="15" xfId="0" applyFont="1" applyFill="1" applyBorder="1" applyAlignment="1" applyProtection="1">
      <alignment horizontal="center" wrapText="1" readingOrder="1"/>
      <protection hidden="1"/>
    </xf>
    <xf numFmtId="0" fontId="21" fillId="13" borderId="16" xfId="0" applyFont="1" applyFill="1" applyBorder="1" applyAlignment="1" applyProtection="1">
      <alignment horizontal="center" wrapText="1" readingOrder="1"/>
      <protection hidden="1"/>
    </xf>
    <xf numFmtId="0" fontId="21" fillId="13" borderId="18" xfId="0" applyFont="1" applyFill="1" applyBorder="1" applyAlignment="1" applyProtection="1">
      <alignment horizontal="center" wrapText="1" readingOrder="1"/>
      <protection hidden="1"/>
    </xf>
    <xf numFmtId="0" fontId="21" fillId="13" borderId="17" xfId="0" applyFont="1" applyFill="1" applyBorder="1" applyAlignment="1" applyProtection="1">
      <alignment horizontal="center" wrapText="1" readingOrder="1"/>
      <protection hidden="1"/>
    </xf>
    <xf numFmtId="0" fontId="21" fillId="13" borderId="12" xfId="0" applyFont="1" applyFill="1" applyBorder="1" applyAlignment="1" applyProtection="1">
      <alignment horizontal="center" wrapText="1" readingOrder="1"/>
      <protection hidden="1"/>
    </xf>
    <xf numFmtId="0" fontId="21" fillId="13" borderId="19" xfId="0" applyFont="1" applyFill="1" applyBorder="1" applyAlignment="1" applyProtection="1">
      <alignment horizontal="center" wrapText="1" readingOrder="1"/>
      <protection hidden="1"/>
    </xf>
    <xf numFmtId="0" fontId="21" fillId="13" borderId="13" xfId="0" applyFont="1" applyFill="1" applyBorder="1" applyAlignment="1" applyProtection="1">
      <alignment horizontal="center" wrapText="1" readingOrder="1"/>
      <protection hidden="1"/>
    </xf>
    <xf numFmtId="0" fontId="21" fillId="12" borderId="14" xfId="0" applyFont="1" applyFill="1" applyBorder="1" applyAlignment="1" applyProtection="1">
      <alignment horizontal="center" wrapText="1" readingOrder="1"/>
      <protection hidden="1"/>
    </xf>
    <xf numFmtId="0" fontId="21" fillId="12" borderId="0" xfId="0" applyFont="1" applyFill="1" applyAlignment="1" applyProtection="1">
      <alignment horizontal="center" wrapText="1" readingOrder="1"/>
      <protection hidden="1"/>
    </xf>
    <xf numFmtId="0" fontId="21" fillId="12" borderId="15" xfId="0" applyFont="1" applyFill="1" applyBorder="1" applyAlignment="1" applyProtection="1">
      <alignment horizontal="center" wrapText="1" readingOrder="1"/>
      <protection hidden="1"/>
    </xf>
    <xf numFmtId="0" fontId="21" fillId="12" borderId="16" xfId="0" applyFont="1" applyFill="1" applyBorder="1" applyAlignment="1" applyProtection="1">
      <alignment horizontal="center" wrapText="1" readingOrder="1"/>
      <protection hidden="1"/>
    </xf>
    <xf numFmtId="0" fontId="21" fillId="12" borderId="18" xfId="0" applyFont="1" applyFill="1" applyBorder="1" applyAlignment="1" applyProtection="1">
      <alignment horizontal="center" wrapText="1" readingOrder="1"/>
      <protection hidden="1"/>
    </xf>
    <xf numFmtId="0" fontId="21" fillId="12" borderId="17" xfId="0" applyFont="1" applyFill="1" applyBorder="1" applyAlignment="1" applyProtection="1">
      <alignment horizontal="center" wrapText="1" readingOrder="1"/>
      <protection hidden="1"/>
    </xf>
    <xf numFmtId="0" fontId="21" fillId="12" borderId="12" xfId="0" applyFont="1" applyFill="1" applyBorder="1" applyAlignment="1" applyProtection="1">
      <alignment horizontal="center" wrapText="1" readingOrder="1"/>
      <protection hidden="1"/>
    </xf>
    <xf numFmtId="0" fontId="21" fillId="12" borderId="19" xfId="0" applyFont="1" applyFill="1" applyBorder="1" applyAlignment="1" applyProtection="1">
      <alignment horizontal="center" wrapText="1" readingOrder="1"/>
      <protection hidden="1"/>
    </xf>
    <xf numFmtId="0" fontId="21" fillId="12" borderId="13" xfId="0" applyFont="1" applyFill="1" applyBorder="1" applyAlignment="1" applyProtection="1">
      <alignment horizontal="center" wrapText="1" readingOrder="1"/>
      <protection hidden="1"/>
    </xf>
    <xf numFmtId="0" fontId="21" fillId="11" borderId="14" xfId="0" applyFont="1" applyFill="1" applyBorder="1" applyAlignment="1" applyProtection="1">
      <alignment horizontal="center" vertical="center" wrapText="1" readingOrder="1"/>
      <protection hidden="1"/>
    </xf>
    <xf numFmtId="0" fontId="21" fillId="11" borderId="0" xfId="0" applyFont="1" applyFill="1" applyAlignment="1" applyProtection="1">
      <alignment horizontal="center" vertical="center" wrapText="1" readingOrder="1"/>
      <protection hidden="1"/>
    </xf>
    <xf numFmtId="0" fontId="21" fillId="11" borderId="15" xfId="0" applyFont="1" applyFill="1" applyBorder="1" applyAlignment="1" applyProtection="1">
      <alignment horizontal="center" vertical="center" wrapText="1" readingOrder="1"/>
      <protection hidden="1"/>
    </xf>
    <xf numFmtId="0" fontId="21" fillId="11" borderId="16" xfId="0" applyFont="1" applyFill="1" applyBorder="1" applyAlignment="1" applyProtection="1">
      <alignment horizontal="center" vertical="center" wrapText="1" readingOrder="1"/>
      <protection hidden="1"/>
    </xf>
    <xf numFmtId="0" fontId="21" fillId="11" borderId="18" xfId="0" applyFont="1" applyFill="1" applyBorder="1" applyAlignment="1" applyProtection="1">
      <alignment horizontal="center" vertical="center" wrapText="1" readingOrder="1"/>
      <protection hidden="1"/>
    </xf>
    <xf numFmtId="0" fontId="21" fillId="11" borderId="17" xfId="0" applyFont="1" applyFill="1" applyBorder="1" applyAlignment="1" applyProtection="1">
      <alignment horizontal="center" vertical="center" wrapText="1" readingOrder="1"/>
      <protection hidden="1"/>
    </xf>
    <xf numFmtId="0" fontId="21" fillId="11" borderId="12" xfId="0" applyFont="1" applyFill="1" applyBorder="1" applyAlignment="1" applyProtection="1">
      <alignment horizontal="center" vertical="center" wrapText="1" readingOrder="1"/>
      <protection hidden="1"/>
    </xf>
    <xf numFmtId="0" fontId="21" fillId="11" borderId="19" xfId="0" applyFont="1" applyFill="1" applyBorder="1" applyAlignment="1" applyProtection="1">
      <alignment horizontal="center" vertical="center" wrapText="1" readingOrder="1"/>
      <protection hidden="1"/>
    </xf>
    <xf numFmtId="0" fontId="21" fillId="11" borderId="13" xfId="0" applyFont="1" applyFill="1" applyBorder="1" applyAlignment="1" applyProtection="1">
      <alignment horizontal="center" vertical="center" wrapText="1" readingOrder="1"/>
      <protection hidden="1"/>
    </xf>
    <xf numFmtId="0" fontId="19" fillId="10" borderId="0" xfId="0" applyFont="1" applyFill="1" applyAlignment="1">
      <alignment horizontal="center" vertical="center" wrapText="1" readingOrder="1"/>
    </xf>
    <xf numFmtId="0" fontId="18" fillId="0" borderId="12" xfId="0" applyFont="1" applyBorder="1" applyAlignment="1">
      <alignment horizontal="center" vertical="center" wrapText="1"/>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16" xfId="0" applyFont="1" applyBorder="1" applyAlignment="1">
      <alignment horizontal="center" vertical="center"/>
    </xf>
    <xf numFmtId="0" fontId="18" fillId="0" borderId="18"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wrapText="1"/>
    </xf>
    <xf numFmtId="0" fontId="19" fillId="10" borderId="0" xfId="0" applyFont="1" applyFill="1" applyAlignment="1">
      <alignment horizontal="center" vertical="center" textRotation="90" wrapText="1" readingOrder="1"/>
    </xf>
    <xf numFmtId="0" fontId="19" fillId="10" borderId="15" xfId="0" applyFont="1" applyFill="1" applyBorder="1" applyAlignment="1">
      <alignment horizontal="center" vertical="center" textRotation="90" wrapText="1" readingOrder="1"/>
    </xf>
    <xf numFmtId="0" fontId="22" fillId="12" borderId="20" xfId="0" applyFont="1" applyFill="1" applyBorder="1" applyAlignment="1">
      <alignment horizontal="center" vertical="center" wrapText="1" readingOrder="1"/>
    </xf>
    <xf numFmtId="0" fontId="22" fillId="12" borderId="21" xfId="0" applyFont="1" applyFill="1" applyBorder="1" applyAlignment="1">
      <alignment horizontal="center" vertical="center" wrapText="1" readingOrder="1"/>
    </xf>
    <xf numFmtId="0" fontId="22" fillId="12" borderId="22" xfId="0" applyFont="1" applyFill="1" applyBorder="1" applyAlignment="1">
      <alignment horizontal="center" vertical="center" wrapText="1" readingOrder="1"/>
    </xf>
    <xf numFmtId="0" fontId="22" fillId="12" borderId="23" xfId="0" applyFont="1" applyFill="1" applyBorder="1" applyAlignment="1">
      <alignment horizontal="center" vertical="center" wrapText="1" readingOrder="1"/>
    </xf>
    <xf numFmtId="0" fontId="22" fillId="12" borderId="0" xfId="0" applyFont="1" applyFill="1" applyAlignment="1">
      <alignment horizontal="center" vertical="center" wrapText="1" readingOrder="1"/>
    </xf>
    <xf numFmtId="0" fontId="22" fillId="12" borderId="24" xfId="0" applyFont="1" applyFill="1" applyBorder="1" applyAlignment="1">
      <alignment horizontal="center" vertical="center" wrapText="1" readingOrder="1"/>
    </xf>
    <xf numFmtId="0" fontId="22" fillId="12" borderId="25" xfId="0" applyFont="1" applyFill="1" applyBorder="1" applyAlignment="1">
      <alignment horizontal="center" vertical="center" wrapText="1" readingOrder="1"/>
    </xf>
    <xf numFmtId="0" fontId="22" fillId="12" borderId="26" xfId="0" applyFont="1" applyFill="1" applyBorder="1" applyAlignment="1">
      <alignment horizontal="center" vertical="center" wrapText="1" readingOrder="1"/>
    </xf>
    <xf numFmtId="0" fontId="22" fillId="12" borderId="27" xfId="0" applyFont="1" applyFill="1" applyBorder="1" applyAlignment="1">
      <alignment horizontal="center" vertical="center" wrapText="1" readingOrder="1"/>
    </xf>
    <xf numFmtId="0" fontId="22" fillId="11" borderId="20" xfId="0" applyFont="1" applyFill="1" applyBorder="1" applyAlignment="1">
      <alignment horizontal="center" vertical="center" wrapText="1" readingOrder="1"/>
    </xf>
    <xf numFmtId="0" fontId="22" fillId="11" borderId="21" xfId="0" applyFont="1" applyFill="1" applyBorder="1" applyAlignment="1">
      <alignment horizontal="center" vertical="center" wrapText="1" readingOrder="1"/>
    </xf>
    <xf numFmtId="0" fontId="22" fillId="11" borderId="22" xfId="0" applyFont="1" applyFill="1" applyBorder="1" applyAlignment="1">
      <alignment horizontal="center" vertical="center" wrapText="1" readingOrder="1"/>
    </xf>
    <xf numFmtId="0" fontId="22" fillId="11" borderId="23" xfId="0" applyFont="1" applyFill="1" applyBorder="1" applyAlignment="1">
      <alignment horizontal="center" vertical="center" wrapText="1" readingOrder="1"/>
    </xf>
    <xf numFmtId="0" fontId="22" fillId="11" borderId="0" xfId="0" applyFont="1" applyFill="1" applyAlignment="1">
      <alignment horizontal="center" vertical="center" wrapText="1" readingOrder="1"/>
    </xf>
    <xf numFmtId="0" fontId="22" fillId="11" borderId="24" xfId="0" applyFont="1" applyFill="1" applyBorder="1" applyAlignment="1">
      <alignment horizontal="center" vertical="center" wrapText="1" readingOrder="1"/>
    </xf>
    <xf numFmtId="0" fontId="22" fillId="11" borderId="25" xfId="0" applyFont="1" applyFill="1" applyBorder="1" applyAlignment="1">
      <alignment horizontal="center" vertical="center" wrapText="1" readingOrder="1"/>
    </xf>
    <xf numFmtId="0" fontId="22" fillId="11" borderId="26" xfId="0" applyFont="1" applyFill="1" applyBorder="1" applyAlignment="1">
      <alignment horizontal="center" vertical="center" wrapText="1" readingOrder="1"/>
    </xf>
    <xf numFmtId="0" fontId="22" fillId="11" borderId="27" xfId="0" applyFont="1" applyFill="1" applyBorder="1" applyAlignment="1">
      <alignment horizontal="center" vertical="center" wrapText="1" readingOrder="1"/>
    </xf>
    <xf numFmtId="0" fontId="22" fillId="13" borderId="20" xfId="0" applyFont="1" applyFill="1" applyBorder="1" applyAlignment="1">
      <alignment horizontal="center" vertical="center" wrapText="1" readingOrder="1"/>
    </xf>
    <xf numFmtId="0" fontId="22" fillId="13" borderId="21" xfId="0" applyFont="1" applyFill="1" applyBorder="1" applyAlignment="1">
      <alignment horizontal="center" vertical="center" wrapText="1" readingOrder="1"/>
    </xf>
    <xf numFmtId="0" fontId="22" fillId="13" borderId="22" xfId="0" applyFont="1" applyFill="1" applyBorder="1" applyAlignment="1">
      <alignment horizontal="center" vertical="center" wrapText="1" readingOrder="1"/>
    </xf>
    <xf numFmtId="0" fontId="22" fillId="13" borderId="23" xfId="0" applyFont="1" applyFill="1" applyBorder="1" applyAlignment="1">
      <alignment horizontal="center" vertical="center" wrapText="1" readingOrder="1"/>
    </xf>
    <xf numFmtId="0" fontId="22" fillId="13" borderId="0" xfId="0" applyFont="1" applyFill="1" applyAlignment="1">
      <alignment horizontal="center" vertical="center" wrapText="1" readingOrder="1"/>
    </xf>
    <xf numFmtId="0" fontId="22" fillId="13" borderId="24" xfId="0" applyFont="1" applyFill="1" applyBorder="1" applyAlignment="1">
      <alignment horizontal="center" vertical="center" wrapText="1" readingOrder="1"/>
    </xf>
    <xf numFmtId="0" fontId="22" fillId="13" borderId="25" xfId="0" applyFont="1" applyFill="1" applyBorder="1" applyAlignment="1">
      <alignment horizontal="center" vertical="center" wrapText="1" readingOrder="1"/>
    </xf>
    <xf numFmtId="0" fontId="22" fillId="13" borderId="26" xfId="0" applyFont="1" applyFill="1" applyBorder="1" applyAlignment="1">
      <alignment horizontal="center" vertical="center" wrapText="1" readingOrder="1"/>
    </xf>
    <xf numFmtId="0" fontId="22" fillId="13" borderId="27" xfId="0" applyFont="1" applyFill="1" applyBorder="1" applyAlignment="1">
      <alignment horizontal="center" vertical="center" wrapText="1" readingOrder="1"/>
    </xf>
    <xf numFmtId="0" fontId="22" fillId="5" borderId="20" xfId="0" applyFont="1" applyFill="1" applyBorder="1" applyAlignment="1">
      <alignment horizontal="center" vertical="center" wrapText="1" readingOrder="1"/>
    </xf>
    <xf numFmtId="0" fontId="22" fillId="5" borderId="21" xfId="0" applyFont="1" applyFill="1" applyBorder="1" applyAlignment="1">
      <alignment horizontal="center" vertical="center" wrapText="1" readingOrder="1"/>
    </xf>
    <xf numFmtId="0" fontId="22" fillId="5" borderId="22" xfId="0" applyFont="1" applyFill="1" applyBorder="1" applyAlignment="1">
      <alignment horizontal="center" vertical="center" wrapText="1" readingOrder="1"/>
    </xf>
    <xf numFmtId="0" fontId="22" fillId="5" borderId="23" xfId="0" applyFont="1" applyFill="1" applyBorder="1" applyAlignment="1">
      <alignment horizontal="center" vertical="center" wrapText="1" readingOrder="1"/>
    </xf>
    <xf numFmtId="0" fontId="22" fillId="5" borderId="0" xfId="0" applyFont="1" applyFill="1" applyAlignment="1">
      <alignment horizontal="center" vertical="center" wrapText="1" readingOrder="1"/>
    </xf>
    <xf numFmtId="0" fontId="22" fillId="5" borderId="24" xfId="0" applyFont="1" applyFill="1" applyBorder="1" applyAlignment="1">
      <alignment horizontal="center" vertical="center" wrapText="1" readingOrder="1"/>
    </xf>
    <xf numFmtId="0" fontId="22" fillId="5" borderId="25" xfId="0" applyFont="1" applyFill="1" applyBorder="1" applyAlignment="1">
      <alignment horizontal="center" vertical="center" wrapText="1" readingOrder="1"/>
    </xf>
    <xf numFmtId="0" fontId="22" fillId="5" borderId="26" xfId="0" applyFont="1" applyFill="1" applyBorder="1" applyAlignment="1">
      <alignment horizontal="center" vertical="center" wrapText="1" readingOrder="1"/>
    </xf>
    <xf numFmtId="0" fontId="22" fillId="5" borderId="27" xfId="0" applyFont="1" applyFill="1" applyBorder="1" applyAlignment="1">
      <alignment horizontal="center" vertical="center" wrapText="1" readingOrder="1"/>
    </xf>
    <xf numFmtId="0" fontId="44" fillId="0" borderId="12" xfId="0" applyFont="1" applyBorder="1" applyAlignment="1">
      <alignment horizontal="center" vertical="center" wrapText="1"/>
    </xf>
    <xf numFmtId="0" fontId="44" fillId="0" borderId="19" xfId="0" applyFont="1" applyBorder="1" applyAlignment="1">
      <alignment horizontal="center" vertical="center"/>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44" fillId="0" borderId="0" xfId="0" applyFont="1" applyAlignment="1">
      <alignment horizontal="center" vertical="center"/>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7" xfId="0" applyFont="1" applyBorder="1" applyAlignment="1">
      <alignment horizontal="center" vertical="center"/>
    </xf>
    <xf numFmtId="0" fontId="44" fillId="0" borderId="19" xfId="0" applyFont="1" applyBorder="1" applyAlignment="1">
      <alignment horizontal="center" vertical="center" wrapText="1"/>
    </xf>
    <xf numFmtId="0" fontId="43" fillId="11" borderId="20" xfId="0" applyFont="1" applyFill="1" applyBorder="1" applyAlignment="1">
      <alignment horizontal="center" vertical="center" wrapText="1" readingOrder="1"/>
    </xf>
    <xf numFmtId="0" fontId="43" fillId="11" borderId="21" xfId="0" applyFont="1" applyFill="1" applyBorder="1" applyAlignment="1">
      <alignment horizontal="center" vertical="center" wrapText="1" readingOrder="1"/>
    </xf>
    <xf numFmtId="0" fontId="43" fillId="11" borderId="22" xfId="0" applyFont="1" applyFill="1" applyBorder="1" applyAlignment="1">
      <alignment horizontal="center" vertical="center" wrapText="1" readingOrder="1"/>
    </xf>
    <xf numFmtId="0" fontId="43" fillId="11" borderId="23" xfId="0" applyFont="1" applyFill="1" applyBorder="1" applyAlignment="1">
      <alignment horizontal="center" vertical="center" wrapText="1" readingOrder="1"/>
    </xf>
    <xf numFmtId="0" fontId="43" fillId="11" borderId="0" xfId="0" applyFont="1" applyFill="1" applyAlignment="1">
      <alignment horizontal="center" vertical="center" wrapText="1" readingOrder="1"/>
    </xf>
    <xf numFmtId="0" fontId="43" fillId="11" borderId="24" xfId="0" applyFont="1" applyFill="1" applyBorder="1" applyAlignment="1">
      <alignment horizontal="center" vertical="center" wrapText="1" readingOrder="1"/>
    </xf>
    <xf numFmtId="0" fontId="43" fillId="11" borderId="25" xfId="0" applyFont="1" applyFill="1" applyBorder="1" applyAlignment="1">
      <alignment horizontal="center" vertical="center" wrapText="1" readingOrder="1"/>
    </xf>
    <xf numFmtId="0" fontId="43" fillId="11" borderId="26" xfId="0" applyFont="1" applyFill="1" applyBorder="1" applyAlignment="1">
      <alignment horizontal="center" vertical="center" wrapText="1" readingOrder="1"/>
    </xf>
    <xf numFmtId="0" fontId="43" fillId="11" borderId="27" xfId="0" applyFont="1" applyFill="1" applyBorder="1" applyAlignment="1">
      <alignment horizontal="center" vertical="center" wrapText="1" readingOrder="1"/>
    </xf>
    <xf numFmtId="0" fontId="44" fillId="0" borderId="14" xfId="0" applyFont="1" applyBorder="1" applyAlignment="1">
      <alignment horizontal="center" vertical="center" wrapText="1"/>
    </xf>
    <xf numFmtId="0" fontId="43" fillId="12" borderId="20" xfId="0" applyFont="1" applyFill="1" applyBorder="1" applyAlignment="1">
      <alignment horizontal="center" vertical="center" wrapText="1" readingOrder="1"/>
    </xf>
    <xf numFmtId="0" fontId="43" fillId="12" borderId="21" xfId="0" applyFont="1" applyFill="1" applyBorder="1" applyAlignment="1">
      <alignment horizontal="center" vertical="center" wrapText="1" readingOrder="1"/>
    </xf>
    <xf numFmtId="0" fontId="43" fillId="12" borderId="22" xfId="0" applyFont="1" applyFill="1" applyBorder="1" applyAlignment="1">
      <alignment horizontal="center" vertical="center" wrapText="1" readingOrder="1"/>
    </xf>
    <xf numFmtId="0" fontId="43" fillId="12" borderId="23" xfId="0" applyFont="1" applyFill="1" applyBorder="1" applyAlignment="1">
      <alignment horizontal="center" vertical="center" wrapText="1" readingOrder="1"/>
    </xf>
    <xf numFmtId="0" fontId="43" fillId="12" borderId="0" xfId="0" applyFont="1" applyFill="1" applyAlignment="1">
      <alignment horizontal="center" vertical="center" wrapText="1" readingOrder="1"/>
    </xf>
    <xf numFmtId="0" fontId="43" fillId="12" borderId="24" xfId="0" applyFont="1" applyFill="1" applyBorder="1" applyAlignment="1">
      <alignment horizontal="center" vertical="center" wrapText="1" readingOrder="1"/>
    </xf>
    <xf numFmtId="0" fontId="43" fillId="12" borderId="25" xfId="0" applyFont="1" applyFill="1" applyBorder="1" applyAlignment="1">
      <alignment horizontal="center" vertical="center" wrapText="1" readingOrder="1"/>
    </xf>
    <xf numFmtId="0" fontId="43" fillId="12" borderId="26" xfId="0" applyFont="1" applyFill="1" applyBorder="1" applyAlignment="1">
      <alignment horizontal="center" vertical="center" wrapText="1" readingOrder="1"/>
    </xf>
    <xf numFmtId="0" fontId="43" fillId="12" borderId="27" xfId="0" applyFont="1" applyFill="1" applyBorder="1" applyAlignment="1">
      <alignment horizontal="center" vertical="center" wrapText="1" readingOrder="1"/>
    </xf>
    <xf numFmtId="0" fontId="42" fillId="0" borderId="0" xfId="0" applyFont="1" applyAlignment="1">
      <alignment horizontal="center" vertical="center" wrapText="1"/>
    </xf>
    <xf numFmtId="0" fontId="23" fillId="0" borderId="0" xfId="0" applyFont="1" applyAlignment="1">
      <alignment horizontal="center" vertical="center" wrapText="1"/>
    </xf>
    <xf numFmtId="0" fontId="43" fillId="5" borderId="20" xfId="0" applyFont="1" applyFill="1" applyBorder="1" applyAlignment="1">
      <alignment horizontal="center" vertical="center" wrapText="1" readingOrder="1"/>
    </xf>
    <xf numFmtId="0" fontId="43" fillId="5" borderId="21" xfId="0" applyFont="1" applyFill="1" applyBorder="1" applyAlignment="1">
      <alignment horizontal="center" vertical="center" wrapText="1" readingOrder="1"/>
    </xf>
    <xf numFmtId="0" fontId="43" fillId="5" borderId="22" xfId="0" applyFont="1" applyFill="1" applyBorder="1" applyAlignment="1">
      <alignment horizontal="center" vertical="center" wrapText="1" readingOrder="1"/>
    </xf>
    <xf numFmtId="0" fontId="43" fillId="5" borderId="23" xfId="0" applyFont="1" applyFill="1" applyBorder="1" applyAlignment="1">
      <alignment horizontal="center" vertical="center" wrapText="1" readingOrder="1"/>
    </xf>
    <xf numFmtId="0" fontId="43" fillId="5" borderId="0" xfId="0" applyFont="1" applyFill="1" applyAlignment="1">
      <alignment horizontal="center" vertical="center" wrapText="1" readingOrder="1"/>
    </xf>
    <xf numFmtId="0" fontId="43" fillId="5" borderId="24" xfId="0" applyFont="1" applyFill="1" applyBorder="1" applyAlignment="1">
      <alignment horizontal="center" vertical="center" wrapText="1" readingOrder="1"/>
    </xf>
    <xf numFmtId="0" fontId="43" fillId="5" borderId="25" xfId="0" applyFont="1" applyFill="1" applyBorder="1" applyAlignment="1">
      <alignment horizontal="center" vertical="center" wrapText="1" readingOrder="1"/>
    </xf>
    <xf numFmtId="0" fontId="43" fillId="5" borderId="26" xfId="0" applyFont="1" applyFill="1" applyBorder="1" applyAlignment="1">
      <alignment horizontal="center" vertical="center" wrapText="1" readingOrder="1"/>
    </xf>
    <xf numFmtId="0" fontId="43" fillId="5" borderId="27" xfId="0" applyFont="1" applyFill="1" applyBorder="1" applyAlignment="1">
      <alignment horizontal="center" vertical="center" wrapText="1" readingOrder="1"/>
    </xf>
    <xf numFmtId="0" fontId="43" fillId="13" borderId="20" xfId="0" applyFont="1" applyFill="1" applyBorder="1" applyAlignment="1">
      <alignment horizontal="center" vertical="center" wrapText="1" readingOrder="1"/>
    </xf>
    <xf numFmtId="0" fontId="43" fillId="13" borderId="21" xfId="0" applyFont="1" applyFill="1" applyBorder="1" applyAlignment="1">
      <alignment horizontal="center" vertical="center" wrapText="1" readingOrder="1"/>
    </xf>
    <xf numFmtId="0" fontId="43" fillId="13" borderId="22" xfId="0" applyFont="1" applyFill="1" applyBorder="1" applyAlignment="1">
      <alignment horizontal="center" vertical="center" wrapText="1" readingOrder="1"/>
    </xf>
    <xf numFmtId="0" fontId="43" fillId="13" borderId="23" xfId="0" applyFont="1" applyFill="1" applyBorder="1" applyAlignment="1">
      <alignment horizontal="center" vertical="center" wrapText="1" readingOrder="1"/>
    </xf>
    <xf numFmtId="0" fontId="43" fillId="13" borderId="0" xfId="0" applyFont="1" applyFill="1" applyAlignment="1">
      <alignment horizontal="center" vertical="center" wrapText="1" readingOrder="1"/>
    </xf>
    <xf numFmtId="0" fontId="43" fillId="13" borderId="24" xfId="0" applyFont="1" applyFill="1" applyBorder="1" applyAlignment="1">
      <alignment horizontal="center" vertical="center" wrapText="1" readingOrder="1"/>
    </xf>
    <xf numFmtId="0" fontId="43" fillId="13" borderId="25" xfId="0" applyFont="1" applyFill="1" applyBorder="1" applyAlignment="1">
      <alignment horizontal="center" vertical="center" wrapText="1" readingOrder="1"/>
    </xf>
    <xf numFmtId="0" fontId="43" fillId="13" borderId="26" xfId="0" applyFont="1" applyFill="1" applyBorder="1" applyAlignment="1">
      <alignment horizontal="center" vertical="center" wrapText="1" readingOrder="1"/>
    </xf>
    <xf numFmtId="0" fontId="43" fillId="13" borderId="27" xfId="0" applyFont="1" applyFill="1" applyBorder="1" applyAlignment="1">
      <alignment horizontal="center" vertical="center" wrapText="1" readingOrder="1"/>
    </xf>
    <xf numFmtId="0" fontId="25" fillId="0" borderId="0" xfId="0" applyFont="1" applyAlignment="1">
      <alignment horizontal="center" vertical="center"/>
    </xf>
    <xf numFmtId="0" fontId="46" fillId="0" borderId="0" xfId="0" applyFont="1" applyAlignment="1">
      <alignment horizontal="center" vertical="center"/>
    </xf>
    <xf numFmtId="0" fontId="41" fillId="15" borderId="35" xfId="0" applyFont="1" applyFill="1" applyBorder="1" applyAlignment="1">
      <alignment horizontal="center" vertical="center" wrapText="1" readingOrder="1"/>
    </xf>
    <xf numFmtId="0" fontId="41" fillId="15" borderId="36" xfId="0" applyFont="1" applyFill="1" applyBorder="1" applyAlignment="1">
      <alignment horizontal="center" vertical="center" wrapText="1" readingOrder="1"/>
    </xf>
    <xf numFmtId="0" fontId="41" fillId="15" borderId="47" xfId="0" applyFont="1" applyFill="1" applyBorder="1" applyAlignment="1">
      <alignment horizontal="center" vertical="center" wrapText="1" readingOrder="1"/>
    </xf>
    <xf numFmtId="0" fontId="36" fillId="3" borderId="0" xfId="0" applyFont="1" applyFill="1" applyAlignment="1">
      <alignment horizontal="justify" vertical="center" wrapText="1"/>
    </xf>
    <xf numFmtId="0" fontId="38" fillId="15" borderId="44" xfId="0" applyFont="1" applyFill="1" applyBorder="1" applyAlignment="1">
      <alignment horizontal="center" vertical="center" wrapText="1" readingOrder="1"/>
    </xf>
    <xf numFmtId="0" fontId="38" fillId="15" borderId="45" xfId="0" applyFont="1" applyFill="1" applyBorder="1" applyAlignment="1">
      <alignment horizontal="center" vertical="center" wrapText="1" readingOrder="1"/>
    </xf>
    <xf numFmtId="0" fontId="38" fillId="3" borderId="42" xfId="0" applyFont="1" applyFill="1" applyBorder="1" applyAlignment="1">
      <alignment horizontal="center" vertical="center" wrapText="1" readingOrder="1"/>
    </xf>
    <xf numFmtId="0" fontId="38" fillId="3" borderId="37" xfId="0" applyFont="1" applyFill="1" applyBorder="1" applyAlignment="1">
      <alignment horizontal="center" vertical="center" wrapText="1" readingOrder="1"/>
    </xf>
    <xf numFmtId="0" fontId="38" fillId="3" borderId="34" xfId="0" applyFont="1" applyFill="1" applyBorder="1" applyAlignment="1">
      <alignment horizontal="center" vertical="center" wrapText="1" readingOrder="1"/>
    </xf>
    <xf numFmtId="0" fontId="38" fillId="3" borderId="33" xfId="0" applyFont="1" applyFill="1" applyBorder="1" applyAlignment="1">
      <alignment horizontal="center" vertical="center" wrapText="1" readingOrder="1"/>
    </xf>
    <xf numFmtId="0" fontId="38" fillId="3" borderId="39" xfId="0" applyFont="1" applyFill="1" applyBorder="1" applyAlignment="1">
      <alignment horizontal="center" vertical="center" wrapText="1" readingOrder="1"/>
    </xf>
    <xf numFmtId="0" fontId="38" fillId="3" borderId="40" xfId="0" applyFont="1" applyFill="1" applyBorder="1" applyAlignment="1">
      <alignment horizontal="center" vertical="center" wrapText="1" readingOrder="1"/>
    </xf>
    <xf numFmtId="0" fontId="60" fillId="14" borderId="35" xfId="5" applyFont="1" applyFill="1" applyBorder="1" applyAlignment="1">
      <alignment horizontal="center" vertical="center"/>
    </xf>
    <xf numFmtId="0" fontId="60" fillId="14" borderId="36" xfId="5" applyFont="1" applyFill="1" applyBorder="1" applyAlignment="1">
      <alignment horizontal="center" vertical="center"/>
    </xf>
    <xf numFmtId="0" fontId="60" fillId="14" borderId="47" xfId="5" applyFont="1" applyFill="1" applyBorder="1" applyAlignment="1">
      <alignment horizontal="center" vertical="center"/>
    </xf>
    <xf numFmtId="0" fontId="36" fillId="3" borderId="91" xfId="5" applyFont="1" applyFill="1" applyBorder="1" applyAlignment="1">
      <alignment horizontal="center" vertical="center" wrapText="1"/>
    </xf>
    <xf numFmtId="0" fontId="36" fillId="3" borderId="69" xfId="5" applyFont="1" applyFill="1" applyBorder="1" applyAlignment="1">
      <alignment horizontal="center" vertical="center" wrapText="1"/>
    </xf>
    <xf numFmtId="0" fontId="36" fillId="3" borderId="92" xfId="5" applyFont="1" applyFill="1" applyBorder="1" applyAlignment="1">
      <alignment horizontal="center" vertical="center" wrapText="1"/>
    </xf>
    <xf numFmtId="0" fontId="62" fillId="16" borderId="35" xfId="5" applyFont="1" applyFill="1" applyBorder="1" applyAlignment="1">
      <alignment horizontal="center" vertical="center"/>
    </xf>
    <xf numFmtId="0" fontId="62" fillId="16" borderId="36" xfId="5" applyFont="1" applyFill="1" applyBorder="1" applyAlignment="1">
      <alignment horizontal="center" vertical="center"/>
    </xf>
    <xf numFmtId="0" fontId="62" fillId="16" borderId="47" xfId="5" applyFont="1" applyFill="1" applyBorder="1" applyAlignment="1">
      <alignment horizontal="center" vertical="center"/>
    </xf>
    <xf numFmtId="0" fontId="36" fillId="3" borderId="36" xfId="5" applyFont="1" applyFill="1" applyBorder="1" applyAlignment="1">
      <alignment horizontal="center" vertical="center" wrapText="1"/>
    </xf>
    <xf numFmtId="0" fontId="60" fillId="8" borderId="44" xfId="5" applyFont="1" applyFill="1" applyBorder="1" applyAlignment="1">
      <alignment horizontal="center" vertical="center" wrapText="1"/>
    </xf>
    <xf numFmtId="0" fontId="60" fillId="8" borderId="45" xfId="5" applyFont="1" applyFill="1" applyBorder="1" applyAlignment="1">
      <alignment horizontal="center" vertical="center" wrapText="1"/>
    </xf>
    <xf numFmtId="0" fontId="60" fillId="8" borderId="46" xfId="5" applyFont="1" applyFill="1" applyBorder="1" applyAlignment="1">
      <alignment horizontal="center" vertical="center" wrapText="1"/>
    </xf>
    <xf numFmtId="0" fontId="36" fillId="3" borderId="34" xfId="5" applyFont="1" applyFill="1" applyBorder="1" applyAlignment="1">
      <alignment horizontal="center" vertical="center" wrapText="1"/>
    </xf>
    <xf numFmtId="0" fontId="64" fillId="8" borderId="33" xfId="6" applyFont="1" applyFill="1" applyBorder="1" applyAlignment="1">
      <alignment horizontal="center" vertical="center"/>
    </xf>
    <xf numFmtId="0" fontId="38" fillId="19" borderId="33" xfId="0" applyFont="1" applyFill="1" applyBorder="1" applyAlignment="1">
      <alignment horizontal="center" vertical="center" wrapText="1"/>
    </xf>
    <xf numFmtId="0" fontId="38" fillId="19" borderId="33" xfId="0" applyFont="1" applyFill="1" applyBorder="1" applyAlignment="1">
      <alignment horizontal="center" vertical="center"/>
    </xf>
    <xf numFmtId="0" fontId="68" fillId="0" borderId="0" xfId="0" applyFont="1" applyAlignment="1">
      <alignment horizontal="justify" vertical="center" wrapText="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2 2" xfId="6" xr:uid="{00000000-0005-0000-0000-000004000000}"/>
    <cellStyle name="Normal 4" xfId="5" xr:uid="{00000000-0005-0000-0000-000005000000}"/>
    <cellStyle name="Porcentaje" xfId="1" builtinId="5"/>
  </cellStyles>
  <dxfs count="95">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595745</xdr:colOff>
      <xdr:row>1</xdr:row>
      <xdr:rowOff>41563</xdr:rowOff>
    </xdr:from>
    <xdr:to>
      <xdr:col>3</xdr:col>
      <xdr:colOff>814843</xdr:colOff>
      <xdr:row>3</xdr:row>
      <xdr:rowOff>269425</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72836" y="387927"/>
          <a:ext cx="2255716" cy="10729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acion-OCAD\Desktop\H%20-\Mapas%20de%20Riesgos\Matriz%20de%20Riesgos%20y%20Oportunidades_%20para%20vigencia%202025\2025_PCE_3_Mapa%20de%20Riesgos%20y%20Oportunidades_%20Proceso%20Gesti&#243;n%20y%20Mejora%20del%20Siste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94" dataDxfId="93">
  <autoFilter ref="B209:C219" xr:uid="{00000000-0009-0000-0100-000001000000}"/>
  <tableColumns count="2">
    <tableColumn id="1" xr3:uid="{00000000-0010-0000-0000-000001000000}" name="Criterios" dataDxfId="92"/>
    <tableColumn id="2" xr3:uid="{00000000-0010-0000-0000-000002000000}" name="Subcriterios" dataDxfId="9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zoomScale="110" zoomScaleNormal="110" workbookViewId="0">
      <selection activeCell="B4" sqref="B4:H5"/>
    </sheetView>
  </sheetViews>
  <sheetFormatPr baseColWidth="10" defaultColWidth="11.42578125" defaultRowHeight="15" x14ac:dyDescent="0.25"/>
  <cols>
    <col min="1" max="1" width="2.85546875" style="80" customWidth="1"/>
    <col min="2" max="3" width="24.7109375" style="80" customWidth="1"/>
    <col min="4" max="4" width="16" style="80" customWidth="1"/>
    <col min="5" max="5" width="24.7109375" style="80" customWidth="1"/>
    <col min="6" max="6" width="27.7109375" style="80" customWidth="1"/>
    <col min="7" max="8" width="24.7109375" style="80" customWidth="1"/>
    <col min="9" max="16384" width="11.42578125" style="80"/>
  </cols>
  <sheetData>
    <row r="1" spans="2:8" ht="15.75" thickBot="1" x14ac:dyDescent="0.3"/>
    <row r="2" spans="2:8" ht="18" x14ac:dyDescent="0.25">
      <c r="B2" s="315" t="s">
        <v>0</v>
      </c>
      <c r="C2" s="316"/>
      <c r="D2" s="316"/>
      <c r="E2" s="316"/>
      <c r="F2" s="316"/>
      <c r="G2" s="316"/>
      <c r="H2" s="317"/>
    </row>
    <row r="3" spans="2:8" x14ac:dyDescent="0.25">
      <c r="B3" s="81"/>
      <c r="C3" s="82"/>
      <c r="D3" s="82"/>
      <c r="E3" s="82"/>
      <c r="F3" s="82"/>
      <c r="G3" s="82"/>
      <c r="H3" s="83"/>
    </row>
    <row r="4" spans="2:8" ht="63" customHeight="1" x14ac:dyDescent="0.25">
      <c r="B4" s="318" t="s">
        <v>1</v>
      </c>
      <c r="C4" s="319"/>
      <c r="D4" s="319"/>
      <c r="E4" s="319"/>
      <c r="F4" s="319"/>
      <c r="G4" s="319"/>
      <c r="H4" s="320"/>
    </row>
    <row r="5" spans="2:8" ht="63" customHeight="1" x14ac:dyDescent="0.25">
      <c r="B5" s="321"/>
      <c r="C5" s="322"/>
      <c r="D5" s="322"/>
      <c r="E5" s="322"/>
      <c r="F5" s="322"/>
      <c r="G5" s="322"/>
      <c r="H5" s="323"/>
    </row>
    <row r="6" spans="2:8" ht="16.5" x14ac:dyDescent="0.25">
      <c r="B6" s="324" t="s">
        <v>2</v>
      </c>
      <c r="C6" s="325"/>
      <c r="D6" s="325"/>
      <c r="E6" s="325"/>
      <c r="F6" s="325"/>
      <c r="G6" s="325"/>
      <c r="H6" s="326"/>
    </row>
    <row r="7" spans="2:8" ht="95.25" customHeight="1" x14ac:dyDescent="0.25">
      <c r="B7" s="334" t="s">
        <v>3</v>
      </c>
      <c r="C7" s="335"/>
      <c r="D7" s="335"/>
      <c r="E7" s="335"/>
      <c r="F7" s="335"/>
      <c r="G7" s="335"/>
      <c r="H7" s="336"/>
    </row>
    <row r="8" spans="2:8" ht="16.5" x14ac:dyDescent="0.25">
      <c r="B8" s="117"/>
      <c r="C8" s="118"/>
      <c r="D8" s="118"/>
      <c r="E8" s="118"/>
      <c r="F8" s="118"/>
      <c r="G8" s="118"/>
      <c r="H8" s="119"/>
    </row>
    <row r="9" spans="2:8" ht="16.5" customHeight="1" x14ac:dyDescent="0.25">
      <c r="B9" s="327" t="s">
        <v>4</v>
      </c>
      <c r="C9" s="328"/>
      <c r="D9" s="328"/>
      <c r="E9" s="328"/>
      <c r="F9" s="328"/>
      <c r="G9" s="328"/>
      <c r="H9" s="329"/>
    </row>
    <row r="10" spans="2:8" ht="44.25" customHeight="1" x14ac:dyDescent="0.25">
      <c r="B10" s="327"/>
      <c r="C10" s="328"/>
      <c r="D10" s="328"/>
      <c r="E10" s="328"/>
      <c r="F10" s="328"/>
      <c r="G10" s="328"/>
      <c r="H10" s="329"/>
    </row>
    <row r="11" spans="2:8" ht="15.75" thickBot="1" x14ac:dyDescent="0.3">
      <c r="B11" s="106"/>
      <c r="C11" s="109"/>
      <c r="D11" s="114"/>
      <c r="E11" s="115"/>
      <c r="F11" s="115"/>
      <c r="G11" s="116"/>
      <c r="H11" s="110"/>
    </row>
    <row r="12" spans="2:8" ht="15.75" thickTop="1" x14ac:dyDescent="0.25">
      <c r="B12" s="106"/>
      <c r="C12" s="330" t="s">
        <v>5</v>
      </c>
      <c r="D12" s="331"/>
      <c r="E12" s="332" t="s">
        <v>6</v>
      </c>
      <c r="F12" s="333"/>
      <c r="G12" s="109"/>
      <c r="H12" s="110"/>
    </row>
    <row r="13" spans="2:8" ht="35.25" customHeight="1" x14ac:dyDescent="0.25">
      <c r="B13" s="106"/>
      <c r="C13" s="337" t="s">
        <v>7</v>
      </c>
      <c r="D13" s="338"/>
      <c r="E13" s="339" t="s">
        <v>8</v>
      </c>
      <c r="F13" s="340"/>
      <c r="G13" s="109"/>
      <c r="H13" s="110"/>
    </row>
    <row r="14" spans="2:8" ht="17.25" customHeight="1" x14ac:dyDescent="0.25">
      <c r="B14" s="106"/>
      <c r="C14" s="337" t="s">
        <v>9</v>
      </c>
      <c r="D14" s="338"/>
      <c r="E14" s="339" t="s">
        <v>10</v>
      </c>
      <c r="F14" s="340"/>
      <c r="G14" s="109"/>
      <c r="H14" s="110"/>
    </row>
    <row r="15" spans="2:8" ht="19.5" customHeight="1" x14ac:dyDescent="0.25">
      <c r="B15" s="106"/>
      <c r="C15" s="337" t="s">
        <v>11</v>
      </c>
      <c r="D15" s="338"/>
      <c r="E15" s="339" t="s">
        <v>12</v>
      </c>
      <c r="F15" s="340"/>
      <c r="G15" s="109"/>
      <c r="H15" s="110"/>
    </row>
    <row r="16" spans="2:8" ht="69.75" customHeight="1" x14ac:dyDescent="0.25">
      <c r="B16" s="106"/>
      <c r="C16" s="337" t="s">
        <v>13</v>
      </c>
      <c r="D16" s="338"/>
      <c r="E16" s="339" t="s">
        <v>14</v>
      </c>
      <c r="F16" s="340"/>
      <c r="G16" s="109"/>
      <c r="H16" s="110"/>
    </row>
    <row r="17" spans="2:8" ht="34.5" customHeight="1" x14ac:dyDescent="0.25">
      <c r="B17" s="106"/>
      <c r="C17" s="341" t="s">
        <v>15</v>
      </c>
      <c r="D17" s="342"/>
      <c r="E17" s="343" t="s">
        <v>16</v>
      </c>
      <c r="F17" s="344"/>
      <c r="G17" s="109"/>
      <c r="H17" s="110"/>
    </row>
    <row r="18" spans="2:8" ht="27.75" customHeight="1" x14ac:dyDescent="0.25">
      <c r="B18" s="106"/>
      <c r="C18" s="341" t="s">
        <v>17</v>
      </c>
      <c r="D18" s="342"/>
      <c r="E18" s="343" t="s">
        <v>18</v>
      </c>
      <c r="F18" s="344"/>
      <c r="G18" s="109"/>
      <c r="H18" s="110"/>
    </row>
    <row r="19" spans="2:8" ht="28.5" customHeight="1" x14ac:dyDescent="0.25">
      <c r="B19" s="106"/>
      <c r="C19" s="341" t="s">
        <v>19</v>
      </c>
      <c r="D19" s="342"/>
      <c r="E19" s="343" t="s">
        <v>20</v>
      </c>
      <c r="F19" s="344"/>
      <c r="G19" s="109"/>
      <c r="H19" s="110"/>
    </row>
    <row r="20" spans="2:8" ht="72.75" customHeight="1" x14ac:dyDescent="0.25">
      <c r="B20" s="106"/>
      <c r="C20" s="341" t="s">
        <v>21</v>
      </c>
      <c r="D20" s="342"/>
      <c r="E20" s="343" t="s">
        <v>22</v>
      </c>
      <c r="F20" s="344"/>
      <c r="G20" s="109"/>
      <c r="H20" s="110"/>
    </row>
    <row r="21" spans="2:8" ht="64.5" customHeight="1" x14ac:dyDescent="0.25">
      <c r="B21" s="106"/>
      <c r="C21" s="341" t="s">
        <v>23</v>
      </c>
      <c r="D21" s="342"/>
      <c r="E21" s="343" t="s">
        <v>24</v>
      </c>
      <c r="F21" s="344"/>
      <c r="G21" s="109"/>
      <c r="H21" s="110"/>
    </row>
    <row r="22" spans="2:8" ht="71.25" customHeight="1" x14ac:dyDescent="0.25">
      <c r="B22" s="106"/>
      <c r="C22" s="341" t="s">
        <v>25</v>
      </c>
      <c r="D22" s="342"/>
      <c r="E22" s="343" t="s">
        <v>26</v>
      </c>
      <c r="F22" s="344"/>
      <c r="G22" s="109"/>
      <c r="H22" s="110"/>
    </row>
    <row r="23" spans="2:8" ht="55.5" customHeight="1" x14ac:dyDescent="0.25">
      <c r="B23" s="106"/>
      <c r="C23" s="348" t="s">
        <v>27</v>
      </c>
      <c r="D23" s="349"/>
      <c r="E23" s="343" t="s">
        <v>28</v>
      </c>
      <c r="F23" s="344"/>
      <c r="G23" s="109"/>
      <c r="H23" s="110"/>
    </row>
    <row r="24" spans="2:8" ht="42" customHeight="1" x14ac:dyDescent="0.25">
      <c r="B24" s="106"/>
      <c r="C24" s="348" t="s">
        <v>29</v>
      </c>
      <c r="D24" s="349"/>
      <c r="E24" s="343" t="s">
        <v>30</v>
      </c>
      <c r="F24" s="344"/>
      <c r="G24" s="109"/>
      <c r="H24" s="110"/>
    </row>
    <row r="25" spans="2:8" ht="59.25" customHeight="1" x14ac:dyDescent="0.25">
      <c r="B25" s="106"/>
      <c r="C25" s="348" t="s">
        <v>31</v>
      </c>
      <c r="D25" s="349"/>
      <c r="E25" s="343" t="s">
        <v>32</v>
      </c>
      <c r="F25" s="344"/>
      <c r="G25" s="109"/>
      <c r="H25" s="110"/>
    </row>
    <row r="26" spans="2:8" ht="23.25" customHeight="1" x14ac:dyDescent="0.25">
      <c r="B26" s="106"/>
      <c r="C26" s="348" t="s">
        <v>33</v>
      </c>
      <c r="D26" s="349"/>
      <c r="E26" s="343" t="s">
        <v>34</v>
      </c>
      <c r="F26" s="344"/>
      <c r="G26" s="109"/>
      <c r="H26" s="110"/>
    </row>
    <row r="27" spans="2:8" ht="30.75" customHeight="1" x14ac:dyDescent="0.25">
      <c r="B27" s="106"/>
      <c r="C27" s="348" t="s">
        <v>35</v>
      </c>
      <c r="D27" s="349"/>
      <c r="E27" s="343" t="s">
        <v>36</v>
      </c>
      <c r="F27" s="344"/>
      <c r="G27" s="109"/>
      <c r="H27" s="110"/>
    </row>
    <row r="28" spans="2:8" ht="35.25" customHeight="1" x14ac:dyDescent="0.25">
      <c r="B28" s="106"/>
      <c r="C28" s="348" t="s">
        <v>37</v>
      </c>
      <c r="D28" s="349"/>
      <c r="E28" s="343" t="s">
        <v>38</v>
      </c>
      <c r="F28" s="344"/>
      <c r="G28" s="109"/>
      <c r="H28" s="110"/>
    </row>
    <row r="29" spans="2:8" ht="33" customHeight="1" x14ac:dyDescent="0.25">
      <c r="B29" s="106"/>
      <c r="C29" s="348" t="s">
        <v>37</v>
      </c>
      <c r="D29" s="349"/>
      <c r="E29" s="343" t="s">
        <v>38</v>
      </c>
      <c r="F29" s="344"/>
      <c r="G29" s="109"/>
      <c r="H29" s="110"/>
    </row>
    <row r="30" spans="2:8" ht="30" customHeight="1" x14ac:dyDescent="0.25">
      <c r="B30" s="106"/>
      <c r="C30" s="348" t="s">
        <v>39</v>
      </c>
      <c r="D30" s="349"/>
      <c r="E30" s="343" t="s">
        <v>40</v>
      </c>
      <c r="F30" s="344"/>
      <c r="G30" s="109"/>
      <c r="H30" s="110"/>
    </row>
    <row r="31" spans="2:8" ht="35.25" customHeight="1" x14ac:dyDescent="0.25">
      <c r="B31" s="106"/>
      <c r="C31" s="348" t="s">
        <v>41</v>
      </c>
      <c r="D31" s="349"/>
      <c r="E31" s="343" t="s">
        <v>42</v>
      </c>
      <c r="F31" s="344"/>
      <c r="G31" s="109"/>
      <c r="H31" s="110"/>
    </row>
    <row r="32" spans="2:8" ht="31.5" customHeight="1" x14ac:dyDescent="0.25">
      <c r="B32" s="106"/>
      <c r="C32" s="348" t="s">
        <v>43</v>
      </c>
      <c r="D32" s="349"/>
      <c r="E32" s="343" t="s">
        <v>44</v>
      </c>
      <c r="F32" s="344"/>
      <c r="G32" s="109"/>
      <c r="H32" s="110"/>
    </row>
    <row r="33" spans="2:8" ht="35.25" customHeight="1" x14ac:dyDescent="0.25">
      <c r="B33" s="106"/>
      <c r="C33" s="348" t="s">
        <v>45</v>
      </c>
      <c r="D33" s="349"/>
      <c r="E33" s="343" t="s">
        <v>46</v>
      </c>
      <c r="F33" s="344"/>
      <c r="G33" s="109"/>
      <c r="H33" s="110"/>
    </row>
    <row r="34" spans="2:8" ht="59.25" customHeight="1" x14ac:dyDescent="0.25">
      <c r="B34" s="106"/>
      <c r="C34" s="348" t="s">
        <v>47</v>
      </c>
      <c r="D34" s="349"/>
      <c r="E34" s="343" t="s">
        <v>48</v>
      </c>
      <c r="F34" s="344"/>
      <c r="G34" s="109"/>
      <c r="H34" s="110"/>
    </row>
    <row r="35" spans="2:8" ht="29.25" customHeight="1" x14ac:dyDescent="0.25">
      <c r="B35" s="106"/>
      <c r="C35" s="348" t="s">
        <v>49</v>
      </c>
      <c r="D35" s="349"/>
      <c r="E35" s="343" t="s">
        <v>50</v>
      </c>
      <c r="F35" s="344"/>
      <c r="G35" s="109"/>
      <c r="H35" s="110"/>
    </row>
    <row r="36" spans="2:8" ht="82.5" customHeight="1" x14ac:dyDescent="0.25">
      <c r="B36" s="106"/>
      <c r="C36" s="348" t="s">
        <v>51</v>
      </c>
      <c r="D36" s="349"/>
      <c r="E36" s="343" t="s">
        <v>52</v>
      </c>
      <c r="F36" s="344"/>
      <c r="G36" s="109"/>
      <c r="H36" s="110"/>
    </row>
    <row r="37" spans="2:8" ht="46.5" customHeight="1" x14ac:dyDescent="0.25">
      <c r="B37" s="106"/>
      <c r="C37" s="348" t="s">
        <v>53</v>
      </c>
      <c r="D37" s="349"/>
      <c r="E37" s="343" t="s">
        <v>54</v>
      </c>
      <c r="F37" s="344"/>
      <c r="G37" s="109"/>
      <c r="H37" s="110"/>
    </row>
    <row r="38" spans="2:8" ht="6.75" customHeight="1" thickBot="1" x14ac:dyDescent="0.3">
      <c r="B38" s="106"/>
      <c r="C38" s="350"/>
      <c r="D38" s="351"/>
      <c r="E38" s="352"/>
      <c r="F38" s="353"/>
      <c r="G38" s="109"/>
      <c r="H38" s="110"/>
    </row>
    <row r="39" spans="2:8" ht="15.75" thickTop="1" x14ac:dyDescent="0.25">
      <c r="B39" s="106"/>
      <c r="C39" s="107"/>
      <c r="D39" s="107"/>
      <c r="E39" s="108"/>
      <c r="F39" s="108"/>
      <c r="G39" s="109"/>
      <c r="H39" s="110"/>
    </row>
    <row r="40" spans="2:8" ht="21" customHeight="1" x14ac:dyDescent="0.25">
      <c r="B40" s="345" t="s">
        <v>55</v>
      </c>
      <c r="C40" s="346"/>
      <c r="D40" s="346"/>
      <c r="E40" s="346"/>
      <c r="F40" s="346"/>
      <c r="G40" s="346"/>
      <c r="H40" s="347"/>
    </row>
    <row r="41" spans="2:8" ht="20.25" customHeight="1" x14ac:dyDescent="0.25">
      <c r="B41" s="345" t="s">
        <v>56</v>
      </c>
      <c r="C41" s="346"/>
      <c r="D41" s="346"/>
      <c r="E41" s="346"/>
      <c r="F41" s="346"/>
      <c r="G41" s="346"/>
      <c r="H41" s="347"/>
    </row>
    <row r="42" spans="2:8" ht="20.25" customHeight="1" x14ac:dyDescent="0.25">
      <c r="B42" s="345" t="s">
        <v>57</v>
      </c>
      <c r="C42" s="346"/>
      <c r="D42" s="346"/>
      <c r="E42" s="346"/>
      <c r="F42" s="346"/>
      <c r="G42" s="346"/>
      <c r="H42" s="347"/>
    </row>
    <row r="43" spans="2:8" ht="20.25" customHeight="1" x14ac:dyDescent="0.25">
      <c r="B43" s="345" t="s">
        <v>58</v>
      </c>
      <c r="C43" s="346"/>
      <c r="D43" s="346"/>
      <c r="E43" s="346"/>
      <c r="F43" s="346"/>
      <c r="G43" s="346"/>
      <c r="H43" s="347"/>
    </row>
    <row r="44" spans="2:8" x14ac:dyDescent="0.25">
      <c r="B44" s="345" t="s">
        <v>59</v>
      </c>
      <c r="C44" s="346"/>
      <c r="D44" s="346"/>
      <c r="E44" s="346"/>
      <c r="F44" s="346"/>
      <c r="G44" s="346"/>
      <c r="H44" s="347"/>
    </row>
    <row r="45" spans="2:8" ht="15.75" thickBot="1" x14ac:dyDescent="0.3">
      <c r="B45" s="111"/>
      <c r="C45" s="112"/>
      <c r="D45" s="112"/>
      <c r="E45" s="112"/>
      <c r="F45" s="112"/>
      <c r="G45" s="112"/>
      <c r="H45" s="113"/>
    </row>
  </sheetData>
  <mergeCells count="64">
    <mergeCell ref="E28:F28"/>
    <mergeCell ref="C28:D28"/>
    <mergeCell ref="C16:D16"/>
    <mergeCell ref="E16:F16"/>
    <mergeCell ref="C14:D14"/>
    <mergeCell ref="E14:F14"/>
    <mergeCell ref="C15:D15"/>
    <mergeCell ref="E15:F15"/>
    <mergeCell ref="E22:F22"/>
    <mergeCell ref="C22:D22"/>
    <mergeCell ref="C25:D25"/>
    <mergeCell ref="E25:F25"/>
    <mergeCell ref="B41:H41"/>
    <mergeCell ref="C38:D38"/>
    <mergeCell ref="E38:F38"/>
    <mergeCell ref="C37:D37"/>
    <mergeCell ref="E37:F37"/>
    <mergeCell ref="C33:D33"/>
    <mergeCell ref="B40:H40"/>
    <mergeCell ref="C29:D29"/>
    <mergeCell ref="E29:F29"/>
    <mergeCell ref="C30:D30"/>
    <mergeCell ref="E30:F30"/>
    <mergeCell ref="E33:F33"/>
    <mergeCell ref="C34:D34"/>
    <mergeCell ref="C35:D35"/>
    <mergeCell ref="E35:F35"/>
    <mergeCell ref="C36:D36"/>
    <mergeCell ref="E36:F36"/>
    <mergeCell ref="B42:H42"/>
    <mergeCell ref="B43:H43"/>
    <mergeCell ref="B44:H44"/>
    <mergeCell ref="E23:F23"/>
    <mergeCell ref="C23:D23"/>
    <mergeCell ref="C24:D24"/>
    <mergeCell ref="E24:F24"/>
    <mergeCell ref="C26:D26"/>
    <mergeCell ref="E26:F26"/>
    <mergeCell ref="E34:F34"/>
    <mergeCell ref="C32:D32"/>
    <mergeCell ref="C31:D31"/>
    <mergeCell ref="E31:F31"/>
    <mergeCell ref="E32:F32"/>
    <mergeCell ref="C27:D27"/>
    <mergeCell ref="E27:F27"/>
    <mergeCell ref="C13:D13"/>
    <mergeCell ref="E13:F13"/>
    <mergeCell ref="C17:D17"/>
    <mergeCell ref="E17:F17"/>
    <mergeCell ref="C21:D21"/>
    <mergeCell ref="C18:D18"/>
    <mergeCell ref="C19:D19"/>
    <mergeCell ref="C20:D20"/>
    <mergeCell ref="E18:F18"/>
    <mergeCell ref="E19:F19"/>
    <mergeCell ref="E20:F20"/>
    <mergeCell ref="E21:F21"/>
    <mergeCell ref="B2:H2"/>
    <mergeCell ref="B4:H5"/>
    <mergeCell ref="B6:H6"/>
    <mergeCell ref="B9:H10"/>
    <mergeCell ref="C12:D12"/>
    <mergeCell ref="E12:F12"/>
    <mergeCell ref="B7:H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CF57"/>
  <sheetViews>
    <sheetView tabSelected="1" topLeftCell="AI6" zoomScale="90" zoomScaleNormal="90" workbookViewId="0">
      <selection activeCell="AY11" sqref="AY11"/>
    </sheetView>
  </sheetViews>
  <sheetFormatPr baseColWidth="10" defaultColWidth="11.42578125" defaultRowHeight="16.5" x14ac:dyDescent="0.3"/>
  <cols>
    <col min="1" max="1" width="4" style="2" bestFit="1" customWidth="1"/>
    <col min="2" max="2" width="15.5703125" style="2" customWidth="1"/>
    <col min="3" max="4" width="14.140625" style="2" customWidth="1"/>
    <col min="5" max="5" width="13.140625" style="2" customWidth="1"/>
    <col min="6" max="6" width="16.140625" style="2" customWidth="1"/>
    <col min="7" max="8" width="32.42578125" style="1" customWidth="1"/>
    <col min="9" max="9" width="28.28515625" style="1" customWidth="1"/>
    <col min="10" max="10" width="19" style="5" customWidth="1"/>
    <col min="11" max="11" width="17.85546875" style="1" customWidth="1"/>
    <col min="12" max="12" width="16.5703125" style="1" customWidth="1"/>
    <col min="13" max="13" width="6.28515625" style="1" bestFit="1" customWidth="1"/>
    <col min="14" max="14" width="27.28515625" style="1" bestFit="1" customWidth="1"/>
    <col min="15" max="15" width="15" style="1" customWidth="1"/>
    <col min="16" max="16" width="17.5703125" style="1" customWidth="1"/>
    <col min="17" max="17" width="6.28515625" style="1" bestFit="1" customWidth="1"/>
    <col min="18" max="18" width="16" style="1" customWidth="1"/>
    <col min="19" max="19" width="7.28515625" style="1" customWidth="1"/>
    <col min="20" max="20" width="11.140625" style="1" customWidth="1"/>
    <col min="21" max="21" width="8.140625" style="1" customWidth="1"/>
    <col min="22" max="22" width="9.85546875" style="1" customWidth="1"/>
    <col min="23" max="23" width="12.7109375" style="1" customWidth="1"/>
    <col min="24" max="24" width="13.140625" style="1" customWidth="1"/>
    <col min="25" max="25" width="5.85546875" style="2" customWidth="1"/>
    <col min="26" max="26" width="31" style="2" customWidth="1"/>
    <col min="27" max="27" width="15.140625" style="2" bestFit="1" customWidth="1"/>
    <col min="28" max="28" width="6.85546875" style="2" customWidth="1"/>
    <col min="29" max="29" width="5" style="2" customWidth="1"/>
    <col min="30" max="30" width="5.5703125" style="2" customWidth="1"/>
    <col min="31" max="31" width="7.140625" style="2" customWidth="1"/>
    <col min="32" max="32" width="6.7109375" style="2" customWidth="1"/>
    <col min="33" max="33" width="7.5703125" style="2" customWidth="1"/>
    <col min="34" max="34" width="8.28515625" style="2" customWidth="1"/>
    <col min="35" max="35" width="8.7109375" style="2" customWidth="1"/>
    <col min="36" max="36" width="10.42578125" style="2" customWidth="1"/>
    <col min="37" max="37" width="9.28515625" style="2" customWidth="1"/>
    <col min="38" max="38" width="9.140625" style="2" customWidth="1"/>
    <col min="39" max="39" width="8.42578125" style="2" customWidth="1"/>
    <col min="40" max="40" width="7.28515625" style="2" customWidth="1"/>
    <col min="41" max="44" width="7.28515625" style="1" customWidth="1"/>
    <col min="45" max="45" width="5.7109375" style="1" customWidth="1"/>
    <col min="46" max="46" width="10" style="1" customWidth="1"/>
    <col min="47" max="47" width="23" style="1" customWidth="1"/>
    <col min="48" max="48" width="18.85546875" style="1" customWidth="1"/>
    <col min="49" max="49" width="16.85546875" style="1" customWidth="1"/>
    <col min="50" max="50" width="12.140625" style="1" customWidth="1"/>
    <col min="51" max="51" width="78" style="1" customWidth="1"/>
    <col min="52" max="52" width="18.5703125" style="1" customWidth="1"/>
    <col min="53" max="53" width="18.42578125" style="1" customWidth="1"/>
    <col min="54" max="16384" width="11.42578125" style="1"/>
  </cols>
  <sheetData>
    <row r="1" spans="1:84" ht="27" customHeight="1" x14ac:dyDescent="0.3">
      <c r="A1" s="295"/>
      <c r="B1" s="295"/>
      <c r="C1" s="295"/>
      <c r="D1" s="295"/>
      <c r="E1" s="295"/>
      <c r="F1" s="296" t="s">
        <v>255</v>
      </c>
      <c r="G1" s="295"/>
      <c r="H1" s="295"/>
      <c r="I1" s="295"/>
      <c r="J1" s="295"/>
      <c r="K1" s="295"/>
      <c r="L1" s="295"/>
      <c r="M1" s="295"/>
      <c r="N1" s="297" t="s">
        <v>60</v>
      </c>
      <c r="O1" s="298"/>
      <c r="P1" s="298"/>
      <c r="Q1" s="298"/>
      <c r="R1" s="299"/>
      <c r="Y1" s="139"/>
      <c r="Z1" s="139"/>
      <c r="AA1" s="139"/>
      <c r="AB1" s="139"/>
      <c r="AC1" s="139"/>
      <c r="AD1" s="139"/>
      <c r="AE1" s="139"/>
      <c r="AF1" s="139"/>
      <c r="AG1" s="139"/>
      <c r="AH1" s="139"/>
      <c r="AI1" s="139"/>
      <c r="AJ1" s="139"/>
      <c r="AK1" s="139"/>
      <c r="AL1" s="139"/>
      <c r="AM1" s="139"/>
      <c r="AN1" s="139"/>
      <c r="AU1" s="138"/>
      <c r="AV1" s="138"/>
      <c r="AW1" s="138"/>
      <c r="AX1" s="138"/>
      <c r="AY1" s="138"/>
      <c r="AZ1" s="13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row>
    <row r="2" spans="1:84" ht="42.6" customHeight="1" x14ac:dyDescent="0.3">
      <c r="A2" s="295"/>
      <c r="B2" s="295"/>
      <c r="C2" s="295"/>
      <c r="D2" s="295"/>
      <c r="E2" s="295"/>
      <c r="F2" s="295"/>
      <c r="G2" s="295"/>
      <c r="H2" s="295"/>
      <c r="I2" s="295"/>
      <c r="J2" s="295"/>
      <c r="K2" s="295"/>
      <c r="L2" s="295"/>
      <c r="M2" s="295"/>
      <c r="N2" s="300" t="s">
        <v>256</v>
      </c>
      <c r="O2" s="301"/>
      <c r="P2" s="301"/>
      <c r="Q2" s="301"/>
      <c r="R2" s="302"/>
      <c r="S2" s="148"/>
      <c r="T2" s="148"/>
      <c r="U2" s="148"/>
      <c r="V2" s="148"/>
      <c r="W2" s="148"/>
      <c r="X2" s="148"/>
      <c r="Y2" s="139"/>
      <c r="Z2" s="139"/>
      <c r="AA2" s="139"/>
      <c r="AB2" s="139"/>
      <c r="AC2" s="139"/>
      <c r="AD2" s="139"/>
      <c r="AE2" s="139"/>
      <c r="AF2" s="139"/>
      <c r="AG2" s="139"/>
      <c r="AH2" s="139"/>
      <c r="AI2" s="139"/>
      <c r="AJ2" s="139"/>
      <c r="AK2" s="139"/>
      <c r="AL2" s="139"/>
      <c r="AM2" s="139"/>
      <c r="AN2" s="139"/>
      <c r="AO2" s="148"/>
      <c r="AP2" s="148"/>
      <c r="AQ2" s="148"/>
      <c r="AR2" s="148"/>
      <c r="AS2" s="148"/>
      <c r="AT2" s="148"/>
      <c r="AU2" s="138"/>
      <c r="AV2" s="138"/>
      <c r="AW2" s="138"/>
      <c r="AX2" s="138"/>
      <c r="AY2" s="138"/>
      <c r="AZ2" s="13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row>
    <row r="3" spans="1:84" ht="24" customHeight="1" x14ac:dyDescent="0.3">
      <c r="A3" s="295"/>
      <c r="B3" s="295"/>
      <c r="C3" s="295"/>
      <c r="D3" s="295"/>
      <c r="E3" s="295"/>
      <c r="F3" s="295"/>
      <c r="G3" s="295"/>
      <c r="H3" s="295"/>
      <c r="I3" s="295"/>
      <c r="J3" s="295"/>
      <c r="K3" s="295"/>
      <c r="L3" s="295"/>
      <c r="M3" s="295"/>
      <c r="N3" s="300" t="s">
        <v>315</v>
      </c>
      <c r="O3" s="301"/>
      <c r="P3" s="301"/>
      <c r="Q3" s="301"/>
      <c r="R3" s="302"/>
      <c r="S3" s="149"/>
      <c r="T3" s="149"/>
      <c r="U3" s="149"/>
      <c r="V3" s="149"/>
      <c r="W3" s="149"/>
      <c r="X3" s="149"/>
      <c r="Y3" s="139"/>
      <c r="Z3" s="139"/>
      <c r="AA3" s="139"/>
      <c r="AB3" s="139"/>
      <c r="AC3" s="139"/>
      <c r="AD3" s="139"/>
      <c r="AE3" s="139"/>
      <c r="AF3" s="139"/>
      <c r="AG3" s="139"/>
      <c r="AH3" s="139"/>
      <c r="AI3" s="139"/>
      <c r="AJ3" s="139"/>
      <c r="AK3" s="139"/>
      <c r="AL3" s="139"/>
      <c r="AM3" s="139"/>
      <c r="AN3" s="139"/>
      <c r="AO3" s="149"/>
      <c r="AP3" s="149"/>
      <c r="AQ3" s="149"/>
      <c r="AR3" s="149"/>
      <c r="AS3" s="149"/>
      <c r="AT3" s="149"/>
      <c r="AU3" s="139"/>
      <c r="AV3" s="139"/>
      <c r="AW3" s="139"/>
      <c r="AX3" s="139"/>
      <c r="AY3" s="139"/>
      <c r="AZ3" s="139"/>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row>
    <row r="4" spans="1:84" ht="28.15" customHeight="1" x14ac:dyDescent="0.3">
      <c r="A4" s="295"/>
      <c r="B4" s="295"/>
      <c r="C4" s="295"/>
      <c r="D4" s="295"/>
      <c r="E4" s="295"/>
      <c r="F4" s="295"/>
      <c r="G4" s="295"/>
      <c r="H4" s="295"/>
      <c r="I4" s="295"/>
      <c r="J4" s="295"/>
      <c r="K4" s="295"/>
      <c r="L4" s="295"/>
      <c r="M4" s="295"/>
      <c r="N4" s="303" t="s">
        <v>316</v>
      </c>
      <c r="O4" s="304"/>
      <c r="P4" s="304"/>
      <c r="Q4" s="304"/>
      <c r="R4" s="305"/>
      <c r="S4" s="8"/>
      <c r="T4" s="8"/>
      <c r="U4" s="8"/>
      <c r="V4" s="8"/>
      <c r="W4" s="8"/>
      <c r="X4" s="8"/>
      <c r="Y4" s="152"/>
      <c r="Z4" s="152"/>
      <c r="AA4" s="152"/>
      <c r="AB4" s="152"/>
      <c r="AC4" s="152"/>
      <c r="AD4" s="152"/>
      <c r="AE4" s="152"/>
      <c r="AF4" s="152"/>
      <c r="AG4" s="152"/>
      <c r="AH4" s="152"/>
      <c r="AI4" s="152"/>
      <c r="AJ4" s="152"/>
      <c r="AK4" s="152"/>
      <c r="AL4" s="152"/>
      <c r="AM4" s="152"/>
      <c r="AN4" s="152"/>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row>
    <row r="5" spans="1:84" ht="26.25" customHeight="1" x14ac:dyDescent="0.3">
      <c r="A5" s="306" t="s">
        <v>61</v>
      </c>
      <c r="B5" s="307"/>
      <c r="C5" s="308"/>
      <c r="D5" s="286" t="s">
        <v>62</v>
      </c>
      <c r="E5" s="287"/>
      <c r="F5" s="287"/>
      <c r="G5" s="287"/>
      <c r="H5" s="287"/>
      <c r="I5" s="287"/>
      <c r="J5" s="287"/>
      <c r="K5" s="287"/>
      <c r="L5" s="287"/>
      <c r="M5" s="287"/>
      <c r="N5" s="287"/>
      <c r="O5" s="287"/>
      <c r="P5" s="287"/>
      <c r="Q5" s="287"/>
      <c r="R5" s="288"/>
      <c r="S5" s="146"/>
      <c r="T5" s="146"/>
      <c r="U5" s="146"/>
      <c r="V5" s="146"/>
      <c r="W5" s="146"/>
      <c r="X5" s="146"/>
      <c r="Y5" s="244"/>
      <c r="Z5" s="244"/>
      <c r="AA5" s="244"/>
      <c r="AB5" s="152"/>
      <c r="AC5" s="152"/>
      <c r="AD5" s="152"/>
      <c r="AE5" s="152"/>
      <c r="AF5" s="152"/>
      <c r="AG5" s="152"/>
      <c r="AH5" s="152"/>
      <c r="AI5" s="152"/>
      <c r="AJ5" s="152"/>
      <c r="AK5" s="152"/>
      <c r="AL5" s="152"/>
      <c r="AM5" s="152"/>
      <c r="AN5" s="152"/>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row>
    <row r="6" spans="1:84" ht="39.6" customHeight="1" x14ac:dyDescent="0.3">
      <c r="A6" s="309" t="s">
        <v>63</v>
      </c>
      <c r="B6" s="310"/>
      <c r="C6" s="311"/>
      <c r="D6" s="289" t="s">
        <v>64</v>
      </c>
      <c r="E6" s="290"/>
      <c r="F6" s="290"/>
      <c r="G6" s="290"/>
      <c r="H6" s="290"/>
      <c r="I6" s="290"/>
      <c r="J6" s="290"/>
      <c r="K6" s="290"/>
      <c r="L6" s="290"/>
      <c r="M6" s="290"/>
      <c r="N6" s="290"/>
      <c r="O6" s="290"/>
      <c r="P6" s="290"/>
      <c r="Q6" s="290"/>
      <c r="R6" s="291"/>
      <c r="S6" s="147"/>
      <c r="T6" s="147"/>
      <c r="U6" s="147"/>
      <c r="V6" s="147"/>
      <c r="W6" s="147"/>
      <c r="X6" s="147"/>
      <c r="Y6" s="152"/>
      <c r="Z6" s="152"/>
      <c r="AA6" s="152"/>
      <c r="AB6" s="152"/>
      <c r="AC6" s="152"/>
      <c r="AD6" s="152"/>
      <c r="AE6" s="152"/>
      <c r="AF6" s="152"/>
      <c r="AG6" s="152"/>
      <c r="AH6" s="152"/>
      <c r="AI6" s="152"/>
      <c r="AJ6" s="152"/>
      <c r="AK6" s="152"/>
      <c r="AL6" s="152"/>
      <c r="AM6" s="152"/>
      <c r="AN6" s="152"/>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row>
    <row r="7" spans="1:84" ht="49.5" customHeight="1" x14ac:dyDescent="0.3">
      <c r="A7" s="312" t="s">
        <v>65</v>
      </c>
      <c r="B7" s="313"/>
      <c r="C7" s="314"/>
      <c r="D7" s="292" t="s">
        <v>66</v>
      </c>
      <c r="E7" s="293"/>
      <c r="F7" s="293"/>
      <c r="G7" s="293"/>
      <c r="H7" s="293"/>
      <c r="I7" s="293"/>
      <c r="J7" s="293"/>
      <c r="K7" s="293"/>
      <c r="L7" s="293"/>
      <c r="M7" s="293"/>
      <c r="N7" s="293"/>
      <c r="O7" s="293"/>
      <c r="P7" s="293"/>
      <c r="Q7" s="293"/>
      <c r="R7" s="294"/>
      <c r="S7" s="147"/>
      <c r="T7" s="147"/>
      <c r="U7" s="147"/>
      <c r="V7" s="147"/>
      <c r="W7" s="147"/>
      <c r="X7" s="147"/>
      <c r="Y7" s="152"/>
      <c r="Z7" s="152"/>
      <c r="AA7" s="152"/>
      <c r="AB7" s="152"/>
      <c r="AC7" s="152"/>
      <c r="AD7" s="152"/>
      <c r="AE7" s="152"/>
      <c r="AF7" s="152"/>
      <c r="AG7" s="152"/>
      <c r="AH7" s="152"/>
      <c r="AI7" s="152"/>
      <c r="AJ7" s="152"/>
      <c r="AK7" s="152"/>
      <c r="AL7" s="152"/>
      <c r="AM7" s="152"/>
      <c r="AN7" s="152"/>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row>
    <row r="8" spans="1:84" x14ac:dyDescent="0.3">
      <c r="A8" s="245" t="s">
        <v>257</v>
      </c>
      <c r="B8" s="245"/>
      <c r="C8" s="245"/>
      <c r="D8" s="245"/>
      <c r="E8" s="245"/>
      <c r="F8" s="245"/>
      <c r="G8" s="245"/>
      <c r="H8" s="245"/>
      <c r="I8" s="245"/>
      <c r="J8" s="245"/>
      <c r="K8" s="245"/>
      <c r="L8" s="245" t="s">
        <v>67</v>
      </c>
      <c r="M8" s="245"/>
      <c r="N8" s="245"/>
      <c r="O8" s="245"/>
      <c r="P8" s="245"/>
      <c r="Q8" s="245"/>
      <c r="R8" s="245"/>
      <c r="S8" s="228" t="s">
        <v>263</v>
      </c>
      <c r="T8" s="229"/>
      <c r="U8" s="229"/>
      <c r="V8" s="229"/>
      <c r="W8" s="229"/>
      <c r="X8" s="253"/>
      <c r="Y8" s="281" t="s">
        <v>68</v>
      </c>
      <c r="Z8" s="281"/>
      <c r="AA8" s="281"/>
      <c r="AB8" s="281"/>
      <c r="AC8" s="281"/>
      <c r="AD8" s="281"/>
      <c r="AE8" s="281"/>
      <c r="AF8" s="281"/>
      <c r="AG8" s="282"/>
      <c r="AH8" s="248" t="s">
        <v>69</v>
      </c>
      <c r="AI8" s="281"/>
      <c r="AJ8" s="281"/>
      <c r="AK8" s="281"/>
      <c r="AL8" s="281"/>
      <c r="AM8" s="281"/>
      <c r="AN8" s="282"/>
      <c r="AO8" s="228" t="s">
        <v>267</v>
      </c>
      <c r="AP8" s="229"/>
      <c r="AQ8" s="229"/>
      <c r="AR8" s="229"/>
      <c r="AS8" s="230"/>
      <c r="AT8" s="230"/>
      <c r="AU8" s="248" t="s">
        <v>70</v>
      </c>
      <c r="AV8" s="281"/>
      <c r="AW8" s="281"/>
      <c r="AX8" s="281"/>
      <c r="AY8" s="281"/>
      <c r="AZ8" s="282"/>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row>
    <row r="9" spans="1:84" ht="16.5" customHeight="1" x14ac:dyDescent="0.3">
      <c r="A9" s="257" t="s">
        <v>71</v>
      </c>
      <c r="B9" s="136"/>
      <c r="C9" s="250" t="s">
        <v>15</v>
      </c>
      <c r="D9" s="135"/>
      <c r="E9" s="238" t="s">
        <v>72</v>
      </c>
      <c r="F9" s="238" t="s">
        <v>73</v>
      </c>
      <c r="G9" s="250" t="s">
        <v>21</v>
      </c>
      <c r="H9" s="252" t="s">
        <v>259</v>
      </c>
      <c r="I9" s="252" t="s">
        <v>258</v>
      </c>
      <c r="J9" s="246" t="s">
        <v>23</v>
      </c>
      <c r="K9" s="238" t="s">
        <v>74</v>
      </c>
      <c r="L9" s="246" t="s">
        <v>75</v>
      </c>
      <c r="M9" s="247" t="s">
        <v>76</v>
      </c>
      <c r="N9" s="246" t="s">
        <v>77</v>
      </c>
      <c r="O9" s="246" t="s">
        <v>78</v>
      </c>
      <c r="P9" s="249" t="s">
        <v>79</v>
      </c>
      <c r="Q9" s="247" t="s">
        <v>76</v>
      </c>
      <c r="R9" s="238" t="s">
        <v>29</v>
      </c>
      <c r="S9" s="254" t="s">
        <v>94</v>
      </c>
      <c r="T9" s="254"/>
      <c r="U9" s="254"/>
      <c r="V9" s="254"/>
      <c r="W9" s="254" t="s">
        <v>264</v>
      </c>
      <c r="X9" s="254"/>
      <c r="Y9" s="242" t="s">
        <v>80</v>
      </c>
      <c r="Z9" s="239" t="s">
        <v>262</v>
      </c>
      <c r="AA9" s="237" t="s">
        <v>33</v>
      </c>
      <c r="AB9" s="239" t="s">
        <v>81</v>
      </c>
      <c r="AC9" s="239"/>
      <c r="AD9" s="239"/>
      <c r="AE9" s="239"/>
      <c r="AF9" s="239"/>
      <c r="AG9" s="239"/>
      <c r="AH9" s="236" t="s">
        <v>82</v>
      </c>
      <c r="AI9" s="236" t="s">
        <v>83</v>
      </c>
      <c r="AJ9" s="236" t="s">
        <v>76</v>
      </c>
      <c r="AK9" s="236" t="s">
        <v>84</v>
      </c>
      <c r="AL9" s="236" t="s">
        <v>76</v>
      </c>
      <c r="AM9" s="236" t="s">
        <v>85</v>
      </c>
      <c r="AN9" s="242" t="s">
        <v>49</v>
      </c>
      <c r="AO9" s="231" t="s">
        <v>94</v>
      </c>
      <c r="AP9" s="231"/>
      <c r="AQ9" s="231"/>
      <c r="AR9" s="231"/>
      <c r="AS9" s="232" t="s">
        <v>264</v>
      </c>
      <c r="AT9" s="233"/>
      <c r="AU9" s="239" t="s">
        <v>70</v>
      </c>
      <c r="AV9" s="239" t="s">
        <v>86</v>
      </c>
      <c r="AW9" s="239" t="s">
        <v>87</v>
      </c>
      <c r="AX9" s="239" t="s">
        <v>88</v>
      </c>
      <c r="AY9" s="239" t="s">
        <v>89</v>
      </c>
      <c r="AZ9" s="239" t="s">
        <v>53</v>
      </c>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row>
    <row r="10" spans="1:84" s="4" customFormat="1" ht="94.5" customHeight="1" x14ac:dyDescent="0.25">
      <c r="A10" s="258"/>
      <c r="B10" s="134" t="s">
        <v>90</v>
      </c>
      <c r="C10" s="251"/>
      <c r="D10" s="133" t="s">
        <v>91</v>
      </c>
      <c r="E10" s="239"/>
      <c r="F10" s="239"/>
      <c r="G10" s="251"/>
      <c r="H10" s="250"/>
      <c r="I10" s="250"/>
      <c r="J10" s="238"/>
      <c r="K10" s="239"/>
      <c r="L10" s="238"/>
      <c r="M10" s="248"/>
      <c r="N10" s="238"/>
      <c r="O10" s="238"/>
      <c r="P10" s="248"/>
      <c r="Q10" s="248"/>
      <c r="R10" s="239"/>
      <c r="S10" s="255" t="s">
        <v>137</v>
      </c>
      <c r="T10" s="256"/>
      <c r="U10" s="255" t="s">
        <v>15</v>
      </c>
      <c r="V10" s="256"/>
      <c r="W10" s="144" t="s">
        <v>265</v>
      </c>
      <c r="X10" s="144" t="s">
        <v>266</v>
      </c>
      <c r="Y10" s="243"/>
      <c r="Z10" s="239"/>
      <c r="AA10" s="238"/>
      <c r="AB10" s="7" t="s">
        <v>92</v>
      </c>
      <c r="AC10" s="7" t="s">
        <v>93</v>
      </c>
      <c r="AD10" s="7" t="s">
        <v>94</v>
      </c>
      <c r="AE10" s="7" t="s">
        <v>95</v>
      </c>
      <c r="AF10" s="7" t="s">
        <v>96</v>
      </c>
      <c r="AG10" s="7" t="s">
        <v>97</v>
      </c>
      <c r="AH10" s="236"/>
      <c r="AI10" s="236"/>
      <c r="AJ10" s="236"/>
      <c r="AK10" s="236"/>
      <c r="AL10" s="236"/>
      <c r="AM10" s="236"/>
      <c r="AN10" s="243"/>
      <c r="AO10" s="234" t="s">
        <v>137</v>
      </c>
      <c r="AP10" s="235"/>
      <c r="AQ10" s="234" t="s">
        <v>15</v>
      </c>
      <c r="AR10" s="235"/>
      <c r="AS10" s="163" t="s">
        <v>268</v>
      </c>
      <c r="AT10" s="145" t="s">
        <v>269</v>
      </c>
      <c r="AU10" s="239"/>
      <c r="AV10" s="239"/>
      <c r="AW10" s="239"/>
      <c r="AX10" s="239"/>
      <c r="AY10" s="239"/>
      <c r="AZ10" s="239"/>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row>
    <row r="11" spans="1:84" s="3" customFormat="1" ht="167.25" customHeight="1" x14ac:dyDescent="0.25">
      <c r="A11" s="124">
        <v>1</v>
      </c>
      <c r="B11" s="263" t="s">
        <v>98</v>
      </c>
      <c r="C11" s="127" t="s">
        <v>99</v>
      </c>
      <c r="D11" s="127" t="s">
        <v>100</v>
      </c>
      <c r="E11" s="127" t="s">
        <v>242</v>
      </c>
      <c r="F11" s="127" t="s">
        <v>101</v>
      </c>
      <c r="G11" s="130" t="s">
        <v>241</v>
      </c>
      <c r="H11" s="130"/>
      <c r="I11" s="130" t="s">
        <v>102</v>
      </c>
      <c r="J11" s="127" t="s">
        <v>103</v>
      </c>
      <c r="K11" s="220">
        <v>3</v>
      </c>
      <c r="L11" s="219" t="str">
        <f>IF(K11&lt;=0,"",IF(K11&lt;=2,"Muy Baja",IF(K11&lt;=24,"Baja",IF(K11&lt;=500,"Media",IF(K11&lt;=5000,"Alta","Muy Alta")))))</f>
        <v>Baja</v>
      </c>
      <c r="M11" s="217">
        <f>IF(L11="","",IF(L11="Muy Baja",0.2,IF(L11="Baja",0.4,IF(L11="Media",0.6,IF(L11="Alta",0.8,IF(L11="Muy Alta",1,))))))</f>
        <v>0.4</v>
      </c>
      <c r="N11" s="218" t="s">
        <v>104</v>
      </c>
      <c r="O11" s="217" t="str">
        <f>IF(NOT(ISERROR(MATCH(N11,'Tabla Impacto'!$B$221:$B$223,0))),'Tabla Impacto'!$F$223&amp;"Por favor no seleccionar los criterios de impacto(Afectación Económica o presupuestal y Pérdida Reputacional)",N11)</f>
        <v xml:space="preserve">     El riesgo afecta la imagen de la entidad a nivel nacional, con efecto publicitarios sostenible a nivel país</v>
      </c>
      <c r="P11" s="219" t="str">
        <f>IF(OR(O11='Tabla Impacto'!$C$11,O11='Tabla Impacto'!$D$11),"Leve",IF(OR(O11='Tabla Impacto'!$C$12,O11='Tabla Impacto'!$D$12),"Menor",IF(OR(O11='Tabla Impacto'!$C$13,O11='Tabla Impacto'!$D$13),"Moderado",IF(OR(O11='Tabla Impacto'!$C$14,O11='Tabla Impacto'!$D$14),"Mayor",IF(OR(O11='Tabla Impacto'!$C$15,O11='Tabla Impacto'!$D$15),"Catastrófico","")))))</f>
        <v>Catastrófico</v>
      </c>
      <c r="Q11" s="217">
        <f>IF(P11="","",IF(P11="Leve",0.2,IF(P11="Menor",0.4,IF(P11="Moderado",0.6,IF(P11="Mayor",0.8,IF(P11="Catastrófico",1,))))))</f>
        <v>1</v>
      </c>
      <c r="R11" s="151" t="str">
        <f>IF(OR(AND(L11="Muy Baja",P11="Leve"),AND(L11="Muy Baja",P11="Menor"),AND(L11="Baja",P11="Leve")),"Bajo",IF(OR(AND(L11="Muy baja",P11="Moderado"),AND(L11="Baja",P11="Menor"),AND(L11="Baja",P11="Moderado"),AND(L11="Media",P11="Leve"),AND(L11="Media",P11="Menor"),AND(L11="Media",P11="Moderado"),AND(L11="Alta",P11="Leve"),AND(L11="Alta",P11="Menor")),"Moderado",IF(OR(AND(L11="Muy Baja",P11="Mayor"),AND(L11="Baja",P11="Mayor"),AND(L11="Media",P11="Mayor"),AND(L11="Alta",P11="Moderado"),AND(L11="Alta",P11="Mayor"),AND(L11="Muy Alta",P11="Leve"),AND(L11="Muy Alta",P11="Menor"),AND(L11="Muy Alta",P11="Moderado"),AND(L11="Muy Alta",P11="Mayor")),"Alto",IF(OR(AND(L11="Muy Baja",P11="Catastrófico"),AND(L11="Baja",P11="Catastrófico"),AND(L11="Media",P11="Catastrófico"),AND(L11="Alta",P11="Catastrófico"),AND(L11="Muy Alta",P11="Catastrófico")),"Extremo",""))))</f>
        <v>Extremo</v>
      </c>
      <c r="S11" s="150"/>
      <c r="T11" s="150" t="str">
        <f>+IF(S11=5,"CASI SEGURO",(IF(S11=4,"PROBABLE",(IF(S11=3,"POSIBLE",(IF(S11=2,"RARA VEZ",(IF(S11=1,"IMPROBABLE","")))))))))</f>
        <v/>
      </c>
      <c r="U11" s="150"/>
      <c r="V11" s="150" t="str">
        <f>+IF(U11=5,"ALTO",(IF(U11=3,"MEDIO",(IF(U11=1,"BAJO",IF(OR(U11=2,U11=4),"NO APLICA",""))))))</f>
        <v/>
      </c>
      <c r="W11" s="150" t="str">
        <f>IF(AND(S11&lt;&gt;"",U11&lt;&gt;"",V11&lt;&gt;"NO APLICA"),S11*U11,"")</f>
        <v/>
      </c>
      <c r="X11" s="150" t="str">
        <f>IF(AND(W11&lt;4,W11&gt;0),"BAJA",IF(AND(W11&gt;9,W11&lt;26),"ALTA",IF(AND(W11&gt;3,W11&lt;10),"MEDIA","")))</f>
        <v/>
      </c>
      <c r="Y11" s="6">
        <v>1</v>
      </c>
      <c r="Z11" s="153" t="s">
        <v>105</v>
      </c>
      <c r="AA11" s="154" t="str">
        <f t="shared" ref="AA11:AA21" si="0">IF(OR(AB11="Preventivo",AB11="Detectivo"),"Probabilidad",IF(AB11="Correctivo","Impacto",""))</f>
        <v>Impacto</v>
      </c>
      <c r="AB11" s="155" t="s">
        <v>106</v>
      </c>
      <c r="AC11" s="155" t="s">
        <v>107</v>
      </c>
      <c r="AD11" s="156" t="str">
        <f>IF(AND(AB11="Preventivo",AC11="Automático"),"50%",IF(AND(AB11="Preventivo",AC11="Manual"),"40%",IF(AND(AB11="Detectivo",AC11="Automático"),"40%",IF(AND(AB11="Detectivo",AC11="Manual"),"30%",IF(AND(AB11="Correctivo",AC11="Automático"),"35%",IF(AND(AB11="Correctivo",AC11="Manual"),"25%",""))))))</f>
        <v>25%</v>
      </c>
      <c r="AE11" s="155" t="s">
        <v>108</v>
      </c>
      <c r="AF11" s="155" t="s">
        <v>109</v>
      </c>
      <c r="AG11" s="155" t="s">
        <v>110</v>
      </c>
      <c r="AH11" s="157">
        <f>IFERROR(IF(AA11="Probabilidad",(M11-(+M11*AD11)),IF(AA11="Impacto",M11,"")),"")</f>
        <v>0.4</v>
      </c>
      <c r="AI11" s="158" t="str">
        <f>IFERROR(IF(AH11="","",IF(AH11&lt;=0.2,"Muy Baja",IF(AH11&lt;=0.4,"Baja",IF(AH11&lt;=0.6,"Media",IF(AH11&lt;=0.8,"Alta","Muy Alta"))))),"")</f>
        <v>Baja</v>
      </c>
      <c r="AJ11" s="159">
        <f>+AH11</f>
        <v>0.4</v>
      </c>
      <c r="AK11" s="158" t="str">
        <f>IFERROR(IF(AL11="","",IF(AL11&lt;=0.2,"Leve",IF(AL11&lt;=0.4,"Menor",IF(AL11&lt;=0.6,"Moderado",IF(AL11&lt;=0.8,"Mayor","Catastrófico"))))),"")</f>
        <v>Mayor</v>
      </c>
      <c r="AL11" s="159">
        <f>IFERROR(IF(AA11="Impacto",(Q11-(+Q11*AD11)),IF(AA11="Probabilidad",Q11,"")),"")</f>
        <v>0.75</v>
      </c>
      <c r="AM11" s="160" t="str">
        <f>IFERROR(IF(OR(AND(AI11="Muy Baja",AK11="Leve"),AND(AI11="Muy Baja",AK11="Menor"),AND(AI11="Baja",AK11="Leve")),"Bajo",IF(OR(AND(AI11="Muy baja",AK11="Moderado"),AND(AI11="Baja",AK11="Menor"),AND(AI11="Baja",AK11="Moderado"),AND(AI11="Media",AK11="Leve"),AND(AI11="Media",AK11="Menor"),AND(AI11="Media",AK11="Moderado"),AND(AI11="Alta",AK11="Leve"),AND(AI11="Alta",AK11="Menor")),"Moderado",IF(OR(AND(AI11="Muy Baja",AK11="Mayor"),AND(AI11="Baja",AK11="Mayor"),AND(AI11="Media",AK11="Mayor"),AND(AI11="Alta",AK11="Moderado"),AND(AI11="Alta",AK11="Mayor"),AND(AI11="Muy Alta",AK11="Leve"),AND(AI11="Muy Alta",AK11="Menor"),AND(AI11="Muy Alta",AK11="Moderado"),AND(AI11="Muy Alta",AK11="Mayor")),"Alto",IF(OR(AND(AI11="Muy Baja",AK11="Catastrófico"),AND(AI11="Baja",AK11="Catastrófico"),AND(AI11="Media",AK11="Catastrófico"),AND(AI11="Alta",AK11="Catastrófico"),AND(AI11="Muy Alta",AK11="Catastrófico")),"Extremo","")))),"")</f>
        <v>Alto</v>
      </c>
      <c r="AN11" s="161" t="s">
        <v>111</v>
      </c>
      <c r="AO11" s="150"/>
      <c r="AP11" s="164"/>
      <c r="AQ11" s="150"/>
      <c r="AR11" s="164"/>
      <c r="AS11" s="150"/>
      <c r="AT11" s="164"/>
      <c r="AU11" s="140" t="s">
        <v>112</v>
      </c>
      <c r="AV11" s="140" t="s">
        <v>113</v>
      </c>
      <c r="AW11" s="143" t="s">
        <v>254</v>
      </c>
      <c r="AX11" s="143">
        <v>45930</v>
      </c>
      <c r="AY11" s="520" t="s">
        <v>312</v>
      </c>
      <c r="AZ11" s="140" t="s">
        <v>229</v>
      </c>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row>
    <row r="12" spans="1:84" ht="210.75" customHeight="1" x14ac:dyDescent="0.3">
      <c r="A12" s="259">
        <v>2</v>
      </c>
      <c r="B12" s="264"/>
      <c r="C12" s="261" t="s">
        <v>99</v>
      </c>
      <c r="D12" s="127" t="s">
        <v>114</v>
      </c>
      <c r="E12" s="261" t="s">
        <v>244</v>
      </c>
      <c r="F12" s="261" t="s">
        <v>248</v>
      </c>
      <c r="G12" s="265" t="s">
        <v>243</v>
      </c>
      <c r="H12" s="130"/>
      <c r="I12" s="130" t="s">
        <v>249</v>
      </c>
      <c r="J12" s="261" t="s">
        <v>103</v>
      </c>
      <c r="K12" s="271">
        <v>12</v>
      </c>
      <c r="L12" s="224" t="str">
        <f>IF(K12&lt;=0,"",IF(K12&lt;=2,"Muy Baja",IF(K12&lt;=24,"Baja",IF(K12&lt;=500,"Media",IF(K12&lt;=5000,"Alta","Muy Alta")))))</f>
        <v>Baja</v>
      </c>
      <c r="M12" s="226">
        <f>IF(L12="","",IF(L12="Muy Baja",0.2,IF(L12="Baja",0.4,IF(L12="Media",0.6,IF(L12="Alta",0.8,IF(L12="Muy Alta",1,))))))</f>
        <v>0.4</v>
      </c>
      <c r="N12" s="269" t="s">
        <v>115</v>
      </c>
      <c r="O12" s="226" t="str">
        <f>IF(NOT(ISERROR(MATCH(N12,'Tabla Impacto'!$B$221:$B$223,0))),'Tabla Impacto'!$F$223&amp;"Por favor no seleccionar los criterios de impacto(Afectación Económica o presupuestal y Pérdida Reputacional)",N12)</f>
        <v xml:space="preserve">     El riesgo afecta la imagen de la entidad internamente, de conocimiento general, nivel interno, de junta dircetiva y accionistas y/o de provedores</v>
      </c>
      <c r="P12" s="224" t="str">
        <f>IF(OR(O12='Tabla Impacto'!$C$11,O12='Tabla Impacto'!$D$11),"Leve",IF(OR(O12='Tabla Impacto'!$C$12,O12='Tabla Impacto'!$D$12),"Menor",IF(OR(O12='Tabla Impacto'!$C$13,O12='Tabla Impacto'!$D$13),"Moderado",IF(OR(O12='Tabla Impacto'!$C$14,O12='Tabla Impacto'!$D$14),"Mayor",IF(OR(O12='Tabla Impacto'!$C$15,O12='Tabla Impacto'!$D$15),"Catastrófico","")))))</f>
        <v>Menor</v>
      </c>
      <c r="Q12" s="226">
        <f>IF(P12="","",IF(P12="Leve",0.2,IF(P12="Menor",0.4,IF(P12="Moderado",0.6,IF(P12="Mayor",0.8,IF(P12="Catastrófico",1,))))))</f>
        <v>0.4</v>
      </c>
      <c r="R12" s="267" t="str">
        <f>IF(OR(AND(L12="Muy Baja",P12="Leve"),AND(L12="Muy Baja",P12="Menor"),AND(L12="Baja",P12="Leve")),"Bajo",IF(OR(AND(L12="Muy baja",P12="Moderado"),AND(L12="Baja",P12="Menor"),AND(L12="Baja",P12="Moderado"),AND(L12="Media",P12="Leve"),AND(L12="Media",P12="Menor"),AND(L12="Media",P12="Moderado"),AND(L12="Alta",P12="Leve"),AND(L12="Alta",P12="Menor")),"Moderado",IF(OR(AND(L12="Muy Baja",P12="Mayor"),AND(L12="Baja",P12="Mayor"),AND(L12="Media",P12="Mayor"),AND(L12="Alta",P12="Moderado"),AND(L12="Alta",P12="Mayor"),AND(L12="Muy Alta",P12="Leve"),AND(L12="Muy Alta",P12="Menor"),AND(L12="Muy Alta",P12="Moderado"),AND(L12="Muy Alta",P12="Mayor")),"Alto",IF(OR(AND(L12="Muy Baja",P12="Catastrófico"),AND(L12="Baja",P12="Catastrófico"),AND(L12="Media",P12="Catastrófico"),AND(L12="Alta",P12="Catastrófico"),AND(L12="Muy Alta",P12="Catastrófico")),"Extremo",""))))</f>
        <v>Moderado</v>
      </c>
      <c r="S12" s="150"/>
      <c r="T12" s="150" t="str">
        <f t="shared" ref="T12:T54" si="1">+IF(S12=5,"CASI SEGURO",(IF(S12=4,"PROBABLE",(IF(S12=3,"POSIBLE",(IF(S12=2,"RARA VEZ",(IF(S12=1,"IMPROBABLE","")))))))))</f>
        <v/>
      </c>
      <c r="U12" s="150"/>
      <c r="V12" s="150" t="str">
        <f t="shared" ref="V12:V54" si="2">+IF(U12=5,"ALTO",(IF(U12=3,"MEDIO",(IF(U12=1,"BAJO",IF(OR(U12=2,U12=4),"NO APLICA",""))))))</f>
        <v/>
      </c>
      <c r="W12" s="150" t="str">
        <f t="shared" ref="W12:W54" si="3">IF(AND(S12&lt;&gt;"",U12&lt;&gt;"",V12&lt;&gt;"NO APLICA"),S12*U12,"")</f>
        <v/>
      </c>
      <c r="X12" s="150" t="str">
        <f t="shared" ref="X12:X54" si="4">IF(AND(W12&lt;4,W12&gt;0),"BAJA",IF(AND(W12&gt;9,W12&lt;26),"ALTA",IF(AND(W12&gt;3,W12&lt;10),"MEDIA","")))</f>
        <v/>
      </c>
      <c r="Y12" s="6">
        <v>1</v>
      </c>
      <c r="Z12" s="153" t="s">
        <v>116</v>
      </c>
      <c r="AA12" s="154" t="str">
        <f t="shared" si="0"/>
        <v>Probabilidad</v>
      </c>
      <c r="AB12" s="155" t="s">
        <v>117</v>
      </c>
      <c r="AC12" s="155" t="s">
        <v>107</v>
      </c>
      <c r="AD12" s="156" t="str">
        <f>IF(AND(AB12="Preventivo",AC12="Automático"),"50%",IF(AND(AB12="Preventivo",AC12="Manual"),"40%",IF(AND(AB12="Detectivo",AC12="Automático"),"40%",IF(AND(AB12="Detectivo",AC12="Manual"),"30%",IF(AND(AB12="Correctivo",AC12="Automático"),"35%",IF(AND(AB12="Correctivo",AC12="Manual"),"25%",""))))))</f>
        <v>40%</v>
      </c>
      <c r="AE12" s="155" t="s">
        <v>108</v>
      </c>
      <c r="AF12" s="155" t="s">
        <v>109</v>
      </c>
      <c r="AG12" s="155" t="s">
        <v>110</v>
      </c>
      <c r="AH12" s="157">
        <f>IFERROR(IF(AA12="Probabilidad",(M12-(+M12*AD12)),IF(AA12="Impacto",M12,"")),"")</f>
        <v>0.24</v>
      </c>
      <c r="AI12" s="158" t="str">
        <f>IFERROR(IF(AH12="","",IF(AH12&lt;=0.2,"Muy Baja",IF(AH12&lt;=0.4,"Baja",IF(AH12&lt;=0.6,"Media",IF(AH12&lt;=0.8,"Alta","Muy Alta"))))),"")</f>
        <v>Baja</v>
      </c>
      <c r="AJ12" s="159">
        <f>+AH12</f>
        <v>0.24</v>
      </c>
      <c r="AK12" s="158" t="str">
        <f>IFERROR(IF(AL12="","",IF(AL12&lt;=0.2,"Leve",IF(AL12&lt;=0.4,"Menor",IF(AL12&lt;=0.6,"Moderado",IF(AL12&lt;=0.8,"Mayor","Catastrófico"))))),"")</f>
        <v>Menor</v>
      </c>
      <c r="AL12" s="159">
        <f>IFERROR(IF(AA12="Impacto",(Q12-(+Q12*AD12)),IF(AA12="Probabilidad",Q12,"")),"")</f>
        <v>0.4</v>
      </c>
      <c r="AM12" s="160" t="str">
        <f>IFERROR(IF(OR(AND(AI12="Muy Baja",AK12="Leve"),AND(AI12="Muy Baja",AK12="Menor"),AND(AI12="Baja",AK12="Leve")),"Bajo",IF(OR(AND(AI12="Muy baja",AK12="Moderado"),AND(AI12="Baja",AK12="Menor"),AND(AI12="Baja",AK12="Moderado"),AND(AI12="Media",AK12="Leve"),AND(AI12="Media",AK12="Menor"),AND(AI12="Media",AK12="Moderado"),AND(AI12="Alta",AK12="Leve"),AND(AI12="Alta",AK12="Menor")),"Moderado",IF(OR(AND(AI12="Muy Baja",AK12="Mayor"),AND(AI12="Baja",AK12="Mayor"),AND(AI12="Media",AK12="Mayor"),AND(AI12="Alta",AK12="Moderado"),AND(AI12="Alta",AK12="Mayor"),AND(AI12="Muy Alta",AK12="Leve"),AND(AI12="Muy Alta",AK12="Menor"),AND(AI12="Muy Alta",AK12="Moderado"),AND(AI12="Muy Alta",AK12="Mayor")),"Alto",IF(OR(AND(AI12="Muy Baja",AK12="Catastrófico"),AND(AI12="Baja",AK12="Catastrófico"),AND(AI12="Media",AK12="Catastrófico"),AND(AI12="Alta",AK12="Catastrófico"),AND(AI12="Muy Alta",AK12="Catastrófico")),"Extremo","")))),"")</f>
        <v>Moderado</v>
      </c>
      <c r="AN12" s="161" t="s">
        <v>111</v>
      </c>
      <c r="AO12" s="150"/>
      <c r="AP12" s="164" t="str">
        <f t="shared" ref="AP12:AP26" si="5">+IF(AO12=5,"CASI SEGURO",(IF(AO12=4,"PROBABLE",(IF(AO12=3,"POSIBLE",(IF(AO12=2,"RARA VEZ",(IF(AO12=1,"IMPROBABLE","")))))))))</f>
        <v/>
      </c>
      <c r="AQ12" s="150"/>
      <c r="AR12" s="164" t="str">
        <f t="shared" ref="AR12:AR26" si="6">+IF(AQ12=5,"ALTO",(IF(AQ12=3,"MEDIO",(IF(AQ12=1,"BAJO",IF(OR(AQ12=2,AQ12=4),"NO APLICA",""))))))</f>
        <v/>
      </c>
      <c r="AS12" s="150" t="str">
        <f t="shared" ref="AS12:AS26" si="7">IF(AND(AO12&lt;&gt;"",AQ12&lt;&gt;"",AR12&lt;&gt;"NO APLICA"),AO12*AQ12,"")</f>
        <v/>
      </c>
      <c r="AT12" s="164" t="str">
        <f t="shared" ref="AT12:AT26" si="8">IF(AND(AS12&lt;4,AS12&gt;0),"BAJA",IF(AND(AS12&gt;9,AS12&lt;26),"ALTA",IF(AND(AS12&gt;3,AS12&lt;10),"MEDIA","")))</f>
        <v/>
      </c>
      <c r="AU12" s="140" t="s">
        <v>118</v>
      </c>
      <c r="AV12" s="140" t="s">
        <v>119</v>
      </c>
      <c r="AW12" s="141" t="s">
        <v>120</v>
      </c>
      <c r="AX12" s="141" t="s">
        <v>120</v>
      </c>
      <c r="AY12" s="221" t="s">
        <v>317</v>
      </c>
      <c r="AZ12" s="140" t="s">
        <v>229</v>
      </c>
      <c r="BA12" s="152"/>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row>
    <row r="13" spans="1:84" ht="151.5" customHeight="1" x14ac:dyDescent="0.3">
      <c r="A13" s="260"/>
      <c r="B13" s="264"/>
      <c r="C13" s="262"/>
      <c r="D13" s="128" t="s">
        <v>121</v>
      </c>
      <c r="E13" s="262"/>
      <c r="F13" s="262"/>
      <c r="G13" s="266"/>
      <c r="H13" s="131"/>
      <c r="I13" s="131"/>
      <c r="J13" s="262"/>
      <c r="K13" s="272"/>
      <c r="L13" s="225"/>
      <c r="M13" s="227"/>
      <c r="N13" s="270"/>
      <c r="O13" s="227">
        <f>IF(NOT(ISERROR(MATCH(N13,_xlfn.ANCHORARRAY(G16),0))),M18&amp;"Por favor no seleccionar los criterios de impacto",N13)</f>
        <v>0</v>
      </c>
      <c r="P13" s="225"/>
      <c r="Q13" s="227"/>
      <c r="R13" s="268"/>
      <c r="S13" s="151"/>
      <c r="T13" s="151" t="str">
        <f t="shared" si="1"/>
        <v/>
      </c>
      <c r="U13" s="151"/>
      <c r="V13" s="151" t="str">
        <f t="shared" si="2"/>
        <v/>
      </c>
      <c r="W13" s="151" t="str">
        <f t="shared" si="3"/>
        <v/>
      </c>
      <c r="X13" s="151" t="str">
        <f t="shared" si="4"/>
        <v/>
      </c>
      <c r="Y13" s="6"/>
      <c r="Z13" s="153"/>
      <c r="AA13" s="154" t="str">
        <f t="shared" si="0"/>
        <v/>
      </c>
      <c r="AB13" s="155"/>
      <c r="AC13" s="155"/>
      <c r="AD13" s="156" t="str">
        <f t="shared" ref="AD13" si="9">IF(AND(AB13="Preventivo",AC13="Automático"),"50%",IF(AND(AB13="Preventivo",AC13="Manual"),"40%",IF(AND(AB13="Detectivo",AC13="Automático"),"40%",IF(AND(AB13="Detectivo",AC13="Manual"),"30%",IF(AND(AB13="Correctivo",AC13="Automático"),"35%",IF(AND(AB13="Correctivo",AC13="Manual"),"25%",""))))))</f>
        <v/>
      </c>
      <c r="AE13" s="155"/>
      <c r="AF13" s="155"/>
      <c r="AG13" s="155"/>
      <c r="AH13" s="157" t="str">
        <f>IFERROR(IF(AND(AA12="Probabilidad",AA13="Probabilidad"),(AJ12-(+AJ12*AD13)),IF(AA13="Probabilidad",(M12-(+M12*AD13)),IF(AA13="Impacto",AJ12,""))),"")</f>
        <v/>
      </c>
      <c r="AI13" s="158" t="str">
        <f t="shared" ref="AI13:AI54" si="10">IFERROR(IF(AH13="","",IF(AH13&lt;=0.2,"Muy Baja",IF(AH13&lt;=0.4,"Baja",IF(AH13&lt;=0.6,"Media",IF(AH13&lt;=0.8,"Alta","Muy Alta"))))),"")</f>
        <v/>
      </c>
      <c r="AJ13" s="159" t="str">
        <f t="shared" ref="AJ13" si="11">+AH13</f>
        <v/>
      </c>
      <c r="AK13" s="158" t="str">
        <f t="shared" ref="AK13:AK54" si="12">IFERROR(IF(AL13="","",IF(AL13&lt;=0.2,"Leve",IF(AL13&lt;=0.4,"Menor",IF(AL13&lt;=0.6,"Moderado",IF(AL13&lt;=0.8,"Mayor","Catastrófico"))))),"")</f>
        <v/>
      </c>
      <c r="AL13" s="159" t="str">
        <f>IFERROR(IF(AND(AA12="Impacto",AA13="Impacto"),(AL12-(+AL12*AD13)),IF(AA13="Impacto",(Q12-(+Q12*AD13)),IF(AA13="Probabilidad",AL12,""))),"")</f>
        <v/>
      </c>
      <c r="AM13" s="160" t="str">
        <f t="shared" ref="AM13" si="13">IFERROR(IF(OR(AND(AI13="Muy Baja",AK13="Leve"),AND(AI13="Muy Baja",AK13="Menor"),AND(AI13="Baja",AK13="Leve")),"Bajo",IF(OR(AND(AI13="Muy baja",AK13="Moderado"),AND(AI13="Baja",AK13="Menor"),AND(AI13="Baja",AK13="Moderado"),AND(AI13="Media",AK13="Leve"),AND(AI13="Media",AK13="Menor"),AND(AI13="Media",AK13="Moderado"),AND(AI13="Alta",AK13="Leve"),AND(AI13="Alta",AK13="Menor")),"Moderado",IF(OR(AND(AI13="Muy Baja",AK13="Mayor"),AND(AI13="Baja",AK13="Mayor"),AND(AI13="Media",AK13="Mayor"),AND(AI13="Alta",AK13="Moderado"),AND(AI13="Alta",AK13="Mayor"),AND(AI13="Muy Alta",AK13="Leve"),AND(AI13="Muy Alta",AK13="Menor"),AND(AI13="Muy Alta",AK13="Moderado"),AND(AI13="Muy Alta",AK13="Mayor")),"Alto",IF(OR(AND(AI13="Muy Baja",AK13="Catastrófico"),AND(AI13="Baja",AK13="Catastrófico"),AND(AI13="Media",AK13="Catastrófico"),AND(AI13="Alta",AK13="Catastrófico"),AND(AI13="Muy Alta",AK13="Catastrófico")),"Extremo","")))),"")</f>
        <v/>
      </c>
      <c r="AN13" s="161"/>
      <c r="AO13" s="150"/>
      <c r="AP13" s="164"/>
      <c r="AQ13" s="150"/>
      <c r="AR13" s="164"/>
      <c r="AS13" s="150"/>
      <c r="AT13" s="164"/>
      <c r="AU13" s="121"/>
      <c r="AV13" s="122"/>
      <c r="AW13" s="123"/>
      <c r="AX13" s="123"/>
      <c r="AY13" s="221"/>
      <c r="AZ13" s="122"/>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row>
    <row r="14" spans="1:84" ht="323.25" customHeight="1" x14ac:dyDescent="0.3">
      <c r="A14" s="259">
        <v>3</v>
      </c>
      <c r="B14" s="264"/>
      <c r="C14" s="261" t="s">
        <v>99</v>
      </c>
      <c r="D14" s="127" t="s">
        <v>122</v>
      </c>
      <c r="E14" s="261" t="s">
        <v>245</v>
      </c>
      <c r="F14" s="261" t="s">
        <v>250</v>
      </c>
      <c r="G14" s="265" t="s">
        <v>303</v>
      </c>
      <c r="H14" s="265" t="s">
        <v>261</v>
      </c>
      <c r="I14" s="265" t="s">
        <v>251</v>
      </c>
      <c r="J14" s="261" t="s">
        <v>103</v>
      </c>
      <c r="K14" s="271">
        <v>9</v>
      </c>
      <c r="L14" s="224" t="str">
        <f>IF(K14&lt;=0,"",IF(K14&lt;=2,"Muy Baja",IF(K14&lt;=24,"Baja",IF(K14&lt;=500,"Media",IF(K14&lt;=5000,"Alta","Muy Alta")))))</f>
        <v>Baja</v>
      </c>
      <c r="M14" s="226">
        <f>IF(L14="","",IF(L14="Muy Baja",0.2,IF(L14="Baja",0.4,IF(L14="Media",0.6,IF(L14="Alta",0.8,IF(L14="Muy Alta",1,))))))</f>
        <v>0.4</v>
      </c>
      <c r="N14" s="269" t="s">
        <v>104</v>
      </c>
      <c r="O14" s="226" t="str">
        <f>IF(NOT(ISERROR(MATCH(N14,'Tabla Impacto'!$B$221:$B$223,0))),'Tabla Impacto'!$F$223&amp;"Por favor no seleccionar los criterios de impacto(Afectación Económica o presupuestal y Pérdida Reputacional)",N14)</f>
        <v xml:space="preserve">     El riesgo afecta la imagen de la entidad a nivel nacional, con efecto publicitarios sostenible a nivel país</v>
      </c>
      <c r="P14" s="224" t="str">
        <f>IF(OR(O14='Tabla Impacto'!$C$11,O14='Tabla Impacto'!$D$11),"Leve",IF(OR(O14='Tabla Impacto'!$C$12,O14='Tabla Impacto'!$D$12),"Menor",IF(OR(O14='Tabla Impacto'!$C$13,O14='Tabla Impacto'!$D$13),"Moderado",IF(OR(O14='Tabla Impacto'!$C$14,O14='Tabla Impacto'!$D$14),"Mayor",IF(OR(O14='Tabla Impacto'!$C$15,O14='Tabla Impacto'!$D$15),"Catastrófico","")))))</f>
        <v>Catastrófico</v>
      </c>
      <c r="Q14" s="226">
        <f>IF(P14="","",IF(P14="Leve",0.2,IF(P14="Menor",0.4,IF(P14="Moderado",0.6,IF(P14="Mayor",0.8,IF(P14="Catastrófico",1,))))))</f>
        <v>1</v>
      </c>
      <c r="R14" s="267" t="str">
        <f>IF(OR(AND(L14="Muy Baja",P14="Leve"),AND(L14="Muy Baja",P14="Menor"),AND(L14="Baja",P14="Leve")),"Bajo",IF(OR(AND(L14="Muy baja",P14="Moderado"),AND(L14="Baja",P14="Menor"),AND(L14="Baja",P14="Moderado"),AND(L14="Media",P14="Leve"),AND(L14="Media",P14="Menor"),AND(L14="Media",P14="Moderado"),AND(L14="Alta",P14="Leve"),AND(L14="Alta",P14="Menor")),"Moderado",IF(OR(AND(L14="Muy Baja",P14="Mayor"),AND(L14="Baja",P14="Mayor"),AND(L14="Media",P14="Mayor"),AND(L14="Alta",P14="Moderado"),AND(L14="Alta",P14="Mayor"),AND(L14="Muy Alta",P14="Leve"),AND(L14="Muy Alta",P14="Menor"),AND(L14="Muy Alta",P14="Moderado"),AND(L14="Muy Alta",P14="Mayor")),"Alto",IF(OR(AND(L14="Muy Baja",P14="Catastrófico"),AND(L14="Baja",P14="Catastrófico"),AND(L14="Media",P14="Catastrófico"),AND(L14="Alta",P14="Catastrófico"),AND(L14="Muy Alta",P14="Catastrófico")),"Extremo",""))))</f>
        <v>Extremo</v>
      </c>
      <c r="S14" s="240">
        <v>3</v>
      </c>
      <c r="T14" s="240" t="str">
        <f>+IF(S14=5,"CASI SEGURO",(IF(S14=4,"PROBABLE",(IF(S14=3,"POSIBLE",(IF(S14=2,"RARA VEZ",(IF(S14=1,"IMPROBABLE","")))))))))</f>
        <v>POSIBLE</v>
      </c>
      <c r="U14" s="240">
        <v>3</v>
      </c>
      <c r="V14" s="240" t="str">
        <f>+IF(U14=5,"ALTO",(IF(U14=3,"MEDIO",(IF(U14=1,"BAJO",IF(OR(U14=2,U14=4),"NO APLICA",""))))))</f>
        <v>MEDIO</v>
      </c>
      <c r="W14" s="240">
        <f>IF(AND(S14&lt;&gt;"",U14&lt;&gt;"",V14&lt;&gt;"NO APLICA"),S14*U14,"")</f>
        <v>9</v>
      </c>
      <c r="X14" s="240" t="str">
        <f>IF(AND(W14&lt;4,W14&gt;0),"BAJA",IF(AND(W14&gt;9,W14&lt;26),"ALTA",IF(AND(W14&gt;3,W14&lt;10),"MEDIA","")))</f>
        <v>MEDIA</v>
      </c>
      <c r="Y14" s="6">
        <v>1</v>
      </c>
      <c r="Z14" s="221" t="s">
        <v>300</v>
      </c>
      <c r="AA14" s="154" t="str">
        <f t="shared" si="0"/>
        <v>Probabilidad</v>
      </c>
      <c r="AB14" s="155" t="s">
        <v>117</v>
      </c>
      <c r="AC14" s="155" t="s">
        <v>107</v>
      </c>
      <c r="AD14" s="156" t="str">
        <f>IF(AND(AB14="Preventivo",AC14="Automático"),"50%",IF(AND(AB14="Preventivo",AC14="Manual"),"40%",IF(AND(AB14="Detectivo",AC14="Automático"),"40%",IF(AND(AB14="Detectivo",AC14="Manual"),"30%",IF(AND(AB14="Correctivo",AC14="Automático"),"35%",IF(AND(AB14="Correctivo",AC14="Manual"),"25%",""))))))</f>
        <v>40%</v>
      </c>
      <c r="AE14" s="155" t="s">
        <v>108</v>
      </c>
      <c r="AF14" s="155" t="s">
        <v>109</v>
      </c>
      <c r="AG14" s="155" t="s">
        <v>110</v>
      </c>
      <c r="AH14" s="157">
        <f>IFERROR(IF(AA14="Probabilidad",(M14-(+M14*AD14)),IF(AA14="Impacto",M14,"")),"")</f>
        <v>0.24</v>
      </c>
      <c r="AI14" s="158" t="str">
        <f>IFERROR(IF(AH14="","",IF(AH14&lt;=0.2,"Muy Baja",IF(AH14&lt;=0.4,"Baja",IF(AH14&lt;=0.6,"Media",IF(AH14&lt;=0.8,"Alta","Muy Alta"))))),"")</f>
        <v>Baja</v>
      </c>
      <c r="AJ14" s="159">
        <f>+AH14</f>
        <v>0.24</v>
      </c>
      <c r="AK14" s="158" t="str">
        <f>IFERROR(IF(AL14="","",IF(AL14&lt;=0.2,"Leve",IF(AL14&lt;=0.4,"Menor",IF(AL14&lt;=0.6,"Moderado",IF(AL14&lt;=0.8,"Mayor","Catastrófico"))))),"")</f>
        <v>Catastrófico</v>
      </c>
      <c r="AL14" s="159">
        <f>IFERROR(IF(AA14="Impacto",(Q14-(+Q14*AD14)),IF(AA14="Probabilidad",Q14,"")),"")</f>
        <v>1</v>
      </c>
      <c r="AM14" s="160" t="str">
        <f>IFERROR(IF(OR(AND(AI14="Muy Baja",AK14="Leve"),AND(AI14="Muy Baja",AK14="Menor"),AND(AI14="Baja",AK14="Leve")),"Bajo",IF(OR(AND(AI14="Muy baja",AK14="Moderado"),AND(AI14="Baja",AK14="Menor"),AND(AI14="Baja",AK14="Moderado"),AND(AI14="Media",AK14="Leve"),AND(AI14="Media",AK14="Menor"),AND(AI14="Media",AK14="Moderado"),AND(AI14="Alta",AK14="Leve"),AND(AI14="Alta",AK14="Menor")),"Moderado",IF(OR(AND(AI14="Muy Baja",AK14="Mayor"),AND(AI14="Baja",AK14="Mayor"),AND(AI14="Media",AK14="Mayor"),AND(AI14="Alta",AK14="Moderado"),AND(AI14="Alta",AK14="Mayor"),AND(AI14="Muy Alta",AK14="Leve"),AND(AI14="Muy Alta",AK14="Menor"),AND(AI14="Muy Alta",AK14="Moderado"),AND(AI14="Muy Alta",AK14="Mayor")),"Alto",IF(OR(AND(AI14="Muy Baja",AK14="Catastrófico"),AND(AI14="Baja",AK14="Catastrófico"),AND(AI14="Media",AK14="Catastrófico"),AND(AI14="Alta",AK14="Catastrófico"),AND(AI14="Muy Alta",AK14="Catastrófico")),"Extremo","")))),"")</f>
        <v>Extremo</v>
      </c>
      <c r="AN14" s="161" t="s">
        <v>111</v>
      </c>
      <c r="AO14" s="150"/>
      <c r="AP14" s="164"/>
      <c r="AQ14" s="150"/>
      <c r="AR14" s="164"/>
      <c r="AS14" s="150"/>
      <c r="AT14" s="164"/>
      <c r="AU14" s="140" t="s">
        <v>123</v>
      </c>
      <c r="AV14" s="140" t="s">
        <v>124</v>
      </c>
      <c r="AW14" s="141" t="s">
        <v>125</v>
      </c>
      <c r="AX14" s="141" t="s">
        <v>125</v>
      </c>
      <c r="AY14" s="221" t="s">
        <v>313</v>
      </c>
      <c r="AZ14" s="140" t="s">
        <v>229</v>
      </c>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row>
    <row r="15" spans="1:84" ht="249.75" customHeight="1" x14ac:dyDescent="0.3">
      <c r="A15" s="260"/>
      <c r="B15" s="264"/>
      <c r="C15" s="262"/>
      <c r="D15" s="128"/>
      <c r="E15" s="262"/>
      <c r="F15" s="262"/>
      <c r="G15" s="266"/>
      <c r="H15" s="266"/>
      <c r="I15" s="266"/>
      <c r="J15" s="262"/>
      <c r="K15" s="272"/>
      <c r="L15" s="225"/>
      <c r="M15" s="227"/>
      <c r="N15" s="270"/>
      <c r="O15" s="227">
        <f>IF(NOT(ISERROR(MATCH(N15,_xlfn.ANCHORARRAY(G19),0))),M21&amp;"Por favor no seleccionar los criterios de impacto",N15)</f>
        <v>0</v>
      </c>
      <c r="P15" s="225"/>
      <c r="Q15" s="227"/>
      <c r="R15" s="268"/>
      <c r="S15" s="241"/>
      <c r="T15" s="241"/>
      <c r="U15" s="241"/>
      <c r="V15" s="241"/>
      <c r="W15" s="241"/>
      <c r="X15" s="241"/>
      <c r="Y15" s="6">
        <v>2</v>
      </c>
      <c r="Z15" s="221" t="s">
        <v>301</v>
      </c>
      <c r="AA15" s="154"/>
      <c r="AB15" s="155"/>
      <c r="AC15" s="155"/>
      <c r="AD15" s="156" t="str">
        <f t="shared" ref="AD15" si="14">IF(AND(AB15="Preventivo",AC15="Automático"),"50%",IF(AND(AB15="Preventivo",AC15="Manual"),"40%",IF(AND(AB15="Detectivo",AC15="Automático"),"40%",IF(AND(AB15="Detectivo",AC15="Manual"),"30%",IF(AND(AB15="Correctivo",AC15="Automático"),"35%",IF(AND(AB15="Correctivo",AC15="Manual"),"25%",""))))))</f>
        <v/>
      </c>
      <c r="AE15" s="155"/>
      <c r="AF15" s="155"/>
      <c r="AG15" s="155"/>
      <c r="AH15" s="162" t="str">
        <f>IFERROR(IF(AND(AA14="Probabilidad",AA15="Probabilidad"),(AJ14-(+AJ14*AD15)),IF(AA15="Probabilidad",(M14-(+M14*AD15)),IF(AA15="Impacto",AJ14,""))),"")</f>
        <v/>
      </c>
      <c r="AI15" s="158" t="str">
        <f t="shared" si="10"/>
        <v/>
      </c>
      <c r="AJ15" s="159" t="str">
        <f t="shared" ref="AJ15" si="15">+AH15</f>
        <v/>
      </c>
      <c r="AK15" s="158" t="str">
        <f t="shared" si="12"/>
        <v/>
      </c>
      <c r="AL15" s="159" t="str">
        <f>IFERROR(IF(AND(AA14="Impacto",AA15="Impacto"),(AL14-(+AL14*AD15)),IF(AA15="Impacto",(Q14-(+Q14*AD15)),IF(AA15="Probabilidad",AL14,""))),"")</f>
        <v/>
      </c>
      <c r="AM15" s="160" t="str">
        <f t="shared" ref="AM15" si="16">IFERROR(IF(OR(AND(AI15="Muy Baja",AK15="Leve"),AND(AI15="Muy Baja",AK15="Menor"),AND(AI15="Baja",AK15="Leve")),"Bajo",IF(OR(AND(AI15="Muy baja",AK15="Moderado"),AND(AI15="Baja",AK15="Menor"),AND(AI15="Baja",AK15="Moderado"),AND(AI15="Media",AK15="Leve"),AND(AI15="Media",AK15="Menor"),AND(AI15="Media",AK15="Moderado"),AND(AI15="Alta",AK15="Leve"),AND(AI15="Alta",AK15="Menor")),"Moderado",IF(OR(AND(AI15="Muy Baja",AK15="Mayor"),AND(AI15="Baja",AK15="Mayor"),AND(AI15="Media",AK15="Mayor"),AND(AI15="Alta",AK15="Moderado"),AND(AI15="Alta",AK15="Mayor"),AND(AI15="Muy Alta",AK15="Leve"),AND(AI15="Muy Alta",AK15="Menor"),AND(AI15="Muy Alta",AK15="Moderado"),AND(AI15="Muy Alta",AK15="Mayor")),"Alto",IF(OR(AND(AI15="Muy Baja",AK15="Catastrófico"),AND(AI15="Baja",AK15="Catastrófico"),AND(AI15="Media",AK15="Catastrófico"),AND(AI15="Alta",AK15="Catastrófico"),AND(AI15="Muy Alta",AK15="Catastrófico")),"Extremo","")))),"")</f>
        <v/>
      </c>
      <c r="AN15" s="161"/>
      <c r="AO15" s="150">
        <v>5</v>
      </c>
      <c r="AP15" s="164" t="str">
        <f t="shared" si="5"/>
        <v>CASI SEGURO</v>
      </c>
      <c r="AQ15" s="150">
        <v>5</v>
      </c>
      <c r="AR15" s="164" t="str">
        <f t="shared" si="6"/>
        <v>ALTO</v>
      </c>
      <c r="AS15" s="150">
        <f t="shared" si="7"/>
        <v>25</v>
      </c>
      <c r="AT15" s="164" t="str">
        <f t="shared" si="8"/>
        <v>ALTA</v>
      </c>
      <c r="AU15" s="140" t="s">
        <v>118</v>
      </c>
      <c r="AV15" s="140" t="s">
        <v>302</v>
      </c>
      <c r="AW15" s="141" t="s">
        <v>120</v>
      </c>
      <c r="AX15" s="141" t="s">
        <v>120</v>
      </c>
      <c r="AY15" s="223" t="s">
        <v>314</v>
      </c>
      <c r="AZ15" s="142" t="s">
        <v>229</v>
      </c>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row>
    <row r="16" spans="1:84" ht="243.75" customHeight="1" x14ac:dyDescent="0.3">
      <c r="A16" s="259">
        <v>4</v>
      </c>
      <c r="B16" s="264"/>
      <c r="C16" s="261" t="s">
        <v>126</v>
      </c>
      <c r="D16" s="127" t="s">
        <v>127</v>
      </c>
      <c r="E16" s="261" t="s">
        <v>128</v>
      </c>
      <c r="F16" s="261" t="s">
        <v>253</v>
      </c>
      <c r="G16" s="265" t="s">
        <v>304</v>
      </c>
      <c r="H16" s="265" t="s">
        <v>260</v>
      </c>
      <c r="I16" s="265" t="s">
        <v>252</v>
      </c>
      <c r="J16" s="261" t="s">
        <v>103</v>
      </c>
      <c r="K16" s="271">
        <v>12</v>
      </c>
      <c r="L16" s="224" t="str">
        <f>IF(K16&lt;=0,"",IF(K16&lt;=2,"Muy Baja",IF(K16&lt;=24,"Baja",IF(K16&lt;=500,"Media",IF(K16&lt;=5000,"Alta","Muy Alta")))))</f>
        <v>Baja</v>
      </c>
      <c r="M16" s="226">
        <f>IF(L16="","",IF(L16="Muy Baja",0.2,IF(L16="Baja",0.4,IF(L16="Media",0.6,IF(L16="Alta",0.8,IF(L16="Muy Alta",1,))))))</f>
        <v>0.4</v>
      </c>
      <c r="N16" s="269" t="s">
        <v>129</v>
      </c>
      <c r="O16" s="226" t="str">
        <f>IF(NOT(ISERROR(MATCH(N16,'Tabla Impacto'!$B$221:$B$223,0))),'Tabla Impacto'!$F$223&amp;"Por favor no seleccionar los criterios de impacto(Afectación Económica o presupuestal y Pérdida Reputacional)",N16)</f>
        <v xml:space="preserve">     Entre 10 y 50 SMLMV </v>
      </c>
      <c r="P16" s="224" t="str">
        <f>IF(OR(O16='Tabla Impacto'!$C$11,O16='Tabla Impacto'!$D$11),"Leve",IF(OR(O16='Tabla Impacto'!$C$12,O16='Tabla Impacto'!$D$12),"Menor",IF(OR(O16='Tabla Impacto'!$C$13,O16='Tabla Impacto'!$D$13),"Moderado",IF(OR(O16='Tabla Impacto'!$C$14,O16='Tabla Impacto'!$D$14),"Mayor",IF(OR(O16='Tabla Impacto'!$C$15,O16='Tabla Impacto'!$D$15),"Catastrófico","")))))</f>
        <v>Menor</v>
      </c>
      <c r="Q16" s="226">
        <f>IF(P16="","",IF(P16="Leve",0.2,IF(P16="Menor",0.4,IF(P16="Moderado",0.6,IF(P16="Mayor",0.8,IF(P16="Catastrófico",1,))))))</f>
        <v>0.4</v>
      </c>
      <c r="R16" s="267"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Moderado</v>
      </c>
      <c r="S16" s="150">
        <v>3</v>
      </c>
      <c r="T16" s="150" t="str">
        <f t="shared" si="1"/>
        <v>POSIBLE</v>
      </c>
      <c r="U16" s="150">
        <v>3</v>
      </c>
      <c r="V16" s="150" t="str">
        <f t="shared" si="2"/>
        <v>MEDIO</v>
      </c>
      <c r="W16" s="150">
        <f t="shared" si="3"/>
        <v>9</v>
      </c>
      <c r="X16" s="150" t="str">
        <f t="shared" si="4"/>
        <v>MEDIA</v>
      </c>
      <c r="Y16" s="6">
        <v>1</v>
      </c>
      <c r="Z16" s="140" t="s">
        <v>311</v>
      </c>
      <c r="AA16" s="154" t="str">
        <f t="shared" si="0"/>
        <v>Probabilidad</v>
      </c>
      <c r="AB16" s="155" t="s">
        <v>117</v>
      </c>
      <c r="AC16" s="155" t="s">
        <v>130</v>
      </c>
      <c r="AD16" s="156" t="str">
        <f>IF(AND(AB16="Preventivo",AC16="Automático"),"50%",IF(AND(AB16="Preventivo",AC16="Manual"),"40%",IF(AND(AB16="Detectivo",AC16="Automático"),"40%",IF(AND(AB16="Detectivo",AC16="Manual"),"30%",IF(AND(AB16="Correctivo",AC16="Automático"),"35%",IF(AND(AB16="Correctivo",AC16="Manual"),"25%",""))))))</f>
        <v>50%</v>
      </c>
      <c r="AE16" s="155" t="s">
        <v>108</v>
      </c>
      <c r="AF16" s="155" t="s">
        <v>109</v>
      </c>
      <c r="AG16" s="155" t="s">
        <v>110</v>
      </c>
      <c r="AH16" s="157">
        <f>IFERROR(IF(AA16="Probabilidad",(M16-(+M16*AD16)),IF(AA16="Impacto",M16,"")),"")</f>
        <v>0.2</v>
      </c>
      <c r="AI16" s="158" t="str">
        <f>IFERROR(IF(AH16="","",IF(AH16&lt;=0.2,"Muy Baja",IF(AH16&lt;=0.4,"Baja",IF(AH16&lt;=0.6,"Media",IF(AH16&lt;=0.8,"Alta","Muy Alta"))))),"")</f>
        <v>Muy Baja</v>
      </c>
      <c r="AJ16" s="159">
        <f>+AH16</f>
        <v>0.2</v>
      </c>
      <c r="AK16" s="158" t="str">
        <f>IFERROR(IF(AL16="","",IF(AL16&lt;=0.2,"Leve",IF(AL16&lt;=0.4,"Menor",IF(AL16&lt;=0.6,"Moderado",IF(AL16&lt;=0.8,"Mayor","Catastrófico"))))),"")</f>
        <v>Menor</v>
      </c>
      <c r="AL16" s="159">
        <f>IFERROR(IF(AA16="Impacto",(Q16-(+Q16*AD16)),IF(AA16="Probabilidad",Q16,"")),"")</f>
        <v>0.4</v>
      </c>
      <c r="AM16" s="160" t="str">
        <f>IFERROR(IF(OR(AND(AI16="Muy Baja",AK16="Leve"),AND(AI16="Muy Baja",AK16="Menor"),AND(AI16="Baja",AK16="Leve")),"Bajo",IF(OR(AND(AI16="Muy baja",AK16="Moderado"),AND(AI16="Baja",AK16="Menor"),AND(AI16="Baja",AK16="Moderado"),AND(AI16="Media",AK16="Leve"),AND(AI16="Media",AK16="Menor"),AND(AI16="Media",AK16="Moderado"),AND(AI16="Alta",AK16="Leve"),AND(AI16="Alta",AK16="Menor")),"Moderado",IF(OR(AND(AI16="Muy Baja",AK16="Mayor"),AND(AI16="Baja",AK16="Mayor"),AND(AI16="Media",AK16="Mayor"),AND(AI16="Alta",AK16="Moderado"),AND(AI16="Alta",AK16="Mayor"),AND(AI16="Muy Alta",AK16="Leve"),AND(AI16="Muy Alta",AK16="Menor"),AND(AI16="Muy Alta",AK16="Moderado"),AND(AI16="Muy Alta",AK16="Mayor")),"Alto",IF(OR(AND(AI16="Muy Baja",AK16="Catastrófico"),AND(AI16="Baja",AK16="Catastrófico"),AND(AI16="Media",AK16="Catastrófico"),AND(AI16="Alta",AK16="Catastrófico"),AND(AI16="Muy Alta",AK16="Catastrófico")),"Extremo","")))),"")</f>
        <v>Bajo</v>
      </c>
      <c r="AN16" s="161" t="s">
        <v>111</v>
      </c>
      <c r="AO16" s="150">
        <v>4</v>
      </c>
      <c r="AP16" s="164" t="str">
        <f t="shared" si="5"/>
        <v>PROBABLE</v>
      </c>
      <c r="AQ16" s="150">
        <v>5</v>
      </c>
      <c r="AR16" s="164" t="str">
        <f t="shared" si="6"/>
        <v>ALTO</v>
      </c>
      <c r="AS16" s="150">
        <f t="shared" si="7"/>
        <v>20</v>
      </c>
      <c r="AT16" s="164" t="str">
        <f t="shared" si="8"/>
        <v>ALTA</v>
      </c>
      <c r="AU16" s="140" t="s">
        <v>131</v>
      </c>
      <c r="AV16" s="140" t="s">
        <v>132</v>
      </c>
      <c r="AW16" s="141" t="s">
        <v>120</v>
      </c>
      <c r="AX16" s="141" t="s">
        <v>120</v>
      </c>
      <c r="AY16" s="223" t="s">
        <v>318</v>
      </c>
      <c r="AZ16" s="142" t="s">
        <v>229</v>
      </c>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row>
    <row r="17" spans="1:84" ht="151.5" customHeight="1" x14ac:dyDescent="0.3">
      <c r="A17" s="260"/>
      <c r="B17" s="264"/>
      <c r="C17" s="262"/>
      <c r="D17" s="128" t="s">
        <v>100</v>
      </c>
      <c r="E17" s="262"/>
      <c r="F17" s="262"/>
      <c r="G17" s="266"/>
      <c r="H17" s="266"/>
      <c r="I17" s="266"/>
      <c r="J17" s="262"/>
      <c r="K17" s="272"/>
      <c r="L17" s="225"/>
      <c r="M17" s="227"/>
      <c r="N17" s="270"/>
      <c r="O17" s="227">
        <f>IF(NOT(ISERROR(MATCH(N17,_xlfn.ANCHORARRAY(G25),0))),M27&amp;"Por favor no seleccionar los criterios de impacto",N17)</f>
        <v>0</v>
      </c>
      <c r="P17" s="225"/>
      <c r="Q17" s="227"/>
      <c r="R17" s="268"/>
      <c r="S17" s="151"/>
      <c r="T17" s="151" t="str">
        <f t="shared" si="1"/>
        <v/>
      </c>
      <c r="U17" s="151"/>
      <c r="V17" s="151" t="str">
        <f t="shared" si="2"/>
        <v/>
      </c>
      <c r="W17" s="151" t="str">
        <f t="shared" si="3"/>
        <v/>
      </c>
      <c r="X17" s="151" t="str">
        <f t="shared" si="4"/>
        <v/>
      </c>
      <c r="Y17" s="6">
        <v>2</v>
      </c>
      <c r="Z17" s="153"/>
      <c r="AA17" s="154" t="str">
        <f t="shared" si="0"/>
        <v/>
      </c>
      <c r="AB17" s="155"/>
      <c r="AC17" s="155"/>
      <c r="AD17" s="156" t="str">
        <f t="shared" ref="AD17:AD18" si="17">IF(AND(AB17="Preventivo",AC17="Automático"),"50%",IF(AND(AB17="Preventivo",AC17="Manual"),"40%",IF(AND(AB17="Detectivo",AC17="Automático"),"40%",IF(AND(AB17="Detectivo",AC17="Manual"),"30%",IF(AND(AB17="Correctivo",AC17="Automático"),"35%",IF(AND(AB17="Correctivo",AC17="Manual"),"25%",""))))))</f>
        <v/>
      </c>
      <c r="AE17" s="155"/>
      <c r="AF17" s="155"/>
      <c r="AG17" s="155"/>
      <c r="AH17" s="157" t="str">
        <f>IFERROR(IF(AND(AA16="Probabilidad",AA17="Probabilidad"),(AJ16-(+AJ16*AD17)),IF(AA17="Probabilidad",(M16-(+M16*AD17)),IF(AA17="Impacto",AJ16,""))),"")</f>
        <v/>
      </c>
      <c r="AI17" s="158" t="str">
        <f t="shared" si="10"/>
        <v/>
      </c>
      <c r="AJ17" s="159" t="str">
        <f t="shared" ref="AJ17:AJ18" si="18">+AH17</f>
        <v/>
      </c>
      <c r="AK17" s="158" t="str">
        <f t="shared" si="12"/>
        <v/>
      </c>
      <c r="AL17" s="159" t="str">
        <f>IFERROR(IF(AND(AA16="Impacto",AA17="Impacto"),(AL16-(+AL16*AD17)),IF(AA17="Impacto",(Q16-(+Q16*AD17)),IF(AA17="Probabilidad",AL16,""))),"")</f>
        <v/>
      </c>
      <c r="AM17" s="160" t="str">
        <f t="shared" ref="AM17:AM18" si="19">IFERROR(IF(OR(AND(AI17="Muy Baja",AK17="Leve"),AND(AI17="Muy Baja",AK17="Menor"),AND(AI17="Baja",AK17="Leve")),"Bajo",IF(OR(AND(AI17="Muy baja",AK17="Moderado"),AND(AI17="Baja",AK17="Menor"),AND(AI17="Baja",AK17="Moderado"),AND(AI17="Media",AK17="Leve"),AND(AI17="Media",AK17="Menor"),AND(AI17="Media",AK17="Moderado"),AND(AI17="Alta",AK17="Leve"),AND(AI17="Alta",AK17="Menor")),"Moderado",IF(OR(AND(AI17="Muy Baja",AK17="Mayor"),AND(AI17="Baja",AK17="Mayor"),AND(AI17="Media",AK17="Mayor"),AND(AI17="Alta",AK17="Moderado"),AND(AI17="Alta",AK17="Mayor"),AND(AI17="Muy Alta",AK17="Leve"),AND(AI17="Muy Alta",AK17="Menor"),AND(AI17="Muy Alta",AK17="Moderado"),AND(AI17="Muy Alta",AK17="Mayor")),"Alto",IF(OR(AND(AI17="Muy Baja",AK17="Catastrófico"),AND(AI17="Baja",AK17="Catastrófico"),AND(AI17="Media",AK17="Catastrófico"),AND(AI17="Alta",AK17="Catastrófico"),AND(AI17="Muy Alta",AK17="Catastrófico")),"Extremo","")))),"")</f>
        <v/>
      </c>
      <c r="AN17" s="161"/>
      <c r="AO17" s="150"/>
      <c r="AP17" s="164" t="str">
        <f t="shared" si="5"/>
        <v/>
      </c>
      <c r="AQ17" s="150"/>
      <c r="AR17" s="164" t="str">
        <f t="shared" si="6"/>
        <v/>
      </c>
      <c r="AS17" s="150" t="str">
        <f t="shared" si="7"/>
        <v/>
      </c>
      <c r="AT17" s="164" t="str">
        <f t="shared" si="8"/>
        <v/>
      </c>
      <c r="AU17" s="121"/>
      <c r="AV17" s="122"/>
      <c r="AW17" s="123"/>
      <c r="AX17" s="123"/>
      <c r="AY17" s="221"/>
      <c r="AZ17" s="122"/>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row>
    <row r="18" spans="1:84" ht="151.5" customHeight="1" x14ac:dyDescent="0.3">
      <c r="A18" s="260"/>
      <c r="B18" s="264"/>
      <c r="C18" s="262"/>
      <c r="D18" s="128"/>
      <c r="E18" s="262"/>
      <c r="F18" s="262"/>
      <c r="G18" s="266"/>
      <c r="H18" s="273"/>
      <c r="I18" s="273"/>
      <c r="J18" s="262"/>
      <c r="K18" s="272"/>
      <c r="L18" s="225"/>
      <c r="M18" s="227"/>
      <c r="N18" s="270"/>
      <c r="O18" s="227">
        <f>IF(NOT(ISERROR(MATCH(N18,_xlfn.ANCHORARRAY(G26),0))),M28&amp;"Por favor no seleccionar los criterios de impacto",N18)</f>
        <v>0</v>
      </c>
      <c r="P18" s="225"/>
      <c r="Q18" s="227"/>
      <c r="R18" s="268"/>
      <c r="S18" s="151"/>
      <c r="T18" s="151" t="str">
        <f t="shared" si="1"/>
        <v/>
      </c>
      <c r="U18" s="151"/>
      <c r="V18" s="151" t="str">
        <f t="shared" si="2"/>
        <v/>
      </c>
      <c r="W18" s="151" t="str">
        <f t="shared" si="3"/>
        <v/>
      </c>
      <c r="X18" s="151" t="str">
        <f t="shared" si="4"/>
        <v/>
      </c>
      <c r="Y18" s="6">
        <v>3</v>
      </c>
      <c r="Z18" s="142"/>
      <c r="AA18" s="154" t="str">
        <f t="shared" si="0"/>
        <v/>
      </c>
      <c r="AB18" s="155"/>
      <c r="AC18" s="155"/>
      <c r="AD18" s="156" t="str">
        <f t="shared" si="17"/>
        <v/>
      </c>
      <c r="AE18" s="155"/>
      <c r="AF18" s="155"/>
      <c r="AG18" s="155"/>
      <c r="AH18" s="157" t="str">
        <f>IFERROR(IF(AND(AA17="Probabilidad",AA18="Probabilidad"),(AJ17-(+AJ17*AD18)),IF(AND(AA17="Impacto",AA18="Probabilidad"),(AJ16-(+AJ16*AD18)),IF(AA18="Impacto",AJ17,""))),"")</f>
        <v/>
      </c>
      <c r="AI18" s="158" t="str">
        <f t="shared" si="10"/>
        <v/>
      </c>
      <c r="AJ18" s="159" t="str">
        <f t="shared" si="18"/>
        <v/>
      </c>
      <c r="AK18" s="158" t="str">
        <f t="shared" si="12"/>
        <v/>
      </c>
      <c r="AL18" s="159" t="str">
        <f>IFERROR(IF(AND(AA17="Impacto",AA18="Impacto"),(AL17-(+AL17*AD18)),IF(AND(AA17="Probabilidad",AA18="Impacto"),(AL16-(+AL16*AD18)),IF(AA18="Probabilidad",AL17,""))),"")</f>
        <v/>
      </c>
      <c r="AM18" s="160" t="str">
        <f t="shared" si="19"/>
        <v/>
      </c>
      <c r="AN18" s="161"/>
      <c r="AO18" s="150"/>
      <c r="AP18" s="164" t="str">
        <f t="shared" si="5"/>
        <v/>
      </c>
      <c r="AQ18" s="150"/>
      <c r="AR18" s="164" t="str">
        <f t="shared" si="6"/>
        <v/>
      </c>
      <c r="AS18" s="150" t="str">
        <f t="shared" si="7"/>
        <v/>
      </c>
      <c r="AT18" s="164" t="str">
        <f t="shared" si="8"/>
        <v/>
      </c>
      <c r="AU18" s="121"/>
      <c r="AV18" s="122"/>
      <c r="AW18" s="123"/>
      <c r="AX18" s="123"/>
      <c r="AY18" s="221"/>
      <c r="AZ18" s="122"/>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row>
    <row r="19" spans="1:84" ht="151.5" customHeight="1" x14ac:dyDescent="0.3">
      <c r="A19" s="259">
        <v>5</v>
      </c>
      <c r="B19" s="264"/>
      <c r="C19" s="212" t="s">
        <v>126</v>
      </c>
      <c r="D19" s="212" t="s">
        <v>121</v>
      </c>
      <c r="E19" s="212" t="s">
        <v>246</v>
      </c>
      <c r="F19" s="212" t="s">
        <v>247</v>
      </c>
      <c r="G19" s="211" t="s">
        <v>305</v>
      </c>
      <c r="H19" s="211"/>
      <c r="I19" s="211" t="s">
        <v>306</v>
      </c>
      <c r="J19" s="212" t="s">
        <v>103</v>
      </c>
      <c r="K19" s="213">
        <v>1</v>
      </c>
      <c r="L19" s="214" t="str">
        <f>IF(K19&lt;=0,"",IF(K19&lt;=2,"Muy Baja",IF(K19&lt;=24,"Baja",IF(K19&lt;=500,"Media",IF(K19&lt;=5000,"Alta","Muy Alta")))))</f>
        <v>Muy Baja</v>
      </c>
      <c r="M19" s="215">
        <f>IF(L19="","",IF(L19="Muy Baja",0.2,IF(L19="Baja",0.4,IF(L19="Media",0.6,IF(L19="Alta",0.8,IF(L19="Muy Alta",1,))))))</f>
        <v>0.2</v>
      </c>
      <c r="N19" s="216" t="s">
        <v>133</v>
      </c>
      <c r="O19" s="215" t="str">
        <f>IF(NOT(ISERROR(MATCH(N19,'Tabla Impacto'!$B$221:$B$223,0))),'Tabla Impacto'!$F$223&amp;"Por favor no seleccionar los criterios de impacto(Afectación Económica o presupuestal y Pérdida Reputacional)",N19)</f>
        <v xml:space="preserve">     Entre 50 y 100 SMLMV </v>
      </c>
      <c r="P19" s="214" t="str">
        <f>IF(OR(O19='Tabla Impacto'!$C$11,O19='Tabla Impacto'!$D$11),"Leve",IF(OR(O19='Tabla Impacto'!$C$12,O19='Tabla Impacto'!$D$12),"Menor",IF(OR(O19='Tabla Impacto'!$C$13,O19='Tabla Impacto'!$D$13),"Moderado",IF(OR(O19='Tabla Impacto'!$C$14,O19='Tabla Impacto'!$D$14),"Mayor",IF(OR(O19='Tabla Impacto'!$C$15,O19='Tabla Impacto'!$D$15),"Catastrófico","")))))</f>
        <v>Moderado</v>
      </c>
      <c r="Q19" s="215">
        <f>IF(P19="","",IF(P19="Leve",0.2,IF(P19="Menor",0.4,IF(P19="Moderado",0.6,IF(P19="Mayor",0.8,IF(P19="Catastrófico",1,))))))</f>
        <v>0.6</v>
      </c>
      <c r="R19" s="150" t="str">
        <f>IF(OR(AND(L19="Muy Baja",P19="Leve"),AND(L19="Muy Baja",P19="Menor"),AND(L19="Baja",P19="Leve")),"Bajo",IF(OR(AND(L19="Muy baja",P19="Moderado"),AND(L19="Baja",P19="Menor"),AND(L19="Baja",P19="Moderado"),AND(L19="Media",P19="Leve"),AND(L19="Media",P19="Menor"),AND(L19="Media",P19="Moderado"),AND(L19="Alta",P19="Leve"),AND(L19="Alta",P19="Menor")),"Moderado",IF(OR(AND(L19="Muy Baja",P19="Mayor"),AND(L19="Baja",P19="Mayor"),AND(L19="Media",P19="Mayor"),AND(L19="Alta",P19="Moderado"),AND(L19="Alta",P19="Mayor"),AND(L19="Muy Alta",P19="Leve"),AND(L19="Muy Alta",P19="Menor"),AND(L19="Muy Alta",P19="Moderado"),AND(L19="Muy Alta",P19="Mayor")),"Alto",IF(OR(AND(L19="Muy Baja",P19="Catastrófico"),AND(L19="Baja",P19="Catastrófico"),AND(L19="Media",P19="Catastrófico"),AND(L19="Alta",P19="Catastrófico"),AND(L19="Muy Alta",P19="Catastrófico")),"Extremo",""))))</f>
        <v>Moderado</v>
      </c>
      <c r="S19" s="150"/>
      <c r="T19" s="150"/>
      <c r="U19" s="150"/>
      <c r="V19" s="150"/>
      <c r="W19" s="150"/>
      <c r="X19" s="150"/>
      <c r="Y19" s="6">
        <v>1</v>
      </c>
      <c r="Z19" s="222" t="s">
        <v>308</v>
      </c>
      <c r="AA19" s="154" t="str">
        <f t="shared" si="0"/>
        <v>Probabilidad</v>
      </c>
      <c r="AB19" s="155" t="s">
        <v>117</v>
      </c>
      <c r="AC19" s="155" t="s">
        <v>107</v>
      </c>
      <c r="AD19" s="156" t="str">
        <f>IF(AND(AB19="Preventivo",AC19="Automático"),"50%",IF(AND(AB19="Preventivo",AC19="Manual"),"40%",IF(AND(AB19="Detectivo",AC19="Automático"),"40%",IF(AND(AB19="Detectivo",AC19="Manual"),"30%",IF(AND(AB19="Correctivo",AC19="Automático"),"35%",IF(AND(AB19="Correctivo",AC19="Manual"),"25%",""))))))</f>
        <v>40%</v>
      </c>
      <c r="AE19" s="155" t="s">
        <v>108</v>
      </c>
      <c r="AF19" s="155" t="s">
        <v>109</v>
      </c>
      <c r="AG19" s="155" t="s">
        <v>110</v>
      </c>
      <c r="AH19" s="157">
        <f>IFERROR(IF(AA19="Probabilidad",(M19-(+M19*AD19)),IF(AA19="Impacto",M19,"")),"")</f>
        <v>0.12</v>
      </c>
      <c r="AI19" s="158" t="str">
        <f>IFERROR(IF(AH19="","",IF(AH19&lt;=0.2,"Muy Baja",IF(AH19&lt;=0.4,"Baja",IF(AH19&lt;=0.6,"Media",IF(AH19&lt;=0.8,"Alta","Muy Alta"))))),"")</f>
        <v>Muy Baja</v>
      </c>
      <c r="AJ19" s="159">
        <f>+AH19</f>
        <v>0.12</v>
      </c>
      <c r="AK19" s="158" t="str">
        <f>IFERROR(IF(AL19="","",IF(AL19&lt;=0.2,"Leve",IF(AL19&lt;=0.4,"Menor",IF(AL19&lt;=0.6,"Moderado",IF(AL19&lt;=0.8,"Mayor","Catastrófico"))))),"")</f>
        <v>Moderado</v>
      </c>
      <c r="AL19" s="159">
        <f>IFERROR(IF(AA19="Impacto",(Q19-(+Q19*AD19)),IF(AA19="Probabilidad",Q19,"")),"")</f>
        <v>0.6</v>
      </c>
      <c r="AM19" s="160" t="str">
        <f>IFERROR(IF(OR(AND(AI19="Muy Baja",AK19="Leve"),AND(AI19="Muy Baja",AK19="Menor"),AND(AI19="Baja",AK19="Leve")),"Bajo",IF(OR(AND(AI19="Muy baja",AK19="Moderado"),AND(AI19="Baja",AK19="Menor"),AND(AI19="Baja",AK19="Moderado"),AND(AI19="Media",AK19="Leve"),AND(AI19="Media",AK19="Menor"),AND(AI19="Media",AK19="Moderado"),AND(AI19="Alta",AK19="Leve"),AND(AI19="Alta",AK19="Menor")),"Moderado",IF(OR(AND(AI19="Muy Baja",AK19="Mayor"),AND(AI19="Baja",AK19="Mayor"),AND(AI19="Media",AK19="Mayor"),AND(AI19="Alta",AK19="Moderado"),AND(AI19="Alta",AK19="Mayor"),AND(AI19="Muy Alta",AK19="Leve"),AND(AI19="Muy Alta",AK19="Menor"),AND(AI19="Muy Alta",AK19="Moderado"),AND(AI19="Muy Alta",AK19="Mayor")),"Alto",IF(OR(AND(AI19="Muy Baja",AK19="Catastrófico"),AND(AI19="Baja",AK19="Catastrófico"),AND(AI19="Media",AK19="Catastrófico"),AND(AI19="Alta",AK19="Catastrófico"),AND(AI19="Muy Alta",AK19="Catastrófico")),"Extremo","")))),"")</f>
        <v>Moderado</v>
      </c>
      <c r="AN19" s="161" t="s">
        <v>111</v>
      </c>
      <c r="AO19" s="150"/>
      <c r="AP19" s="164" t="str">
        <f t="shared" si="5"/>
        <v/>
      </c>
      <c r="AQ19" s="150"/>
      <c r="AR19" s="164" t="str">
        <f t="shared" si="6"/>
        <v/>
      </c>
      <c r="AS19" s="150" t="str">
        <f t="shared" si="7"/>
        <v/>
      </c>
      <c r="AT19" s="164" t="str">
        <f t="shared" si="8"/>
        <v/>
      </c>
      <c r="AU19" s="140" t="s">
        <v>307</v>
      </c>
      <c r="AV19" s="140" t="s">
        <v>309</v>
      </c>
      <c r="AW19" s="141" t="s">
        <v>254</v>
      </c>
      <c r="AX19" s="141" t="s">
        <v>254</v>
      </c>
      <c r="AY19" s="221" t="s">
        <v>310</v>
      </c>
      <c r="AZ19" s="142" t="s">
        <v>229</v>
      </c>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row>
    <row r="20" spans="1:84" ht="151.5" customHeight="1" x14ac:dyDescent="0.3">
      <c r="A20" s="260"/>
      <c r="B20" s="125"/>
      <c r="C20" s="199"/>
      <c r="D20" s="128"/>
      <c r="E20" s="199"/>
      <c r="F20" s="199"/>
      <c r="G20" s="197"/>
      <c r="H20" s="131"/>
      <c r="I20" s="131"/>
      <c r="J20" s="199"/>
      <c r="K20" s="201"/>
      <c r="L20" s="203"/>
      <c r="M20" s="205"/>
      <c r="N20" s="207"/>
      <c r="O20" s="205">
        <f t="shared" ref="O20:O24" si="20">IF(NOT(ISERROR(MATCH(N20,_xlfn.ANCHORARRAY(G31),0))),M33&amp;"Por favor no seleccionar los criterios de impacto",N20)</f>
        <v>0</v>
      </c>
      <c r="P20" s="203"/>
      <c r="Q20" s="205"/>
      <c r="R20" s="209"/>
      <c r="S20" s="151"/>
      <c r="T20" s="151" t="str">
        <f t="shared" si="1"/>
        <v/>
      </c>
      <c r="U20" s="151"/>
      <c r="V20" s="151" t="str">
        <f t="shared" si="2"/>
        <v/>
      </c>
      <c r="W20" s="151" t="str">
        <f t="shared" si="3"/>
        <v/>
      </c>
      <c r="X20" s="151" t="str">
        <f t="shared" si="4"/>
        <v/>
      </c>
      <c r="Y20" s="6">
        <v>2</v>
      </c>
      <c r="Z20" s="153"/>
      <c r="AA20" s="154" t="str">
        <f t="shared" si="0"/>
        <v/>
      </c>
      <c r="AB20" s="155"/>
      <c r="AC20" s="155"/>
      <c r="AD20" s="156" t="str">
        <f t="shared" ref="AD20:AD24" si="21">IF(AND(AB20="Preventivo",AC20="Automático"),"50%",IF(AND(AB20="Preventivo",AC20="Manual"),"40%",IF(AND(AB20="Detectivo",AC20="Automático"),"40%",IF(AND(AB20="Detectivo",AC20="Manual"),"30%",IF(AND(AB20="Correctivo",AC20="Automático"),"35%",IF(AND(AB20="Correctivo",AC20="Manual"),"25%",""))))))</f>
        <v/>
      </c>
      <c r="AE20" s="155"/>
      <c r="AF20" s="155"/>
      <c r="AG20" s="155"/>
      <c r="AH20" s="157" t="str">
        <f>IFERROR(IF(AND(AA19="Probabilidad",AA20="Probabilidad"),(AJ19-(+AJ19*AD20)),IF(AA20="Probabilidad",(M19-(+M19*AD20)),IF(AA20="Impacto",AJ19,""))),"")</f>
        <v/>
      </c>
      <c r="AI20" s="158" t="str">
        <f t="shared" si="10"/>
        <v/>
      </c>
      <c r="AJ20" s="159" t="str">
        <f t="shared" ref="AJ20:AJ24" si="22">+AH20</f>
        <v/>
      </c>
      <c r="AK20" s="158" t="str">
        <f t="shared" si="12"/>
        <v/>
      </c>
      <c r="AL20" s="159" t="str">
        <f>IFERROR(IF(AND(AA19="Impacto",AA20="Impacto"),(AL19-(+AL19*AD20)),IF(AA20="Impacto",(Q19-(+Q19*AD20)),IF(AA20="Probabilidad",AL19,""))),"")</f>
        <v/>
      </c>
      <c r="AM20" s="160" t="str">
        <f t="shared" ref="AM20:AM21" si="23">IFERROR(IF(OR(AND(AI20="Muy Baja",AK20="Leve"),AND(AI20="Muy Baja",AK20="Menor"),AND(AI20="Baja",AK20="Leve")),"Bajo",IF(OR(AND(AI20="Muy baja",AK20="Moderado"),AND(AI20="Baja",AK20="Menor"),AND(AI20="Baja",AK20="Moderado"),AND(AI20="Media",AK20="Leve"),AND(AI20="Media",AK20="Menor"),AND(AI20="Media",AK20="Moderado"),AND(AI20="Alta",AK20="Leve"),AND(AI20="Alta",AK20="Menor")),"Moderado",IF(OR(AND(AI20="Muy Baja",AK20="Mayor"),AND(AI20="Baja",AK20="Mayor"),AND(AI20="Media",AK20="Mayor"),AND(AI20="Alta",AK20="Moderado"),AND(AI20="Alta",AK20="Mayor"),AND(AI20="Muy Alta",AK20="Leve"),AND(AI20="Muy Alta",AK20="Menor"),AND(AI20="Muy Alta",AK20="Moderado"),AND(AI20="Muy Alta",AK20="Mayor")),"Alto",IF(OR(AND(AI20="Muy Baja",AK20="Catastrófico"),AND(AI20="Baja",AK20="Catastrófico"),AND(AI20="Media",AK20="Catastrófico"),AND(AI20="Alta",AK20="Catastrófico"),AND(AI20="Muy Alta",AK20="Catastrófico")),"Extremo","")))),"")</f>
        <v/>
      </c>
      <c r="AN20" s="161"/>
      <c r="AO20" s="150"/>
      <c r="AP20" s="164" t="str">
        <f t="shared" si="5"/>
        <v/>
      </c>
      <c r="AQ20" s="150"/>
      <c r="AR20" s="164" t="str">
        <f t="shared" si="6"/>
        <v/>
      </c>
      <c r="AS20" s="150" t="str">
        <f t="shared" si="7"/>
        <v/>
      </c>
      <c r="AT20" s="164" t="str">
        <f t="shared" si="8"/>
        <v/>
      </c>
      <c r="AU20" s="121"/>
      <c r="AV20" s="122"/>
      <c r="AW20" s="123"/>
      <c r="AX20" s="123"/>
      <c r="AY20" s="221"/>
      <c r="AZ20" s="122"/>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row>
    <row r="21" spans="1:84" ht="151.5" customHeight="1" x14ac:dyDescent="0.3">
      <c r="A21" s="260"/>
      <c r="B21" s="125"/>
      <c r="C21" s="199"/>
      <c r="D21" s="128"/>
      <c r="E21" s="199"/>
      <c r="F21" s="199"/>
      <c r="G21" s="197"/>
      <c r="H21" s="131"/>
      <c r="I21" s="131"/>
      <c r="J21" s="199"/>
      <c r="K21" s="201"/>
      <c r="L21" s="203"/>
      <c r="M21" s="205"/>
      <c r="N21" s="207"/>
      <c r="O21" s="205">
        <f t="shared" si="20"/>
        <v>0</v>
      </c>
      <c r="P21" s="203"/>
      <c r="Q21" s="205"/>
      <c r="R21" s="209"/>
      <c r="S21" s="151"/>
      <c r="T21" s="151" t="str">
        <f t="shared" si="1"/>
        <v/>
      </c>
      <c r="U21" s="151"/>
      <c r="V21" s="151" t="str">
        <f t="shared" si="2"/>
        <v/>
      </c>
      <c r="W21" s="151" t="str">
        <f t="shared" si="3"/>
        <v/>
      </c>
      <c r="X21" s="151" t="str">
        <f t="shared" si="4"/>
        <v/>
      </c>
      <c r="Y21" s="6">
        <v>3</v>
      </c>
      <c r="Z21" s="142"/>
      <c r="AA21" s="154" t="str">
        <f t="shared" si="0"/>
        <v/>
      </c>
      <c r="AB21" s="155"/>
      <c r="AC21" s="155"/>
      <c r="AD21" s="156" t="str">
        <f t="shared" si="21"/>
        <v/>
      </c>
      <c r="AE21" s="155"/>
      <c r="AF21" s="155"/>
      <c r="AG21" s="155"/>
      <c r="AH21" s="157" t="str">
        <f>IFERROR(IF(AND(AA20="Probabilidad",AA21="Probabilidad"),(AJ20-(+AJ20*AD21)),IF(AND(AA20="Impacto",AA21="Probabilidad"),(AJ19-(+AJ19*AD21)),IF(AA21="Impacto",AJ20,""))),"")</f>
        <v/>
      </c>
      <c r="AI21" s="158" t="str">
        <f t="shared" si="10"/>
        <v/>
      </c>
      <c r="AJ21" s="159" t="str">
        <f t="shared" si="22"/>
        <v/>
      </c>
      <c r="AK21" s="158" t="str">
        <f t="shared" si="12"/>
        <v/>
      </c>
      <c r="AL21" s="159" t="str">
        <f>IFERROR(IF(AND(AA20="Impacto",AA21="Impacto"),(AL20-(+AL20*AD21)),IF(AND(AA20="Probabilidad",AA21="Impacto"),(AL19-(+AL19*AD21)),IF(AA21="Probabilidad",AL20,""))),"")</f>
        <v/>
      </c>
      <c r="AM21" s="160" t="str">
        <f t="shared" si="23"/>
        <v/>
      </c>
      <c r="AN21" s="161"/>
      <c r="AO21" s="150"/>
      <c r="AP21" s="164" t="str">
        <f t="shared" si="5"/>
        <v/>
      </c>
      <c r="AQ21" s="150"/>
      <c r="AR21" s="164" t="str">
        <f t="shared" si="6"/>
        <v/>
      </c>
      <c r="AS21" s="150" t="str">
        <f t="shared" si="7"/>
        <v/>
      </c>
      <c r="AT21" s="164" t="str">
        <f t="shared" si="8"/>
        <v/>
      </c>
      <c r="AU21" s="121"/>
      <c r="AV21" s="122"/>
      <c r="AW21" s="123"/>
      <c r="AX21" s="123"/>
      <c r="AY21" s="221"/>
      <c r="AZ21" s="122"/>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row>
    <row r="22" spans="1:84" ht="151.5" customHeight="1" x14ac:dyDescent="0.3">
      <c r="A22" s="260"/>
      <c r="B22" s="125"/>
      <c r="C22" s="199"/>
      <c r="D22" s="128"/>
      <c r="E22" s="199"/>
      <c r="F22" s="199"/>
      <c r="G22" s="197"/>
      <c r="H22" s="131"/>
      <c r="I22" s="131"/>
      <c r="J22" s="199"/>
      <c r="K22" s="201"/>
      <c r="L22" s="203"/>
      <c r="M22" s="205"/>
      <c r="N22" s="207"/>
      <c r="O22" s="205">
        <f t="shared" si="20"/>
        <v>0</v>
      </c>
      <c r="P22" s="203"/>
      <c r="Q22" s="205"/>
      <c r="R22" s="209"/>
      <c r="S22" s="151"/>
      <c r="T22" s="151" t="str">
        <f t="shared" si="1"/>
        <v/>
      </c>
      <c r="U22" s="151"/>
      <c r="V22" s="151" t="str">
        <f t="shared" si="2"/>
        <v/>
      </c>
      <c r="W22" s="151" t="str">
        <f t="shared" si="3"/>
        <v/>
      </c>
      <c r="X22" s="151" t="str">
        <f t="shared" si="4"/>
        <v/>
      </c>
      <c r="Y22" s="6">
        <v>4</v>
      </c>
      <c r="Z22" s="153"/>
      <c r="AA22" s="154" t="str">
        <f t="shared" ref="AA22:AA24" si="24">IF(OR(AB22="Preventivo",AB22="Detectivo"),"Probabilidad",IF(AB22="Correctivo","Impacto",""))</f>
        <v/>
      </c>
      <c r="AB22" s="155"/>
      <c r="AC22" s="155"/>
      <c r="AD22" s="156" t="str">
        <f t="shared" si="21"/>
        <v/>
      </c>
      <c r="AE22" s="155"/>
      <c r="AF22" s="155"/>
      <c r="AG22" s="155"/>
      <c r="AH22" s="157" t="str">
        <f t="shared" ref="AH22:AH24" si="25">IFERROR(IF(AND(AA21="Probabilidad",AA22="Probabilidad"),(AJ21-(+AJ21*AD22)),IF(AND(AA21="Impacto",AA22="Probabilidad"),(AJ20-(+AJ20*AD22)),IF(AA22="Impacto",AJ21,""))),"")</f>
        <v/>
      </c>
      <c r="AI22" s="158" t="str">
        <f t="shared" si="10"/>
        <v/>
      </c>
      <c r="AJ22" s="159" t="str">
        <f t="shared" si="22"/>
        <v/>
      </c>
      <c r="AK22" s="158" t="str">
        <f t="shared" si="12"/>
        <v/>
      </c>
      <c r="AL22" s="159" t="str">
        <f t="shared" ref="AL22:AL24" si="26">IFERROR(IF(AND(AA21="Impacto",AA22="Impacto"),(AL21-(+AL21*AD22)),IF(AND(AA21="Probabilidad",AA22="Impacto"),(AL20-(+AL20*AD22)),IF(AA22="Probabilidad",AL21,""))),"")</f>
        <v/>
      </c>
      <c r="AM22" s="160" t="str">
        <f>IFERROR(IF(OR(AND(AI22="Muy Baja",AK22="Leve"),AND(AI22="Muy Baja",AK22="Menor"),AND(AI22="Baja",AK22="Leve")),"Bajo",IF(OR(AND(AI22="Muy baja",AK22="Moderado"),AND(AI22="Baja",AK22="Menor"),AND(AI22="Baja",AK22="Moderado"),AND(AI22="Media",AK22="Leve"),AND(AI22="Media",AK22="Menor"),AND(AI22="Media",AK22="Moderado"),AND(AI22="Alta",AK22="Leve"),AND(AI22="Alta",AK22="Menor")),"Moderado",IF(OR(AND(AI22="Muy Baja",AK22="Mayor"),AND(AI22="Baja",AK22="Mayor"),AND(AI22="Media",AK22="Mayor"),AND(AI22="Alta",AK22="Moderado"),AND(AI22="Alta",AK22="Mayor"),AND(AI22="Muy Alta",AK22="Leve"),AND(AI22="Muy Alta",AK22="Menor"),AND(AI22="Muy Alta",AK22="Moderado"),AND(AI22="Muy Alta",AK22="Mayor")),"Alto",IF(OR(AND(AI22="Muy Baja",AK22="Catastrófico"),AND(AI22="Baja",AK22="Catastrófico"),AND(AI22="Media",AK22="Catastrófico"),AND(AI22="Alta",AK22="Catastrófico"),AND(AI22="Muy Alta",AK22="Catastrófico")),"Extremo","")))),"")</f>
        <v/>
      </c>
      <c r="AN22" s="161"/>
      <c r="AO22" s="150"/>
      <c r="AP22" s="164" t="str">
        <f t="shared" si="5"/>
        <v/>
      </c>
      <c r="AQ22" s="150"/>
      <c r="AR22" s="164" t="str">
        <f t="shared" si="6"/>
        <v/>
      </c>
      <c r="AS22" s="150" t="str">
        <f t="shared" si="7"/>
        <v/>
      </c>
      <c r="AT22" s="164" t="str">
        <f t="shared" si="8"/>
        <v/>
      </c>
      <c r="AU22" s="121"/>
      <c r="AV22" s="122"/>
      <c r="AW22" s="123"/>
      <c r="AX22" s="123"/>
      <c r="AY22" s="221"/>
      <c r="AZ22" s="122"/>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row>
    <row r="23" spans="1:84" ht="151.5" customHeight="1" x14ac:dyDescent="0.3">
      <c r="A23" s="260"/>
      <c r="B23" s="125"/>
      <c r="C23" s="199"/>
      <c r="D23" s="128"/>
      <c r="E23" s="199"/>
      <c r="F23" s="199"/>
      <c r="G23" s="197"/>
      <c r="H23" s="131"/>
      <c r="I23" s="131"/>
      <c r="J23" s="199"/>
      <c r="K23" s="201"/>
      <c r="L23" s="203"/>
      <c r="M23" s="205"/>
      <c r="N23" s="207"/>
      <c r="O23" s="205">
        <f t="shared" si="20"/>
        <v>0</v>
      </c>
      <c r="P23" s="203"/>
      <c r="Q23" s="205"/>
      <c r="R23" s="209"/>
      <c r="S23" s="151"/>
      <c r="T23" s="151" t="str">
        <f t="shared" si="1"/>
        <v/>
      </c>
      <c r="U23" s="151"/>
      <c r="V23" s="151" t="str">
        <f t="shared" si="2"/>
        <v/>
      </c>
      <c r="W23" s="151" t="str">
        <f t="shared" si="3"/>
        <v/>
      </c>
      <c r="X23" s="151" t="str">
        <f t="shared" si="4"/>
        <v/>
      </c>
      <c r="Y23" s="6">
        <v>5</v>
      </c>
      <c r="Z23" s="153"/>
      <c r="AA23" s="154" t="str">
        <f t="shared" si="24"/>
        <v/>
      </c>
      <c r="AB23" s="155"/>
      <c r="AC23" s="155"/>
      <c r="AD23" s="156" t="str">
        <f t="shared" si="21"/>
        <v/>
      </c>
      <c r="AE23" s="155"/>
      <c r="AF23" s="155"/>
      <c r="AG23" s="155"/>
      <c r="AH23" s="157" t="str">
        <f t="shared" si="25"/>
        <v/>
      </c>
      <c r="AI23" s="158" t="str">
        <f t="shared" si="10"/>
        <v/>
      </c>
      <c r="AJ23" s="159" t="str">
        <f t="shared" si="22"/>
        <v/>
      </c>
      <c r="AK23" s="158" t="str">
        <f t="shared" si="12"/>
        <v/>
      </c>
      <c r="AL23" s="159" t="str">
        <f t="shared" si="26"/>
        <v/>
      </c>
      <c r="AM23" s="160" t="str">
        <f t="shared" ref="AM23:AM24" si="27">IFERROR(IF(OR(AND(AI23="Muy Baja",AK23="Leve"),AND(AI23="Muy Baja",AK23="Menor"),AND(AI23="Baja",AK23="Leve")),"Bajo",IF(OR(AND(AI23="Muy baja",AK23="Moderado"),AND(AI23="Baja",AK23="Menor"),AND(AI23="Baja",AK23="Moderado"),AND(AI23="Media",AK23="Leve"),AND(AI23="Media",AK23="Menor"),AND(AI23="Media",AK23="Moderado"),AND(AI23="Alta",AK23="Leve"),AND(AI23="Alta",AK23="Menor")),"Moderado",IF(OR(AND(AI23="Muy Baja",AK23="Mayor"),AND(AI23="Baja",AK23="Mayor"),AND(AI23="Media",AK23="Mayor"),AND(AI23="Alta",AK23="Moderado"),AND(AI23="Alta",AK23="Mayor"),AND(AI23="Muy Alta",AK23="Leve"),AND(AI23="Muy Alta",AK23="Menor"),AND(AI23="Muy Alta",AK23="Moderado"),AND(AI23="Muy Alta",AK23="Mayor")),"Alto",IF(OR(AND(AI23="Muy Baja",AK23="Catastrófico"),AND(AI23="Baja",AK23="Catastrófico"),AND(AI23="Media",AK23="Catastrófico"),AND(AI23="Alta",AK23="Catastrófico"),AND(AI23="Muy Alta",AK23="Catastrófico")),"Extremo","")))),"")</f>
        <v/>
      </c>
      <c r="AN23" s="161"/>
      <c r="AO23" s="150"/>
      <c r="AP23" s="164" t="str">
        <f t="shared" si="5"/>
        <v/>
      </c>
      <c r="AQ23" s="150"/>
      <c r="AR23" s="164" t="str">
        <f t="shared" si="6"/>
        <v/>
      </c>
      <c r="AS23" s="150" t="str">
        <f t="shared" si="7"/>
        <v/>
      </c>
      <c r="AT23" s="164" t="str">
        <f t="shared" si="8"/>
        <v/>
      </c>
      <c r="AU23" s="121"/>
      <c r="AV23" s="122"/>
      <c r="AW23" s="123"/>
      <c r="AX23" s="123"/>
      <c r="AY23" s="221"/>
      <c r="AZ23" s="122"/>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row>
    <row r="24" spans="1:84" ht="151.5" customHeight="1" x14ac:dyDescent="0.3">
      <c r="A24" s="274"/>
      <c r="B24" s="126"/>
      <c r="C24" s="200"/>
      <c r="D24" s="129"/>
      <c r="E24" s="200"/>
      <c r="F24" s="200"/>
      <c r="G24" s="198"/>
      <c r="H24" s="132"/>
      <c r="I24" s="132"/>
      <c r="J24" s="200"/>
      <c r="K24" s="202"/>
      <c r="L24" s="204"/>
      <c r="M24" s="206"/>
      <c r="N24" s="208"/>
      <c r="O24" s="206">
        <f t="shared" si="20"/>
        <v>0</v>
      </c>
      <c r="P24" s="204"/>
      <c r="Q24" s="206"/>
      <c r="R24" s="210"/>
      <c r="S24" s="151"/>
      <c r="T24" s="151" t="str">
        <f t="shared" si="1"/>
        <v/>
      </c>
      <c r="U24" s="151"/>
      <c r="V24" s="151" t="str">
        <f t="shared" si="2"/>
        <v/>
      </c>
      <c r="W24" s="151" t="str">
        <f t="shared" si="3"/>
        <v/>
      </c>
      <c r="X24" s="151" t="str">
        <f t="shared" si="4"/>
        <v/>
      </c>
      <c r="Y24" s="6">
        <v>6</v>
      </c>
      <c r="Z24" s="153"/>
      <c r="AA24" s="154" t="str">
        <f t="shared" si="24"/>
        <v/>
      </c>
      <c r="AB24" s="155"/>
      <c r="AC24" s="155"/>
      <c r="AD24" s="156" t="str">
        <f t="shared" si="21"/>
        <v/>
      </c>
      <c r="AE24" s="155"/>
      <c r="AF24" s="155"/>
      <c r="AG24" s="155"/>
      <c r="AH24" s="157" t="str">
        <f t="shared" si="25"/>
        <v/>
      </c>
      <c r="AI24" s="158" t="str">
        <f t="shared" si="10"/>
        <v/>
      </c>
      <c r="AJ24" s="159" t="str">
        <f t="shared" si="22"/>
        <v/>
      </c>
      <c r="AK24" s="158" t="str">
        <f t="shared" si="12"/>
        <v/>
      </c>
      <c r="AL24" s="159" t="str">
        <f t="shared" si="26"/>
        <v/>
      </c>
      <c r="AM24" s="160" t="str">
        <f t="shared" si="27"/>
        <v/>
      </c>
      <c r="AN24" s="161"/>
      <c r="AO24" s="150"/>
      <c r="AP24" s="164" t="str">
        <f t="shared" si="5"/>
        <v/>
      </c>
      <c r="AQ24" s="150"/>
      <c r="AR24" s="164" t="str">
        <f t="shared" si="6"/>
        <v/>
      </c>
      <c r="AS24" s="150" t="str">
        <f t="shared" si="7"/>
        <v/>
      </c>
      <c r="AT24" s="164" t="str">
        <f t="shared" si="8"/>
        <v/>
      </c>
      <c r="AU24" s="121"/>
      <c r="AV24" s="122"/>
      <c r="AW24" s="123"/>
      <c r="AX24" s="123"/>
      <c r="AY24" s="221"/>
      <c r="AZ24" s="122"/>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row>
    <row r="25" spans="1:84" ht="151.5" customHeight="1" x14ac:dyDescent="0.3">
      <c r="A25" s="259">
        <v>6</v>
      </c>
      <c r="B25" s="124"/>
      <c r="C25" s="261"/>
      <c r="D25" s="127"/>
      <c r="E25" s="261"/>
      <c r="F25" s="261"/>
      <c r="G25" s="265"/>
      <c r="H25" s="130"/>
      <c r="I25" s="130"/>
      <c r="J25" s="261"/>
      <c r="K25" s="271"/>
      <c r="L25" s="224" t="str">
        <f>IF(K25&lt;=0,"",IF(K25&lt;=2,"Muy Baja",IF(K25&lt;=24,"Baja",IF(K25&lt;=500,"Media",IF(K25&lt;=5000,"Alta","Muy Alta")))))</f>
        <v/>
      </c>
      <c r="M25" s="226" t="str">
        <f>IF(L25="","",IF(L25="Muy Baja",0.2,IF(L25="Baja",0.4,IF(L25="Media",0.6,IF(L25="Alta",0.8,IF(L25="Muy Alta",1,))))))</f>
        <v/>
      </c>
      <c r="N25" s="269"/>
      <c r="O25" s="226">
        <f>IF(NOT(ISERROR(MATCH(N25,'Tabla Impacto'!$B$221:$B$223,0))),'Tabla Impacto'!$F$223&amp;"Por favor no seleccionar los criterios de impacto(Afectación Económica o presupuestal y Pérdida Reputacional)",N25)</f>
        <v>0</v>
      </c>
      <c r="P25" s="224" t="str">
        <f>IF(OR(O25='Tabla Impacto'!$C$11,O25='Tabla Impacto'!$D$11),"Leve",IF(OR(O25='Tabla Impacto'!$C$12,O25='Tabla Impacto'!$D$12),"Menor",IF(OR(O25='Tabla Impacto'!$C$13,O25='Tabla Impacto'!$D$13),"Moderado",IF(OR(O25='Tabla Impacto'!$C$14,O25='Tabla Impacto'!$D$14),"Mayor",IF(OR(O25='Tabla Impacto'!$C$15,O25='Tabla Impacto'!$D$15),"Catastrófico","")))))</f>
        <v/>
      </c>
      <c r="Q25" s="226" t="str">
        <f>IF(P25="","",IF(P25="Leve",0.2,IF(P25="Menor",0.4,IF(P25="Moderado",0.6,IF(P25="Mayor",0.8,IF(P25="Catastrófico",1,))))))</f>
        <v/>
      </c>
      <c r="R25" s="267" t="str">
        <f>IF(OR(AND(L25="Muy Baja",P25="Leve"),AND(L25="Muy Baja",P25="Menor"),AND(L25="Baja",P25="Leve")),"Bajo",IF(OR(AND(L25="Muy baja",P25="Moderado"),AND(L25="Baja",P25="Menor"),AND(L25="Baja",P25="Moderado"),AND(L25="Media",P25="Leve"),AND(L25="Media",P25="Menor"),AND(L25="Media",P25="Moderado"),AND(L25="Alta",P25="Leve"),AND(L25="Alta",P25="Menor")),"Moderado",IF(OR(AND(L25="Muy Baja",P25="Mayor"),AND(L25="Baja",P25="Mayor"),AND(L25="Media",P25="Mayor"),AND(L25="Alta",P25="Moderado"),AND(L25="Alta",P25="Mayor"),AND(L25="Muy Alta",P25="Leve"),AND(L25="Muy Alta",P25="Menor"),AND(L25="Muy Alta",P25="Moderado"),AND(L25="Muy Alta",P25="Mayor")),"Alto",IF(OR(AND(L25="Muy Baja",P25="Catastrófico"),AND(L25="Baja",P25="Catastrófico"),AND(L25="Media",P25="Catastrófico"),AND(L25="Alta",P25="Catastrófico"),AND(L25="Muy Alta",P25="Catastrófico")),"Extremo",""))))</f>
        <v/>
      </c>
      <c r="S25" s="151"/>
      <c r="T25" s="151" t="str">
        <f t="shared" si="1"/>
        <v/>
      </c>
      <c r="U25" s="151"/>
      <c r="V25" s="151" t="str">
        <f t="shared" si="2"/>
        <v/>
      </c>
      <c r="W25" s="151" t="str">
        <f t="shared" si="3"/>
        <v/>
      </c>
      <c r="X25" s="151" t="str">
        <f t="shared" si="4"/>
        <v/>
      </c>
      <c r="Y25" s="6">
        <v>1</v>
      </c>
      <c r="Z25" s="153"/>
      <c r="AA25" s="154" t="str">
        <f>IF(OR(AB25="Preventivo",AB25="Detectivo"),"Probabilidad",IF(AB25="Correctivo","Impacto",""))</f>
        <v/>
      </c>
      <c r="AB25" s="155"/>
      <c r="AC25" s="155"/>
      <c r="AD25" s="156" t="str">
        <f>IF(AND(AB25="Preventivo",AC25="Automático"),"50%",IF(AND(AB25="Preventivo",AC25="Manual"),"40%",IF(AND(AB25="Detectivo",AC25="Automático"),"40%",IF(AND(AB25="Detectivo",AC25="Manual"),"30%",IF(AND(AB25="Correctivo",AC25="Automático"),"35%",IF(AND(AB25="Correctivo",AC25="Manual"),"25%",""))))))</f>
        <v/>
      </c>
      <c r="AE25" s="155"/>
      <c r="AF25" s="155"/>
      <c r="AG25" s="155"/>
      <c r="AH25" s="157" t="str">
        <f>IFERROR(IF(AA25="Probabilidad",(M25-(+M25*AD25)),IF(AA25="Impacto",M25,"")),"")</f>
        <v/>
      </c>
      <c r="AI25" s="158" t="str">
        <f>IFERROR(IF(AH25="","",IF(AH25&lt;=0.2,"Muy Baja",IF(AH25&lt;=0.4,"Baja",IF(AH25&lt;=0.6,"Media",IF(AH25&lt;=0.8,"Alta","Muy Alta"))))),"")</f>
        <v/>
      </c>
      <c r="AJ25" s="159" t="str">
        <f>+AH25</f>
        <v/>
      </c>
      <c r="AK25" s="158" t="str">
        <f>IFERROR(IF(AL25="","",IF(AL25&lt;=0.2,"Leve",IF(AL25&lt;=0.4,"Menor",IF(AL25&lt;=0.6,"Moderado",IF(AL25&lt;=0.8,"Mayor","Catastrófico"))))),"")</f>
        <v/>
      </c>
      <c r="AL25" s="159" t="str">
        <f>IFERROR(IF(AA25="Impacto",(Q25-(+Q25*AD25)),IF(AA25="Probabilidad",Q25,"")),"")</f>
        <v/>
      </c>
      <c r="AM25" s="160" t="str">
        <f>IFERROR(IF(OR(AND(AI25="Muy Baja",AK25="Leve"),AND(AI25="Muy Baja",AK25="Menor"),AND(AI25="Baja",AK25="Leve")),"Bajo",IF(OR(AND(AI25="Muy baja",AK25="Moderado"),AND(AI25="Baja",AK25="Menor"),AND(AI25="Baja",AK25="Moderado"),AND(AI25="Media",AK25="Leve"),AND(AI25="Media",AK25="Menor"),AND(AI25="Media",AK25="Moderado"),AND(AI25="Alta",AK25="Leve"),AND(AI25="Alta",AK25="Menor")),"Moderado",IF(OR(AND(AI25="Muy Baja",AK25="Mayor"),AND(AI25="Baja",AK25="Mayor"),AND(AI25="Media",AK25="Mayor"),AND(AI25="Alta",AK25="Moderado"),AND(AI25="Alta",AK25="Mayor"),AND(AI25="Muy Alta",AK25="Leve"),AND(AI25="Muy Alta",AK25="Menor"),AND(AI25="Muy Alta",AK25="Moderado"),AND(AI25="Muy Alta",AK25="Mayor")),"Alto",IF(OR(AND(AI25="Muy Baja",AK25="Catastrófico"),AND(AI25="Baja",AK25="Catastrófico"),AND(AI25="Media",AK25="Catastrófico"),AND(AI25="Alta",AK25="Catastrófico"),AND(AI25="Muy Alta",AK25="Catastrófico")),"Extremo","")))),"")</f>
        <v/>
      </c>
      <c r="AN25" s="161"/>
      <c r="AO25" s="150"/>
      <c r="AP25" s="164" t="str">
        <f t="shared" si="5"/>
        <v/>
      </c>
      <c r="AQ25" s="150"/>
      <c r="AR25" s="164" t="str">
        <f t="shared" si="6"/>
        <v/>
      </c>
      <c r="AS25" s="150" t="str">
        <f t="shared" si="7"/>
        <v/>
      </c>
      <c r="AT25" s="164" t="str">
        <f t="shared" si="8"/>
        <v/>
      </c>
      <c r="AU25" s="121"/>
      <c r="AV25" s="122"/>
      <c r="AW25" s="123"/>
      <c r="AX25" s="123"/>
      <c r="AY25" s="221"/>
      <c r="AZ25" s="122"/>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row>
    <row r="26" spans="1:84" ht="151.5" customHeight="1" x14ac:dyDescent="0.3">
      <c r="A26" s="260"/>
      <c r="B26" s="125"/>
      <c r="C26" s="262"/>
      <c r="D26" s="128"/>
      <c r="E26" s="262"/>
      <c r="F26" s="262"/>
      <c r="G26" s="266"/>
      <c r="H26" s="131"/>
      <c r="I26" s="131"/>
      <c r="J26" s="262"/>
      <c r="K26" s="272"/>
      <c r="L26" s="225"/>
      <c r="M26" s="227"/>
      <c r="N26" s="270"/>
      <c r="O26" s="227">
        <f t="shared" ref="O26:O30" si="28">IF(NOT(ISERROR(MATCH(N26,_xlfn.ANCHORARRAY(G37),0))),M39&amp;"Por favor no seleccionar los criterios de impacto",N26)</f>
        <v>0</v>
      </c>
      <c r="P26" s="225"/>
      <c r="Q26" s="227"/>
      <c r="R26" s="268"/>
      <c r="S26" s="151"/>
      <c r="T26" s="151" t="str">
        <f t="shared" si="1"/>
        <v/>
      </c>
      <c r="U26" s="151"/>
      <c r="V26" s="151" t="str">
        <f t="shared" si="2"/>
        <v/>
      </c>
      <c r="W26" s="151" t="str">
        <f t="shared" si="3"/>
        <v/>
      </c>
      <c r="X26" s="151" t="str">
        <f t="shared" si="4"/>
        <v/>
      </c>
      <c r="Y26" s="6">
        <v>2</v>
      </c>
      <c r="Z26" s="153"/>
      <c r="AA26" s="154" t="str">
        <f>IF(OR(AB26="Preventivo",AB26="Detectivo"),"Probabilidad",IF(AB26="Correctivo","Impacto",""))</f>
        <v/>
      </c>
      <c r="AB26" s="155"/>
      <c r="AC26" s="155"/>
      <c r="AD26" s="156" t="str">
        <f t="shared" ref="AD26:AD30" si="29">IF(AND(AB26="Preventivo",AC26="Automático"),"50%",IF(AND(AB26="Preventivo",AC26="Manual"),"40%",IF(AND(AB26="Detectivo",AC26="Automático"),"40%",IF(AND(AB26="Detectivo",AC26="Manual"),"30%",IF(AND(AB26="Correctivo",AC26="Automático"),"35%",IF(AND(AB26="Correctivo",AC26="Manual"),"25%",""))))))</f>
        <v/>
      </c>
      <c r="AE26" s="155"/>
      <c r="AF26" s="155"/>
      <c r="AG26" s="155"/>
      <c r="AH26" s="157" t="str">
        <f>IFERROR(IF(AND(AA25="Probabilidad",AA26="Probabilidad"),(AJ25-(+AJ25*AD26)),IF(AA26="Probabilidad",(M25-(+M25*AD26)),IF(AA26="Impacto",AJ25,""))),"")</f>
        <v/>
      </c>
      <c r="AI26" s="158" t="str">
        <f t="shared" si="10"/>
        <v/>
      </c>
      <c r="AJ26" s="159" t="str">
        <f t="shared" ref="AJ26:AJ30" si="30">+AH26</f>
        <v/>
      </c>
      <c r="AK26" s="158" t="str">
        <f t="shared" si="12"/>
        <v/>
      </c>
      <c r="AL26" s="159" t="str">
        <f>IFERROR(IF(AND(AA25="Impacto",AA26="Impacto"),(AL25-(+AL25*AD26)),IF(AA26="Impacto",(Q25-(+Q25*AD26)),IF(AA26="Probabilidad",AL25,""))),"")</f>
        <v/>
      </c>
      <c r="AM26" s="160" t="str">
        <f t="shared" ref="AM26:AM27" si="31">IFERROR(IF(OR(AND(AI26="Muy Baja",AK26="Leve"),AND(AI26="Muy Baja",AK26="Menor"),AND(AI26="Baja",AK26="Leve")),"Bajo",IF(OR(AND(AI26="Muy baja",AK26="Moderado"),AND(AI26="Baja",AK26="Menor"),AND(AI26="Baja",AK26="Moderado"),AND(AI26="Media",AK26="Leve"),AND(AI26="Media",AK26="Menor"),AND(AI26="Media",AK26="Moderado"),AND(AI26="Alta",AK26="Leve"),AND(AI26="Alta",AK26="Menor")),"Moderado",IF(OR(AND(AI26="Muy Baja",AK26="Mayor"),AND(AI26="Baja",AK26="Mayor"),AND(AI26="Media",AK26="Mayor"),AND(AI26="Alta",AK26="Moderado"),AND(AI26="Alta",AK26="Mayor"),AND(AI26="Muy Alta",AK26="Leve"),AND(AI26="Muy Alta",AK26="Menor"),AND(AI26="Muy Alta",AK26="Moderado"),AND(AI26="Muy Alta",AK26="Mayor")),"Alto",IF(OR(AND(AI26="Muy Baja",AK26="Catastrófico"),AND(AI26="Baja",AK26="Catastrófico"),AND(AI26="Media",AK26="Catastrófico"),AND(AI26="Alta",AK26="Catastrófico"),AND(AI26="Muy Alta",AK26="Catastrófico")),"Extremo","")))),"")</f>
        <v/>
      </c>
      <c r="AN26" s="161"/>
      <c r="AO26" s="150"/>
      <c r="AP26" s="164" t="str">
        <f t="shared" si="5"/>
        <v/>
      </c>
      <c r="AQ26" s="150"/>
      <c r="AR26" s="164" t="str">
        <f t="shared" si="6"/>
        <v/>
      </c>
      <c r="AS26" s="150" t="str">
        <f t="shared" si="7"/>
        <v/>
      </c>
      <c r="AT26" s="164" t="str">
        <f t="shared" si="8"/>
        <v/>
      </c>
      <c r="AU26" s="121"/>
      <c r="AV26" s="122"/>
      <c r="AW26" s="123"/>
      <c r="AX26" s="123"/>
      <c r="AY26" s="221"/>
      <c r="AZ26" s="122"/>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row>
    <row r="27" spans="1:84" ht="151.5" customHeight="1" x14ac:dyDescent="0.3">
      <c r="A27" s="260"/>
      <c r="B27" s="125"/>
      <c r="C27" s="262"/>
      <c r="D27" s="128"/>
      <c r="E27" s="262"/>
      <c r="F27" s="262"/>
      <c r="G27" s="266"/>
      <c r="H27" s="131"/>
      <c r="I27" s="131"/>
      <c r="J27" s="262"/>
      <c r="K27" s="272"/>
      <c r="L27" s="225"/>
      <c r="M27" s="227"/>
      <c r="N27" s="270"/>
      <c r="O27" s="227">
        <f t="shared" si="28"/>
        <v>0</v>
      </c>
      <c r="P27" s="225"/>
      <c r="Q27" s="227"/>
      <c r="R27" s="268"/>
      <c r="S27" s="151"/>
      <c r="T27" s="151" t="str">
        <f t="shared" si="1"/>
        <v/>
      </c>
      <c r="U27" s="151"/>
      <c r="V27" s="151" t="str">
        <f t="shared" si="2"/>
        <v/>
      </c>
      <c r="W27" s="151" t="str">
        <f t="shared" si="3"/>
        <v/>
      </c>
      <c r="X27" s="151" t="str">
        <f t="shared" si="4"/>
        <v/>
      </c>
      <c r="Y27" s="6">
        <v>3</v>
      </c>
      <c r="Z27" s="142"/>
      <c r="AA27" s="154" t="str">
        <f>IF(OR(AB27="Preventivo",AB27="Detectivo"),"Probabilidad",IF(AB27="Correctivo","Impacto",""))</f>
        <v/>
      </c>
      <c r="AB27" s="155"/>
      <c r="AC27" s="155"/>
      <c r="AD27" s="156" t="str">
        <f t="shared" si="29"/>
        <v/>
      </c>
      <c r="AE27" s="155"/>
      <c r="AF27" s="155"/>
      <c r="AG27" s="155"/>
      <c r="AH27" s="157" t="str">
        <f>IFERROR(IF(AND(AA26="Probabilidad",AA27="Probabilidad"),(AJ26-(+AJ26*AD27)),IF(AND(AA26="Impacto",AA27="Probabilidad"),(AJ25-(+AJ25*AD27)),IF(AA27="Impacto",AJ26,""))),"")</f>
        <v/>
      </c>
      <c r="AI27" s="158" t="str">
        <f t="shared" si="10"/>
        <v/>
      </c>
      <c r="AJ27" s="159" t="str">
        <f t="shared" si="30"/>
        <v/>
      </c>
      <c r="AK27" s="158" t="str">
        <f t="shared" si="12"/>
        <v/>
      </c>
      <c r="AL27" s="159" t="str">
        <f>IFERROR(IF(AND(AA26="Impacto",AA27="Impacto"),(AL26-(+AL26*AD27)),IF(AND(AA26="Probabilidad",AA27="Impacto"),(AL25-(+AL25*AD27)),IF(AA27="Probabilidad",AL26,""))),"")</f>
        <v/>
      </c>
      <c r="AM27" s="160" t="str">
        <f t="shared" si="31"/>
        <v/>
      </c>
      <c r="AN27" s="161"/>
      <c r="AO27" s="120"/>
      <c r="AP27" s="120"/>
      <c r="AQ27" s="120"/>
      <c r="AR27" s="120"/>
      <c r="AS27" s="120"/>
      <c r="AT27" s="120"/>
      <c r="AU27" s="121"/>
      <c r="AV27" s="122"/>
      <c r="AW27" s="123"/>
      <c r="AX27" s="123"/>
      <c r="AY27" s="221"/>
      <c r="AZ27" s="122"/>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row>
    <row r="28" spans="1:84" ht="151.5" customHeight="1" x14ac:dyDescent="0.3">
      <c r="A28" s="260"/>
      <c r="B28" s="125"/>
      <c r="C28" s="262"/>
      <c r="D28" s="128"/>
      <c r="E28" s="262"/>
      <c r="F28" s="262"/>
      <c r="G28" s="266"/>
      <c r="H28" s="131"/>
      <c r="I28" s="131"/>
      <c r="J28" s="262"/>
      <c r="K28" s="272"/>
      <c r="L28" s="225"/>
      <c r="M28" s="227"/>
      <c r="N28" s="270"/>
      <c r="O28" s="227">
        <f t="shared" si="28"/>
        <v>0</v>
      </c>
      <c r="P28" s="225"/>
      <c r="Q28" s="227"/>
      <c r="R28" s="268"/>
      <c r="S28" s="151"/>
      <c r="T28" s="151" t="str">
        <f t="shared" si="1"/>
        <v/>
      </c>
      <c r="U28" s="151"/>
      <c r="V28" s="151" t="str">
        <f t="shared" si="2"/>
        <v/>
      </c>
      <c r="W28" s="151" t="str">
        <f t="shared" si="3"/>
        <v/>
      </c>
      <c r="X28" s="151" t="str">
        <f t="shared" si="4"/>
        <v/>
      </c>
      <c r="Y28" s="6">
        <v>4</v>
      </c>
      <c r="Z28" s="153"/>
      <c r="AA28" s="154" t="str">
        <f t="shared" ref="AA28:AA30" si="32">IF(OR(AB28="Preventivo",AB28="Detectivo"),"Probabilidad",IF(AB28="Correctivo","Impacto",""))</f>
        <v/>
      </c>
      <c r="AB28" s="155"/>
      <c r="AC28" s="155"/>
      <c r="AD28" s="156" t="str">
        <f t="shared" si="29"/>
        <v/>
      </c>
      <c r="AE28" s="155"/>
      <c r="AF28" s="155"/>
      <c r="AG28" s="155"/>
      <c r="AH28" s="157" t="str">
        <f t="shared" ref="AH28:AH30" si="33">IFERROR(IF(AND(AA27="Probabilidad",AA28="Probabilidad"),(AJ27-(+AJ27*AD28)),IF(AND(AA27="Impacto",AA28="Probabilidad"),(AJ26-(+AJ26*AD28)),IF(AA28="Impacto",AJ27,""))),"")</f>
        <v/>
      </c>
      <c r="AI28" s="158" t="str">
        <f t="shared" si="10"/>
        <v/>
      </c>
      <c r="AJ28" s="159" t="str">
        <f t="shared" si="30"/>
        <v/>
      </c>
      <c r="AK28" s="158" t="str">
        <f t="shared" si="12"/>
        <v/>
      </c>
      <c r="AL28" s="159" t="str">
        <f t="shared" ref="AL28:AL30" si="34">IFERROR(IF(AND(AA27="Impacto",AA28="Impacto"),(AL27-(+AL27*AD28)),IF(AND(AA27="Probabilidad",AA28="Impacto"),(AL26-(+AL26*AD28)),IF(AA28="Probabilidad",AL27,""))),"")</f>
        <v/>
      </c>
      <c r="AM28" s="160" t="str">
        <f>IFERROR(IF(OR(AND(AI28="Muy Baja",AK28="Leve"),AND(AI28="Muy Baja",AK28="Menor"),AND(AI28="Baja",AK28="Leve")),"Bajo",IF(OR(AND(AI28="Muy baja",AK28="Moderado"),AND(AI28="Baja",AK28="Menor"),AND(AI28="Baja",AK28="Moderado"),AND(AI28="Media",AK28="Leve"),AND(AI28="Media",AK28="Menor"),AND(AI28="Media",AK28="Moderado"),AND(AI28="Alta",AK28="Leve"),AND(AI28="Alta",AK28="Menor")),"Moderado",IF(OR(AND(AI28="Muy Baja",AK28="Mayor"),AND(AI28="Baja",AK28="Mayor"),AND(AI28="Media",AK28="Mayor"),AND(AI28="Alta",AK28="Moderado"),AND(AI28="Alta",AK28="Mayor"),AND(AI28="Muy Alta",AK28="Leve"),AND(AI28="Muy Alta",AK28="Menor"),AND(AI28="Muy Alta",AK28="Moderado"),AND(AI28="Muy Alta",AK28="Mayor")),"Alto",IF(OR(AND(AI28="Muy Baja",AK28="Catastrófico"),AND(AI28="Baja",AK28="Catastrófico"),AND(AI28="Media",AK28="Catastrófico"),AND(AI28="Alta",AK28="Catastrófico"),AND(AI28="Muy Alta",AK28="Catastrófico")),"Extremo","")))),"")</f>
        <v/>
      </c>
      <c r="AN28" s="161"/>
      <c r="AO28" s="120"/>
      <c r="AP28" s="120"/>
      <c r="AQ28" s="120"/>
      <c r="AR28" s="120"/>
      <c r="AS28" s="120"/>
      <c r="AT28" s="120"/>
      <c r="AU28" s="121"/>
      <c r="AV28" s="122"/>
      <c r="AW28" s="123"/>
      <c r="AX28" s="123"/>
      <c r="AY28" s="221"/>
      <c r="AZ28" s="122"/>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row>
    <row r="29" spans="1:84" ht="151.5" customHeight="1" x14ac:dyDescent="0.3">
      <c r="A29" s="260"/>
      <c r="B29" s="125"/>
      <c r="C29" s="262"/>
      <c r="D29" s="128"/>
      <c r="E29" s="262"/>
      <c r="F29" s="262"/>
      <c r="G29" s="266"/>
      <c r="H29" s="131"/>
      <c r="I29" s="131"/>
      <c r="J29" s="262"/>
      <c r="K29" s="272"/>
      <c r="L29" s="225"/>
      <c r="M29" s="227"/>
      <c r="N29" s="270"/>
      <c r="O29" s="227">
        <f t="shared" si="28"/>
        <v>0</v>
      </c>
      <c r="P29" s="225"/>
      <c r="Q29" s="227"/>
      <c r="R29" s="268"/>
      <c r="S29" s="151"/>
      <c r="T29" s="151" t="str">
        <f t="shared" si="1"/>
        <v/>
      </c>
      <c r="U29" s="151"/>
      <c r="V29" s="151" t="str">
        <f t="shared" si="2"/>
        <v/>
      </c>
      <c r="W29" s="151" t="str">
        <f t="shared" si="3"/>
        <v/>
      </c>
      <c r="X29" s="151" t="str">
        <f t="shared" si="4"/>
        <v/>
      </c>
      <c r="Y29" s="6">
        <v>5</v>
      </c>
      <c r="Z29" s="153"/>
      <c r="AA29" s="154" t="str">
        <f t="shared" si="32"/>
        <v/>
      </c>
      <c r="AB29" s="155"/>
      <c r="AC29" s="155"/>
      <c r="AD29" s="156" t="str">
        <f t="shared" si="29"/>
        <v/>
      </c>
      <c r="AE29" s="155"/>
      <c r="AF29" s="155"/>
      <c r="AG29" s="155"/>
      <c r="AH29" s="157" t="str">
        <f t="shared" si="33"/>
        <v/>
      </c>
      <c r="AI29" s="158" t="str">
        <f t="shared" si="10"/>
        <v/>
      </c>
      <c r="AJ29" s="159" t="str">
        <f t="shared" si="30"/>
        <v/>
      </c>
      <c r="AK29" s="158" t="str">
        <f t="shared" si="12"/>
        <v/>
      </c>
      <c r="AL29" s="159" t="str">
        <f t="shared" si="34"/>
        <v/>
      </c>
      <c r="AM29" s="160" t="str">
        <f t="shared" ref="AM29" si="35">IFERROR(IF(OR(AND(AI29="Muy Baja",AK29="Leve"),AND(AI29="Muy Baja",AK29="Menor"),AND(AI29="Baja",AK29="Leve")),"Bajo",IF(OR(AND(AI29="Muy baja",AK29="Moderado"),AND(AI29="Baja",AK29="Menor"),AND(AI29="Baja",AK29="Moderado"),AND(AI29="Media",AK29="Leve"),AND(AI29="Media",AK29="Menor"),AND(AI29="Media",AK29="Moderado"),AND(AI29="Alta",AK29="Leve"),AND(AI29="Alta",AK29="Menor")),"Moderado",IF(OR(AND(AI29="Muy Baja",AK29="Mayor"),AND(AI29="Baja",AK29="Mayor"),AND(AI29="Media",AK29="Mayor"),AND(AI29="Alta",AK29="Moderado"),AND(AI29="Alta",AK29="Mayor"),AND(AI29="Muy Alta",AK29="Leve"),AND(AI29="Muy Alta",AK29="Menor"),AND(AI29="Muy Alta",AK29="Moderado"),AND(AI29="Muy Alta",AK29="Mayor")),"Alto",IF(OR(AND(AI29="Muy Baja",AK29="Catastrófico"),AND(AI29="Baja",AK29="Catastrófico"),AND(AI29="Media",AK29="Catastrófico"),AND(AI29="Alta",AK29="Catastrófico"),AND(AI29="Muy Alta",AK29="Catastrófico")),"Extremo","")))),"")</f>
        <v/>
      </c>
      <c r="AN29" s="161"/>
      <c r="AO29" s="120"/>
      <c r="AP29" s="120"/>
      <c r="AQ29" s="120"/>
      <c r="AR29" s="120"/>
      <c r="AS29" s="120"/>
      <c r="AT29" s="120"/>
      <c r="AU29" s="121"/>
      <c r="AV29" s="122"/>
      <c r="AW29" s="123"/>
      <c r="AX29" s="123"/>
      <c r="AY29" s="221"/>
      <c r="AZ29" s="122"/>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row>
    <row r="30" spans="1:84" ht="151.5" customHeight="1" x14ac:dyDescent="0.3">
      <c r="A30" s="274"/>
      <c r="B30" s="126"/>
      <c r="C30" s="275"/>
      <c r="D30" s="129"/>
      <c r="E30" s="275"/>
      <c r="F30" s="275"/>
      <c r="G30" s="273"/>
      <c r="H30" s="132"/>
      <c r="I30" s="132"/>
      <c r="J30" s="275"/>
      <c r="K30" s="280"/>
      <c r="L30" s="279"/>
      <c r="M30" s="276"/>
      <c r="N30" s="278"/>
      <c r="O30" s="276">
        <f t="shared" si="28"/>
        <v>0</v>
      </c>
      <c r="P30" s="279"/>
      <c r="Q30" s="276"/>
      <c r="R30" s="277"/>
      <c r="S30" s="151"/>
      <c r="T30" s="151" t="str">
        <f t="shared" si="1"/>
        <v/>
      </c>
      <c r="U30" s="151"/>
      <c r="V30" s="151" t="str">
        <f t="shared" si="2"/>
        <v/>
      </c>
      <c r="W30" s="151" t="str">
        <f t="shared" si="3"/>
        <v/>
      </c>
      <c r="X30" s="151" t="str">
        <f t="shared" si="4"/>
        <v/>
      </c>
      <c r="Y30" s="6">
        <v>6</v>
      </c>
      <c r="Z30" s="153"/>
      <c r="AA30" s="154" t="str">
        <f t="shared" si="32"/>
        <v/>
      </c>
      <c r="AB30" s="155"/>
      <c r="AC30" s="155"/>
      <c r="AD30" s="156" t="str">
        <f t="shared" si="29"/>
        <v/>
      </c>
      <c r="AE30" s="155"/>
      <c r="AF30" s="155"/>
      <c r="AG30" s="155"/>
      <c r="AH30" s="157" t="str">
        <f t="shared" si="33"/>
        <v/>
      </c>
      <c r="AI30" s="158" t="str">
        <f t="shared" si="10"/>
        <v/>
      </c>
      <c r="AJ30" s="159" t="str">
        <f t="shared" si="30"/>
        <v/>
      </c>
      <c r="AK30" s="158" t="str">
        <f>IFERROR(IF(AL30="","",IF(AL30&lt;=0.2,"Leve",IF(AL30&lt;=0.4,"Menor",IF(AL30&lt;=0.6,"Moderado",IF(AL30&lt;=0.8,"Mayor","Catastrófico"))))),"")</f>
        <v/>
      </c>
      <c r="AL30" s="159" t="str">
        <f t="shared" si="34"/>
        <v/>
      </c>
      <c r="AM30" s="160" t="str">
        <f>IFERROR(IF(OR(AND(AI30="Muy Baja",AK30="Leve"),AND(AI30="Muy Baja",AK30="Menor"),AND(AI30="Baja",AK30="Leve")),"Bajo",IF(OR(AND(AI30="Muy baja",AK30="Moderado"),AND(AI30="Baja",AK30="Menor"),AND(AI30="Baja",AK30="Moderado"),AND(AI30="Media",AK30="Leve"),AND(AI30="Media",AK30="Menor"),AND(AI30="Media",AK30="Moderado"),AND(AI30="Alta",AK30="Leve"),AND(AI30="Alta",AK30="Menor")),"Moderado",IF(OR(AND(AI30="Muy Baja",AK30="Mayor"),AND(AI30="Baja",AK30="Mayor"),AND(AI30="Media",AK30="Mayor"),AND(AI30="Alta",AK30="Moderado"),AND(AI30="Alta",AK30="Mayor"),AND(AI30="Muy Alta",AK30="Leve"),AND(AI30="Muy Alta",AK30="Menor"),AND(AI30="Muy Alta",AK30="Moderado"),AND(AI30="Muy Alta",AK30="Mayor")),"Alto",IF(OR(AND(AI30="Muy Baja",AK30="Catastrófico"),AND(AI30="Baja",AK30="Catastrófico"),AND(AI30="Media",AK30="Catastrófico"),AND(AI30="Alta",AK30="Catastrófico"),AND(AI30="Muy Alta",AK30="Catastrófico")),"Extremo","")))),"")</f>
        <v/>
      </c>
      <c r="AN30" s="161"/>
      <c r="AO30" s="120"/>
      <c r="AP30" s="120"/>
      <c r="AQ30" s="120"/>
      <c r="AR30" s="120"/>
      <c r="AS30" s="120"/>
      <c r="AT30" s="120"/>
      <c r="AU30" s="121"/>
      <c r="AV30" s="122"/>
      <c r="AW30" s="123"/>
      <c r="AX30" s="123"/>
      <c r="AY30" s="221"/>
      <c r="AZ30" s="122"/>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row>
    <row r="31" spans="1:84" ht="151.5" customHeight="1" x14ac:dyDescent="0.3">
      <c r="A31" s="259">
        <v>7</v>
      </c>
      <c r="B31" s="124"/>
      <c r="C31" s="261"/>
      <c r="D31" s="127"/>
      <c r="E31" s="261"/>
      <c r="F31" s="261"/>
      <c r="G31" s="265"/>
      <c r="H31" s="130"/>
      <c r="I31" s="130"/>
      <c r="J31" s="261"/>
      <c r="K31" s="271"/>
      <c r="L31" s="224" t="str">
        <f>IF(K31&lt;=0,"",IF(K31&lt;=2,"Muy Baja",IF(K31&lt;=24,"Baja",IF(K31&lt;=500,"Media",IF(K31&lt;=5000,"Alta","Muy Alta")))))</f>
        <v/>
      </c>
      <c r="M31" s="226" t="str">
        <f>IF(L31="","",IF(L31="Muy Baja",0.2,IF(L31="Baja",0.4,IF(L31="Media",0.6,IF(L31="Alta",0.8,IF(L31="Muy Alta",1,))))))</f>
        <v/>
      </c>
      <c r="N31" s="269"/>
      <c r="O31" s="226">
        <f>IF(NOT(ISERROR(MATCH(N31,'Tabla Impacto'!$B$221:$B$223,0))),'Tabla Impacto'!$F$223&amp;"Por favor no seleccionar los criterios de impacto(Afectación Económica o presupuestal y Pérdida Reputacional)",N31)</f>
        <v>0</v>
      </c>
      <c r="P31" s="224" t="str">
        <f>IF(OR(O31='Tabla Impacto'!$C$11,O31='Tabla Impacto'!$D$11),"Leve",IF(OR(O31='Tabla Impacto'!$C$12,O31='Tabla Impacto'!$D$12),"Menor",IF(OR(O31='Tabla Impacto'!$C$13,O31='Tabla Impacto'!$D$13),"Moderado",IF(OR(O31='Tabla Impacto'!$C$14,O31='Tabla Impacto'!$D$14),"Mayor",IF(OR(O31='Tabla Impacto'!$C$15,O31='Tabla Impacto'!$D$15),"Catastrófico","")))))</f>
        <v/>
      </c>
      <c r="Q31" s="226" t="str">
        <f>IF(P31="","",IF(P31="Leve",0.2,IF(P31="Menor",0.4,IF(P31="Moderado",0.6,IF(P31="Mayor",0.8,IF(P31="Catastrófico",1,))))))</f>
        <v/>
      </c>
      <c r="R31" s="267" t="str">
        <f>IF(OR(AND(L31="Muy Baja",P31="Leve"),AND(L31="Muy Baja",P31="Menor"),AND(L31="Baja",P31="Leve")),"Bajo",IF(OR(AND(L31="Muy baja",P31="Moderado"),AND(L31="Baja",P31="Menor"),AND(L31="Baja",P31="Moderado"),AND(L31="Media",P31="Leve"),AND(L31="Media",P31="Menor"),AND(L31="Media",P31="Moderado"),AND(L31="Alta",P31="Leve"),AND(L31="Alta",P31="Menor")),"Moderado",IF(OR(AND(L31="Muy Baja",P31="Mayor"),AND(L31="Baja",P31="Mayor"),AND(L31="Media",P31="Mayor"),AND(L31="Alta",P31="Moderado"),AND(L31="Alta",P31="Mayor"),AND(L31="Muy Alta",P31="Leve"),AND(L31="Muy Alta",P31="Menor"),AND(L31="Muy Alta",P31="Moderado"),AND(L31="Muy Alta",P31="Mayor")),"Alto",IF(OR(AND(L31="Muy Baja",P31="Catastrófico"),AND(L31="Baja",P31="Catastrófico"),AND(L31="Media",P31="Catastrófico"),AND(L31="Alta",P31="Catastrófico"),AND(L31="Muy Alta",P31="Catastrófico")),"Extremo",""))))</f>
        <v/>
      </c>
      <c r="S31" s="151"/>
      <c r="T31" s="151" t="str">
        <f t="shared" si="1"/>
        <v/>
      </c>
      <c r="U31" s="151"/>
      <c r="V31" s="151" t="str">
        <f t="shared" si="2"/>
        <v/>
      </c>
      <c r="W31" s="151" t="str">
        <f t="shared" si="3"/>
        <v/>
      </c>
      <c r="X31" s="151" t="str">
        <f t="shared" si="4"/>
        <v/>
      </c>
      <c r="Y31" s="6">
        <v>1</v>
      </c>
      <c r="Z31" s="153"/>
      <c r="AA31" s="154" t="str">
        <f>IF(OR(AB31="Preventivo",AB31="Detectivo"),"Probabilidad",IF(AB31="Correctivo","Impacto",""))</f>
        <v/>
      </c>
      <c r="AB31" s="155"/>
      <c r="AC31" s="155"/>
      <c r="AD31" s="156" t="str">
        <f>IF(AND(AB31="Preventivo",AC31="Automático"),"50%",IF(AND(AB31="Preventivo",AC31="Manual"),"40%",IF(AND(AB31="Detectivo",AC31="Automático"),"40%",IF(AND(AB31="Detectivo",AC31="Manual"),"30%",IF(AND(AB31="Correctivo",AC31="Automático"),"35%",IF(AND(AB31="Correctivo",AC31="Manual"),"25%",""))))))</f>
        <v/>
      </c>
      <c r="AE31" s="155"/>
      <c r="AF31" s="155"/>
      <c r="AG31" s="155"/>
      <c r="AH31" s="157" t="str">
        <f>IFERROR(IF(AA31="Probabilidad",(M31-(+M31*AD31)),IF(AA31="Impacto",M31,"")),"")</f>
        <v/>
      </c>
      <c r="AI31" s="158" t="str">
        <f>IFERROR(IF(AH31="","",IF(AH31&lt;=0.2,"Muy Baja",IF(AH31&lt;=0.4,"Baja",IF(AH31&lt;=0.6,"Media",IF(AH31&lt;=0.8,"Alta","Muy Alta"))))),"")</f>
        <v/>
      </c>
      <c r="AJ31" s="159" t="str">
        <f>+AH31</f>
        <v/>
      </c>
      <c r="AK31" s="158" t="str">
        <f>IFERROR(IF(AL31="","",IF(AL31&lt;=0.2,"Leve",IF(AL31&lt;=0.4,"Menor",IF(AL31&lt;=0.6,"Moderado",IF(AL31&lt;=0.8,"Mayor","Catastrófico"))))),"")</f>
        <v/>
      </c>
      <c r="AL31" s="159" t="str">
        <f>IFERROR(IF(AA31="Impacto",(Q31-(+Q31*AD31)),IF(AA31="Probabilidad",Q31,"")),"")</f>
        <v/>
      </c>
      <c r="AM31" s="160" t="str">
        <f>IFERROR(IF(OR(AND(AI31="Muy Baja",AK31="Leve"),AND(AI31="Muy Baja",AK31="Menor"),AND(AI31="Baja",AK31="Leve")),"Bajo",IF(OR(AND(AI31="Muy baja",AK31="Moderado"),AND(AI31="Baja",AK31="Menor"),AND(AI31="Baja",AK31="Moderado"),AND(AI31="Media",AK31="Leve"),AND(AI31="Media",AK31="Menor"),AND(AI31="Media",AK31="Moderado"),AND(AI31="Alta",AK31="Leve"),AND(AI31="Alta",AK31="Menor")),"Moderado",IF(OR(AND(AI31="Muy Baja",AK31="Mayor"),AND(AI31="Baja",AK31="Mayor"),AND(AI31="Media",AK31="Mayor"),AND(AI31="Alta",AK31="Moderado"),AND(AI31="Alta",AK31="Mayor"),AND(AI31="Muy Alta",AK31="Leve"),AND(AI31="Muy Alta",AK31="Menor"),AND(AI31="Muy Alta",AK31="Moderado"),AND(AI31="Muy Alta",AK31="Mayor")),"Alto",IF(OR(AND(AI31="Muy Baja",AK31="Catastrófico"),AND(AI31="Baja",AK31="Catastrófico"),AND(AI31="Media",AK31="Catastrófico"),AND(AI31="Alta",AK31="Catastrófico"),AND(AI31="Muy Alta",AK31="Catastrófico")),"Extremo","")))),"")</f>
        <v/>
      </c>
      <c r="AN31" s="161"/>
      <c r="AO31" s="120"/>
      <c r="AP31" s="120"/>
      <c r="AQ31" s="120"/>
      <c r="AR31" s="120"/>
      <c r="AS31" s="120"/>
      <c r="AT31" s="120"/>
      <c r="AU31" s="121"/>
      <c r="AV31" s="122"/>
      <c r="AW31" s="123"/>
      <c r="AX31" s="123"/>
      <c r="AY31" s="221"/>
      <c r="AZ31" s="122"/>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row>
    <row r="32" spans="1:84" ht="151.5" customHeight="1" x14ac:dyDescent="0.3">
      <c r="A32" s="260"/>
      <c r="B32" s="125"/>
      <c r="C32" s="262"/>
      <c r="D32" s="128"/>
      <c r="E32" s="262"/>
      <c r="F32" s="262"/>
      <c r="G32" s="266"/>
      <c r="H32" s="131"/>
      <c r="I32" s="131"/>
      <c r="J32" s="262"/>
      <c r="K32" s="272"/>
      <c r="L32" s="225"/>
      <c r="M32" s="227"/>
      <c r="N32" s="270"/>
      <c r="O32" s="227">
        <f t="shared" ref="O32:O36" si="36">IF(NOT(ISERROR(MATCH(N32,_xlfn.ANCHORARRAY(G43),0))),M45&amp;"Por favor no seleccionar los criterios de impacto",N32)</f>
        <v>0</v>
      </c>
      <c r="P32" s="225"/>
      <c r="Q32" s="227"/>
      <c r="R32" s="268"/>
      <c r="S32" s="151"/>
      <c r="T32" s="151" t="str">
        <f t="shared" si="1"/>
        <v/>
      </c>
      <c r="U32" s="151"/>
      <c r="V32" s="151" t="str">
        <f t="shared" si="2"/>
        <v/>
      </c>
      <c r="W32" s="151" t="str">
        <f t="shared" si="3"/>
        <v/>
      </c>
      <c r="X32" s="151" t="str">
        <f t="shared" si="4"/>
        <v/>
      </c>
      <c r="Y32" s="6">
        <v>2</v>
      </c>
      <c r="Z32" s="153"/>
      <c r="AA32" s="154" t="str">
        <f>IF(OR(AB32="Preventivo",AB32="Detectivo"),"Probabilidad",IF(AB32="Correctivo","Impacto",""))</f>
        <v/>
      </c>
      <c r="AB32" s="155"/>
      <c r="AC32" s="155"/>
      <c r="AD32" s="156" t="str">
        <f t="shared" ref="AD32:AD36" si="37">IF(AND(AB32="Preventivo",AC32="Automático"),"50%",IF(AND(AB32="Preventivo",AC32="Manual"),"40%",IF(AND(AB32="Detectivo",AC32="Automático"),"40%",IF(AND(AB32="Detectivo",AC32="Manual"),"30%",IF(AND(AB32="Correctivo",AC32="Automático"),"35%",IF(AND(AB32="Correctivo",AC32="Manual"),"25%",""))))))</f>
        <v/>
      </c>
      <c r="AE32" s="155"/>
      <c r="AF32" s="155"/>
      <c r="AG32" s="155"/>
      <c r="AH32" s="157" t="str">
        <f>IFERROR(IF(AND(AA31="Probabilidad",AA32="Probabilidad"),(AJ31-(+AJ31*AD32)),IF(AA32="Probabilidad",(M31-(+M31*AD32)),IF(AA32="Impacto",AJ31,""))),"")</f>
        <v/>
      </c>
      <c r="AI32" s="158" t="str">
        <f t="shared" si="10"/>
        <v/>
      </c>
      <c r="AJ32" s="159" t="str">
        <f t="shared" ref="AJ32:AJ36" si="38">+AH32</f>
        <v/>
      </c>
      <c r="AK32" s="158" t="str">
        <f t="shared" si="12"/>
        <v/>
      </c>
      <c r="AL32" s="159" t="str">
        <f>IFERROR(IF(AND(AA31="Impacto",AA32="Impacto"),(AL31-(+AL31*AD32)),IF(AA32="Impacto",(Q31-(+Q31*AD32)),IF(AA32="Probabilidad",AL31,""))),"")</f>
        <v/>
      </c>
      <c r="AM32" s="160" t="str">
        <f t="shared" ref="AM32:AM33" si="39">IFERROR(IF(OR(AND(AI32="Muy Baja",AK32="Leve"),AND(AI32="Muy Baja",AK32="Menor"),AND(AI32="Baja",AK32="Leve")),"Bajo",IF(OR(AND(AI32="Muy baja",AK32="Moderado"),AND(AI32="Baja",AK32="Menor"),AND(AI32="Baja",AK32="Moderado"),AND(AI32="Media",AK32="Leve"),AND(AI32="Media",AK32="Menor"),AND(AI32="Media",AK32="Moderado"),AND(AI32="Alta",AK32="Leve"),AND(AI32="Alta",AK32="Menor")),"Moderado",IF(OR(AND(AI32="Muy Baja",AK32="Mayor"),AND(AI32="Baja",AK32="Mayor"),AND(AI32="Media",AK32="Mayor"),AND(AI32="Alta",AK32="Moderado"),AND(AI32="Alta",AK32="Mayor"),AND(AI32="Muy Alta",AK32="Leve"),AND(AI32="Muy Alta",AK32="Menor"),AND(AI32="Muy Alta",AK32="Moderado"),AND(AI32="Muy Alta",AK32="Mayor")),"Alto",IF(OR(AND(AI32="Muy Baja",AK32="Catastrófico"),AND(AI32="Baja",AK32="Catastrófico"),AND(AI32="Media",AK32="Catastrófico"),AND(AI32="Alta",AK32="Catastrófico"),AND(AI32="Muy Alta",AK32="Catastrófico")),"Extremo","")))),"")</f>
        <v/>
      </c>
      <c r="AN32" s="161"/>
      <c r="AO32" s="120"/>
      <c r="AP32" s="120"/>
      <c r="AQ32" s="120"/>
      <c r="AR32" s="120"/>
      <c r="AS32" s="120"/>
      <c r="AT32" s="120"/>
      <c r="AU32" s="121"/>
      <c r="AV32" s="122"/>
      <c r="AW32" s="123"/>
      <c r="AX32" s="123"/>
      <c r="AY32" s="221"/>
      <c r="AZ32" s="122"/>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row>
    <row r="33" spans="1:84" ht="151.5" customHeight="1" x14ac:dyDescent="0.3">
      <c r="A33" s="260"/>
      <c r="B33" s="125"/>
      <c r="C33" s="262"/>
      <c r="D33" s="128"/>
      <c r="E33" s="262"/>
      <c r="F33" s="262"/>
      <c r="G33" s="266"/>
      <c r="H33" s="131"/>
      <c r="I33" s="131"/>
      <c r="J33" s="262"/>
      <c r="K33" s="272"/>
      <c r="L33" s="225"/>
      <c r="M33" s="227"/>
      <c r="N33" s="270"/>
      <c r="O33" s="227">
        <f t="shared" si="36"/>
        <v>0</v>
      </c>
      <c r="P33" s="225"/>
      <c r="Q33" s="227"/>
      <c r="R33" s="268"/>
      <c r="S33" s="151"/>
      <c r="T33" s="151" t="str">
        <f t="shared" si="1"/>
        <v/>
      </c>
      <c r="U33" s="151"/>
      <c r="V33" s="151" t="str">
        <f t="shared" si="2"/>
        <v/>
      </c>
      <c r="W33" s="151" t="str">
        <f t="shared" si="3"/>
        <v/>
      </c>
      <c r="X33" s="151" t="str">
        <f t="shared" si="4"/>
        <v/>
      </c>
      <c r="Y33" s="6">
        <v>3</v>
      </c>
      <c r="Z33" s="142"/>
      <c r="AA33" s="154" t="str">
        <f>IF(OR(AB33="Preventivo",AB33="Detectivo"),"Probabilidad",IF(AB33="Correctivo","Impacto",""))</f>
        <v/>
      </c>
      <c r="AB33" s="155"/>
      <c r="AC33" s="155"/>
      <c r="AD33" s="156" t="str">
        <f t="shared" si="37"/>
        <v/>
      </c>
      <c r="AE33" s="155"/>
      <c r="AF33" s="155"/>
      <c r="AG33" s="155"/>
      <c r="AH33" s="157" t="str">
        <f>IFERROR(IF(AND(AA32="Probabilidad",AA33="Probabilidad"),(AJ32-(+AJ32*AD33)),IF(AND(AA32="Impacto",AA33="Probabilidad"),(AJ31-(+AJ31*AD33)),IF(AA33="Impacto",AJ32,""))),"")</f>
        <v/>
      </c>
      <c r="AI33" s="158" t="str">
        <f t="shared" si="10"/>
        <v/>
      </c>
      <c r="AJ33" s="159" t="str">
        <f t="shared" si="38"/>
        <v/>
      </c>
      <c r="AK33" s="158" t="str">
        <f t="shared" si="12"/>
        <v/>
      </c>
      <c r="AL33" s="159" t="str">
        <f>IFERROR(IF(AND(AA32="Impacto",AA33="Impacto"),(AL32-(+AL32*AD33)),IF(AND(AA32="Probabilidad",AA33="Impacto"),(AL31-(+AL31*AD33)),IF(AA33="Probabilidad",AL32,""))),"")</f>
        <v/>
      </c>
      <c r="AM33" s="160" t="str">
        <f t="shared" si="39"/>
        <v/>
      </c>
      <c r="AN33" s="161"/>
      <c r="AO33" s="120"/>
      <c r="AP33" s="120"/>
      <c r="AQ33" s="120"/>
      <c r="AR33" s="120"/>
      <c r="AS33" s="120"/>
      <c r="AT33" s="120"/>
      <c r="AU33" s="121"/>
      <c r="AV33" s="122"/>
      <c r="AW33" s="123"/>
      <c r="AX33" s="123"/>
      <c r="AY33" s="221"/>
      <c r="AZ33" s="122"/>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row>
    <row r="34" spans="1:84" ht="151.5" customHeight="1" x14ac:dyDescent="0.3">
      <c r="A34" s="260"/>
      <c r="B34" s="125"/>
      <c r="C34" s="262"/>
      <c r="D34" s="128"/>
      <c r="E34" s="262"/>
      <c r="F34" s="262"/>
      <c r="G34" s="266"/>
      <c r="H34" s="131"/>
      <c r="I34" s="131"/>
      <c r="J34" s="262"/>
      <c r="K34" s="272"/>
      <c r="L34" s="225"/>
      <c r="M34" s="227"/>
      <c r="N34" s="270"/>
      <c r="O34" s="227">
        <f t="shared" si="36"/>
        <v>0</v>
      </c>
      <c r="P34" s="225"/>
      <c r="Q34" s="227"/>
      <c r="R34" s="268"/>
      <c r="S34" s="151"/>
      <c r="T34" s="151" t="str">
        <f t="shared" si="1"/>
        <v/>
      </c>
      <c r="U34" s="151"/>
      <c r="V34" s="151" t="str">
        <f t="shared" si="2"/>
        <v/>
      </c>
      <c r="W34" s="151" t="str">
        <f t="shared" si="3"/>
        <v/>
      </c>
      <c r="X34" s="151" t="str">
        <f t="shared" si="4"/>
        <v/>
      </c>
      <c r="Y34" s="6">
        <v>4</v>
      </c>
      <c r="Z34" s="153"/>
      <c r="AA34" s="154" t="str">
        <f t="shared" ref="AA34:AA36" si="40">IF(OR(AB34="Preventivo",AB34="Detectivo"),"Probabilidad",IF(AB34="Correctivo","Impacto",""))</f>
        <v/>
      </c>
      <c r="AB34" s="155"/>
      <c r="AC34" s="155"/>
      <c r="AD34" s="156" t="str">
        <f t="shared" si="37"/>
        <v/>
      </c>
      <c r="AE34" s="155"/>
      <c r="AF34" s="155"/>
      <c r="AG34" s="155"/>
      <c r="AH34" s="157" t="str">
        <f t="shared" ref="AH34:AH36" si="41">IFERROR(IF(AND(AA33="Probabilidad",AA34="Probabilidad"),(AJ33-(+AJ33*AD34)),IF(AND(AA33="Impacto",AA34="Probabilidad"),(AJ32-(+AJ32*AD34)),IF(AA34="Impacto",AJ33,""))),"")</f>
        <v/>
      </c>
      <c r="AI34" s="158" t="str">
        <f t="shared" si="10"/>
        <v/>
      </c>
      <c r="AJ34" s="159" t="str">
        <f t="shared" si="38"/>
        <v/>
      </c>
      <c r="AK34" s="158" t="str">
        <f t="shared" si="12"/>
        <v/>
      </c>
      <c r="AL34" s="159" t="str">
        <f t="shared" ref="AL34:AL36" si="42">IFERROR(IF(AND(AA33="Impacto",AA34="Impacto"),(AL33-(+AL33*AD34)),IF(AND(AA33="Probabilidad",AA34="Impacto"),(AL32-(+AL32*AD34)),IF(AA34="Probabilidad",AL33,""))),"")</f>
        <v/>
      </c>
      <c r="AM34" s="160" t="str">
        <f>IFERROR(IF(OR(AND(AI34="Muy Baja",AK34="Leve"),AND(AI34="Muy Baja",AK34="Menor"),AND(AI34="Baja",AK34="Leve")),"Bajo",IF(OR(AND(AI34="Muy baja",AK34="Moderado"),AND(AI34="Baja",AK34="Menor"),AND(AI34="Baja",AK34="Moderado"),AND(AI34="Media",AK34="Leve"),AND(AI34="Media",AK34="Menor"),AND(AI34="Media",AK34="Moderado"),AND(AI34="Alta",AK34="Leve"),AND(AI34="Alta",AK34="Menor")),"Moderado",IF(OR(AND(AI34="Muy Baja",AK34="Mayor"),AND(AI34="Baja",AK34="Mayor"),AND(AI34="Media",AK34="Mayor"),AND(AI34="Alta",AK34="Moderado"),AND(AI34="Alta",AK34="Mayor"),AND(AI34="Muy Alta",AK34="Leve"),AND(AI34="Muy Alta",AK34="Menor"),AND(AI34="Muy Alta",AK34="Moderado"),AND(AI34="Muy Alta",AK34="Mayor")),"Alto",IF(OR(AND(AI34="Muy Baja",AK34="Catastrófico"),AND(AI34="Baja",AK34="Catastrófico"),AND(AI34="Media",AK34="Catastrófico"),AND(AI34="Alta",AK34="Catastrófico"),AND(AI34="Muy Alta",AK34="Catastrófico")),"Extremo","")))),"")</f>
        <v/>
      </c>
      <c r="AN34" s="161"/>
      <c r="AO34" s="120"/>
      <c r="AP34" s="120"/>
      <c r="AQ34" s="120"/>
      <c r="AR34" s="120"/>
      <c r="AS34" s="120"/>
      <c r="AT34" s="120"/>
      <c r="AU34" s="121"/>
      <c r="AV34" s="122"/>
      <c r="AW34" s="123"/>
      <c r="AX34" s="123"/>
      <c r="AY34" s="221"/>
      <c r="AZ34" s="122"/>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row>
    <row r="35" spans="1:84" ht="151.5" customHeight="1" x14ac:dyDescent="0.3">
      <c r="A35" s="260"/>
      <c r="B35" s="125"/>
      <c r="C35" s="262"/>
      <c r="D35" s="128"/>
      <c r="E35" s="262"/>
      <c r="F35" s="262"/>
      <c r="G35" s="266"/>
      <c r="H35" s="131"/>
      <c r="I35" s="131"/>
      <c r="J35" s="262"/>
      <c r="K35" s="272"/>
      <c r="L35" s="225"/>
      <c r="M35" s="227"/>
      <c r="N35" s="270"/>
      <c r="O35" s="227">
        <f t="shared" si="36"/>
        <v>0</v>
      </c>
      <c r="P35" s="225"/>
      <c r="Q35" s="227"/>
      <c r="R35" s="268"/>
      <c r="S35" s="151"/>
      <c r="T35" s="151" t="str">
        <f t="shared" si="1"/>
        <v/>
      </c>
      <c r="U35" s="151"/>
      <c r="V35" s="151" t="str">
        <f t="shared" si="2"/>
        <v/>
      </c>
      <c r="W35" s="151" t="str">
        <f t="shared" si="3"/>
        <v/>
      </c>
      <c r="X35" s="151" t="str">
        <f t="shared" si="4"/>
        <v/>
      </c>
      <c r="Y35" s="6">
        <v>5</v>
      </c>
      <c r="Z35" s="153"/>
      <c r="AA35" s="154" t="str">
        <f t="shared" si="40"/>
        <v/>
      </c>
      <c r="AB35" s="155"/>
      <c r="AC35" s="155"/>
      <c r="AD35" s="156" t="str">
        <f t="shared" si="37"/>
        <v/>
      </c>
      <c r="AE35" s="155"/>
      <c r="AF35" s="155"/>
      <c r="AG35" s="155"/>
      <c r="AH35" s="157" t="str">
        <f t="shared" si="41"/>
        <v/>
      </c>
      <c r="AI35" s="158" t="str">
        <f t="shared" si="10"/>
        <v/>
      </c>
      <c r="AJ35" s="159" t="str">
        <f t="shared" si="38"/>
        <v/>
      </c>
      <c r="AK35" s="158" t="str">
        <f t="shared" si="12"/>
        <v/>
      </c>
      <c r="AL35" s="159" t="str">
        <f t="shared" si="42"/>
        <v/>
      </c>
      <c r="AM35" s="160" t="str">
        <f t="shared" ref="AM35:AM36" si="43">IFERROR(IF(OR(AND(AI35="Muy Baja",AK35="Leve"),AND(AI35="Muy Baja",AK35="Menor"),AND(AI35="Baja",AK35="Leve")),"Bajo",IF(OR(AND(AI35="Muy baja",AK35="Moderado"),AND(AI35="Baja",AK35="Menor"),AND(AI35="Baja",AK35="Moderado"),AND(AI35="Media",AK35="Leve"),AND(AI35="Media",AK35="Menor"),AND(AI35="Media",AK35="Moderado"),AND(AI35="Alta",AK35="Leve"),AND(AI35="Alta",AK35="Menor")),"Moderado",IF(OR(AND(AI35="Muy Baja",AK35="Mayor"),AND(AI35="Baja",AK35="Mayor"),AND(AI35="Media",AK35="Mayor"),AND(AI35="Alta",AK35="Moderado"),AND(AI35="Alta",AK35="Mayor"),AND(AI35="Muy Alta",AK35="Leve"),AND(AI35="Muy Alta",AK35="Menor"),AND(AI35="Muy Alta",AK35="Moderado"),AND(AI35="Muy Alta",AK35="Mayor")),"Alto",IF(OR(AND(AI35="Muy Baja",AK35="Catastrófico"),AND(AI35="Baja",AK35="Catastrófico"),AND(AI35="Media",AK35="Catastrófico"),AND(AI35="Alta",AK35="Catastrófico"),AND(AI35="Muy Alta",AK35="Catastrófico")),"Extremo","")))),"")</f>
        <v/>
      </c>
      <c r="AN35" s="161"/>
      <c r="AO35" s="120"/>
      <c r="AP35" s="120"/>
      <c r="AQ35" s="120"/>
      <c r="AR35" s="120"/>
      <c r="AS35" s="120"/>
      <c r="AT35" s="120"/>
      <c r="AU35" s="121"/>
      <c r="AV35" s="122"/>
      <c r="AW35" s="123"/>
      <c r="AX35" s="123"/>
      <c r="AY35" s="221"/>
      <c r="AZ35" s="122"/>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row>
    <row r="36" spans="1:84" ht="151.5" customHeight="1" x14ac:dyDescent="0.3">
      <c r="A36" s="274"/>
      <c r="B36" s="126"/>
      <c r="C36" s="275"/>
      <c r="D36" s="129"/>
      <c r="E36" s="275"/>
      <c r="F36" s="275"/>
      <c r="G36" s="273"/>
      <c r="H36" s="132"/>
      <c r="I36" s="132"/>
      <c r="J36" s="275"/>
      <c r="K36" s="280"/>
      <c r="L36" s="279"/>
      <c r="M36" s="276"/>
      <c r="N36" s="278"/>
      <c r="O36" s="276">
        <f t="shared" si="36"/>
        <v>0</v>
      </c>
      <c r="P36" s="279"/>
      <c r="Q36" s="276"/>
      <c r="R36" s="277"/>
      <c r="S36" s="151"/>
      <c r="T36" s="151" t="str">
        <f t="shared" si="1"/>
        <v/>
      </c>
      <c r="U36" s="151"/>
      <c r="V36" s="151" t="str">
        <f t="shared" si="2"/>
        <v/>
      </c>
      <c r="W36" s="151" t="str">
        <f t="shared" si="3"/>
        <v/>
      </c>
      <c r="X36" s="151" t="str">
        <f t="shared" si="4"/>
        <v/>
      </c>
      <c r="Y36" s="6">
        <v>6</v>
      </c>
      <c r="Z36" s="153"/>
      <c r="AA36" s="154" t="str">
        <f t="shared" si="40"/>
        <v/>
      </c>
      <c r="AB36" s="155"/>
      <c r="AC36" s="155"/>
      <c r="AD36" s="156" t="str">
        <f t="shared" si="37"/>
        <v/>
      </c>
      <c r="AE36" s="155"/>
      <c r="AF36" s="155"/>
      <c r="AG36" s="155"/>
      <c r="AH36" s="157" t="str">
        <f t="shared" si="41"/>
        <v/>
      </c>
      <c r="AI36" s="158" t="str">
        <f t="shared" si="10"/>
        <v/>
      </c>
      <c r="AJ36" s="159" t="str">
        <f t="shared" si="38"/>
        <v/>
      </c>
      <c r="AK36" s="158" t="str">
        <f t="shared" si="12"/>
        <v/>
      </c>
      <c r="AL36" s="159" t="str">
        <f t="shared" si="42"/>
        <v/>
      </c>
      <c r="AM36" s="160" t="str">
        <f t="shared" si="43"/>
        <v/>
      </c>
      <c r="AN36" s="161"/>
      <c r="AO36" s="120"/>
      <c r="AP36" s="120"/>
      <c r="AQ36" s="120"/>
      <c r="AR36" s="120"/>
      <c r="AS36" s="120"/>
      <c r="AT36" s="120"/>
      <c r="AU36" s="121"/>
      <c r="AV36" s="122"/>
      <c r="AW36" s="123"/>
      <c r="AX36" s="123"/>
      <c r="AY36" s="221"/>
      <c r="AZ36" s="122"/>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row>
    <row r="37" spans="1:84" ht="151.5" customHeight="1" x14ac:dyDescent="0.3">
      <c r="A37" s="259">
        <v>8</v>
      </c>
      <c r="B37" s="124"/>
      <c r="C37" s="261"/>
      <c r="D37" s="127"/>
      <c r="E37" s="261"/>
      <c r="F37" s="261"/>
      <c r="G37" s="265"/>
      <c r="H37" s="130"/>
      <c r="I37" s="130"/>
      <c r="J37" s="261"/>
      <c r="K37" s="271"/>
      <c r="L37" s="224" t="str">
        <f>IF(K37&lt;=0,"",IF(K37&lt;=2,"Muy Baja",IF(K37&lt;=24,"Baja",IF(K37&lt;=500,"Media",IF(K37&lt;=5000,"Alta","Muy Alta")))))</f>
        <v/>
      </c>
      <c r="M37" s="226" t="str">
        <f>IF(L37="","",IF(L37="Muy Baja",0.2,IF(L37="Baja",0.4,IF(L37="Media",0.6,IF(L37="Alta",0.8,IF(L37="Muy Alta",1,))))))</f>
        <v/>
      </c>
      <c r="N37" s="269"/>
      <c r="O37" s="226">
        <f>IF(NOT(ISERROR(MATCH(N37,'Tabla Impacto'!$B$221:$B$223,0))),'Tabla Impacto'!$F$223&amp;"Por favor no seleccionar los criterios de impacto(Afectación Económica o presupuestal y Pérdida Reputacional)",N37)</f>
        <v>0</v>
      </c>
      <c r="P37" s="224" t="str">
        <f>IF(OR(O37='Tabla Impacto'!$C$11,O37='Tabla Impacto'!$D$11),"Leve",IF(OR(O37='Tabla Impacto'!$C$12,O37='Tabla Impacto'!$D$12),"Menor",IF(OR(O37='Tabla Impacto'!$C$13,O37='Tabla Impacto'!$D$13),"Moderado",IF(OR(O37='Tabla Impacto'!$C$14,O37='Tabla Impacto'!$D$14),"Mayor",IF(OR(O37='Tabla Impacto'!$C$15,O37='Tabla Impacto'!$D$15),"Catastrófico","")))))</f>
        <v/>
      </c>
      <c r="Q37" s="226" t="str">
        <f>IF(P37="","",IF(P37="Leve",0.2,IF(P37="Menor",0.4,IF(P37="Moderado",0.6,IF(P37="Mayor",0.8,IF(P37="Catastrófico",1,))))))</f>
        <v/>
      </c>
      <c r="R37" s="267" t="str">
        <f>IF(OR(AND(L37="Muy Baja",P37="Leve"),AND(L37="Muy Baja",P37="Menor"),AND(L37="Baja",P37="Leve")),"Bajo",IF(OR(AND(L37="Muy baja",P37="Moderado"),AND(L37="Baja",P37="Menor"),AND(L37="Baja",P37="Moderado"),AND(L37="Media",P37="Leve"),AND(L37="Media",P37="Menor"),AND(L37="Media",P37="Moderado"),AND(L37="Alta",P37="Leve"),AND(L37="Alta",P37="Menor")),"Moderado",IF(OR(AND(L37="Muy Baja",P37="Mayor"),AND(L37="Baja",P37="Mayor"),AND(L37="Media",P37="Mayor"),AND(L37="Alta",P37="Moderado"),AND(L37="Alta",P37="Mayor"),AND(L37="Muy Alta",P37="Leve"),AND(L37="Muy Alta",P37="Menor"),AND(L37="Muy Alta",P37="Moderado"),AND(L37="Muy Alta",P37="Mayor")),"Alto",IF(OR(AND(L37="Muy Baja",P37="Catastrófico"),AND(L37="Baja",P37="Catastrófico"),AND(L37="Media",P37="Catastrófico"),AND(L37="Alta",P37="Catastrófico"),AND(L37="Muy Alta",P37="Catastrófico")),"Extremo",""))))</f>
        <v/>
      </c>
      <c r="S37" s="151"/>
      <c r="T37" s="151" t="str">
        <f t="shared" si="1"/>
        <v/>
      </c>
      <c r="U37" s="151"/>
      <c r="V37" s="151" t="str">
        <f t="shared" si="2"/>
        <v/>
      </c>
      <c r="W37" s="151" t="str">
        <f t="shared" si="3"/>
        <v/>
      </c>
      <c r="X37" s="151" t="str">
        <f t="shared" si="4"/>
        <v/>
      </c>
      <c r="Y37" s="6">
        <v>1</v>
      </c>
      <c r="Z37" s="153"/>
      <c r="AA37" s="154" t="str">
        <f>IF(OR(AB37="Preventivo",AB37="Detectivo"),"Probabilidad",IF(AB37="Correctivo","Impacto",""))</f>
        <v/>
      </c>
      <c r="AB37" s="155"/>
      <c r="AC37" s="155"/>
      <c r="AD37" s="156" t="str">
        <f>IF(AND(AB37="Preventivo",AC37="Automático"),"50%",IF(AND(AB37="Preventivo",AC37="Manual"),"40%",IF(AND(AB37="Detectivo",AC37="Automático"),"40%",IF(AND(AB37="Detectivo",AC37="Manual"),"30%",IF(AND(AB37="Correctivo",AC37="Automático"),"35%",IF(AND(AB37="Correctivo",AC37="Manual"),"25%",""))))))</f>
        <v/>
      </c>
      <c r="AE37" s="155"/>
      <c r="AF37" s="155"/>
      <c r="AG37" s="155"/>
      <c r="AH37" s="157" t="str">
        <f>IFERROR(IF(AA37="Probabilidad",(M37-(+M37*AD37)),IF(AA37="Impacto",M37,"")),"")</f>
        <v/>
      </c>
      <c r="AI37" s="158" t="str">
        <f>IFERROR(IF(AH37="","",IF(AH37&lt;=0.2,"Muy Baja",IF(AH37&lt;=0.4,"Baja",IF(AH37&lt;=0.6,"Media",IF(AH37&lt;=0.8,"Alta","Muy Alta"))))),"")</f>
        <v/>
      </c>
      <c r="AJ37" s="159" t="str">
        <f>+AH37</f>
        <v/>
      </c>
      <c r="AK37" s="158" t="str">
        <f>IFERROR(IF(AL37="","",IF(AL37&lt;=0.2,"Leve",IF(AL37&lt;=0.4,"Menor",IF(AL37&lt;=0.6,"Moderado",IF(AL37&lt;=0.8,"Mayor","Catastrófico"))))),"")</f>
        <v/>
      </c>
      <c r="AL37" s="159" t="str">
        <f>IFERROR(IF(AA37="Impacto",(Q37-(+Q37*AD37)),IF(AA37="Probabilidad",Q37,"")),"")</f>
        <v/>
      </c>
      <c r="AM37" s="160" t="str">
        <f>IFERROR(IF(OR(AND(AI37="Muy Baja",AK37="Leve"),AND(AI37="Muy Baja",AK37="Menor"),AND(AI37="Baja",AK37="Leve")),"Bajo",IF(OR(AND(AI37="Muy baja",AK37="Moderado"),AND(AI37="Baja",AK37="Menor"),AND(AI37="Baja",AK37="Moderado"),AND(AI37="Media",AK37="Leve"),AND(AI37="Media",AK37="Menor"),AND(AI37="Media",AK37="Moderado"),AND(AI37="Alta",AK37="Leve"),AND(AI37="Alta",AK37="Menor")),"Moderado",IF(OR(AND(AI37="Muy Baja",AK37="Mayor"),AND(AI37="Baja",AK37="Mayor"),AND(AI37="Media",AK37="Mayor"),AND(AI37="Alta",AK37="Moderado"),AND(AI37="Alta",AK37="Mayor"),AND(AI37="Muy Alta",AK37="Leve"),AND(AI37="Muy Alta",AK37="Menor"),AND(AI37="Muy Alta",AK37="Moderado"),AND(AI37="Muy Alta",AK37="Mayor")),"Alto",IF(OR(AND(AI37="Muy Baja",AK37="Catastrófico"),AND(AI37="Baja",AK37="Catastrófico"),AND(AI37="Media",AK37="Catastrófico"),AND(AI37="Alta",AK37="Catastrófico"),AND(AI37="Muy Alta",AK37="Catastrófico")),"Extremo","")))),"")</f>
        <v/>
      </c>
      <c r="AN37" s="161"/>
      <c r="AO37" s="120"/>
      <c r="AP37" s="120"/>
      <c r="AQ37" s="120"/>
      <c r="AR37" s="120"/>
      <c r="AS37" s="120"/>
      <c r="AT37" s="120"/>
      <c r="AU37" s="121"/>
      <c r="AV37" s="122"/>
      <c r="AW37" s="123"/>
      <c r="AX37" s="123"/>
      <c r="AY37" s="221"/>
      <c r="AZ37" s="122"/>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row>
    <row r="38" spans="1:84" ht="151.5" customHeight="1" x14ac:dyDescent="0.3">
      <c r="A38" s="260"/>
      <c r="B38" s="125"/>
      <c r="C38" s="262"/>
      <c r="D38" s="128"/>
      <c r="E38" s="262"/>
      <c r="F38" s="262"/>
      <c r="G38" s="266"/>
      <c r="H38" s="131"/>
      <c r="I38" s="131"/>
      <c r="J38" s="262"/>
      <c r="K38" s="272"/>
      <c r="L38" s="225"/>
      <c r="M38" s="227"/>
      <c r="N38" s="270"/>
      <c r="O38" s="227">
        <f>IF(NOT(ISERROR(MATCH(N38,_xlfn.ANCHORARRAY(G49),0))),M51&amp;"Por favor no seleccionar los criterios de impacto",N38)</f>
        <v>0</v>
      </c>
      <c r="P38" s="225"/>
      <c r="Q38" s="227"/>
      <c r="R38" s="268"/>
      <c r="S38" s="151"/>
      <c r="T38" s="151" t="str">
        <f t="shared" si="1"/>
        <v/>
      </c>
      <c r="U38" s="151"/>
      <c r="V38" s="151" t="str">
        <f t="shared" si="2"/>
        <v/>
      </c>
      <c r="W38" s="151" t="str">
        <f t="shared" si="3"/>
        <v/>
      </c>
      <c r="X38" s="151" t="str">
        <f t="shared" si="4"/>
        <v/>
      </c>
      <c r="Y38" s="6">
        <v>2</v>
      </c>
      <c r="Z38" s="153"/>
      <c r="AA38" s="154" t="str">
        <f>IF(OR(AB38="Preventivo",AB38="Detectivo"),"Probabilidad",IF(AB38="Correctivo","Impacto",""))</f>
        <v/>
      </c>
      <c r="AB38" s="155"/>
      <c r="AC38" s="155"/>
      <c r="AD38" s="156" t="str">
        <f t="shared" ref="AD38:AD42" si="44">IF(AND(AB38="Preventivo",AC38="Automático"),"50%",IF(AND(AB38="Preventivo",AC38="Manual"),"40%",IF(AND(AB38="Detectivo",AC38="Automático"),"40%",IF(AND(AB38="Detectivo",AC38="Manual"),"30%",IF(AND(AB38="Correctivo",AC38="Automático"),"35%",IF(AND(AB38="Correctivo",AC38="Manual"),"25%",""))))))</f>
        <v/>
      </c>
      <c r="AE38" s="155"/>
      <c r="AF38" s="155"/>
      <c r="AG38" s="155"/>
      <c r="AH38" s="157" t="str">
        <f>IFERROR(IF(AND(AA37="Probabilidad",AA38="Probabilidad"),(AJ37-(+AJ37*AD38)),IF(AA38="Probabilidad",(M37-(+M37*AD38)),IF(AA38="Impacto",AJ37,""))),"")</f>
        <v/>
      </c>
      <c r="AI38" s="158" t="str">
        <f t="shared" si="10"/>
        <v/>
      </c>
      <c r="AJ38" s="159" t="str">
        <f t="shared" ref="AJ38:AJ42" si="45">+AH38</f>
        <v/>
      </c>
      <c r="AK38" s="158" t="str">
        <f t="shared" si="12"/>
        <v/>
      </c>
      <c r="AL38" s="159" t="str">
        <f>IFERROR(IF(AND(AA37="Impacto",AA38="Impacto"),(AL37-(+AL37*AD38)),IF(AA38="Impacto",(Q37-(+Q37*AD38)),IF(AA38="Probabilidad",AL37,""))),"")</f>
        <v/>
      </c>
      <c r="AM38" s="160" t="str">
        <f t="shared" ref="AM38:AM39" si="46">IFERROR(IF(OR(AND(AI38="Muy Baja",AK38="Leve"),AND(AI38="Muy Baja",AK38="Menor"),AND(AI38="Baja",AK38="Leve")),"Bajo",IF(OR(AND(AI38="Muy baja",AK38="Moderado"),AND(AI38="Baja",AK38="Menor"),AND(AI38="Baja",AK38="Moderado"),AND(AI38="Media",AK38="Leve"),AND(AI38="Media",AK38="Menor"),AND(AI38="Media",AK38="Moderado"),AND(AI38="Alta",AK38="Leve"),AND(AI38="Alta",AK38="Menor")),"Moderado",IF(OR(AND(AI38="Muy Baja",AK38="Mayor"),AND(AI38="Baja",AK38="Mayor"),AND(AI38="Media",AK38="Mayor"),AND(AI38="Alta",AK38="Moderado"),AND(AI38="Alta",AK38="Mayor"),AND(AI38="Muy Alta",AK38="Leve"),AND(AI38="Muy Alta",AK38="Menor"),AND(AI38="Muy Alta",AK38="Moderado"),AND(AI38="Muy Alta",AK38="Mayor")),"Alto",IF(OR(AND(AI38="Muy Baja",AK38="Catastrófico"),AND(AI38="Baja",AK38="Catastrófico"),AND(AI38="Media",AK38="Catastrófico"),AND(AI38="Alta",AK38="Catastrófico"),AND(AI38="Muy Alta",AK38="Catastrófico")),"Extremo","")))),"")</f>
        <v/>
      </c>
      <c r="AN38" s="161"/>
      <c r="AO38" s="120"/>
      <c r="AP38" s="120"/>
      <c r="AQ38" s="120"/>
      <c r="AR38" s="120"/>
      <c r="AS38" s="120"/>
      <c r="AT38" s="120"/>
      <c r="AU38" s="121"/>
      <c r="AV38" s="122"/>
      <c r="AW38" s="123"/>
      <c r="AX38" s="123"/>
      <c r="AY38" s="221"/>
      <c r="AZ38" s="122"/>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row>
    <row r="39" spans="1:84" ht="151.5" customHeight="1" x14ac:dyDescent="0.3">
      <c r="A39" s="260"/>
      <c r="B39" s="125"/>
      <c r="C39" s="262"/>
      <c r="D39" s="128"/>
      <c r="E39" s="262"/>
      <c r="F39" s="262"/>
      <c r="G39" s="266"/>
      <c r="H39" s="131"/>
      <c r="I39" s="131"/>
      <c r="J39" s="262"/>
      <c r="K39" s="272"/>
      <c r="L39" s="225"/>
      <c r="M39" s="227"/>
      <c r="N39" s="270"/>
      <c r="O39" s="227">
        <f>IF(NOT(ISERROR(MATCH(N39,_xlfn.ANCHORARRAY(G50),0))),M52&amp;"Por favor no seleccionar los criterios de impacto",N39)</f>
        <v>0</v>
      </c>
      <c r="P39" s="225"/>
      <c r="Q39" s="227"/>
      <c r="R39" s="268"/>
      <c r="S39" s="151"/>
      <c r="T39" s="151" t="str">
        <f t="shared" si="1"/>
        <v/>
      </c>
      <c r="U39" s="151"/>
      <c r="V39" s="151" t="str">
        <f t="shared" si="2"/>
        <v/>
      </c>
      <c r="W39" s="151" t="str">
        <f t="shared" si="3"/>
        <v/>
      </c>
      <c r="X39" s="151" t="str">
        <f t="shared" si="4"/>
        <v/>
      </c>
      <c r="Y39" s="6">
        <v>3</v>
      </c>
      <c r="Z39" s="142"/>
      <c r="AA39" s="154" t="str">
        <f>IF(OR(AB39="Preventivo",AB39="Detectivo"),"Probabilidad",IF(AB39="Correctivo","Impacto",""))</f>
        <v/>
      </c>
      <c r="AB39" s="155"/>
      <c r="AC39" s="155"/>
      <c r="AD39" s="156" t="str">
        <f t="shared" si="44"/>
        <v/>
      </c>
      <c r="AE39" s="155"/>
      <c r="AF39" s="155"/>
      <c r="AG39" s="155"/>
      <c r="AH39" s="157" t="str">
        <f>IFERROR(IF(AND(AA38="Probabilidad",AA39="Probabilidad"),(AJ38-(+AJ38*AD39)),IF(AND(AA38="Impacto",AA39="Probabilidad"),(AJ37-(+AJ37*AD39)),IF(AA39="Impacto",AJ38,""))),"")</f>
        <v/>
      </c>
      <c r="AI39" s="158" t="str">
        <f t="shared" si="10"/>
        <v/>
      </c>
      <c r="AJ39" s="159" t="str">
        <f t="shared" si="45"/>
        <v/>
      </c>
      <c r="AK39" s="158" t="str">
        <f t="shared" si="12"/>
        <v/>
      </c>
      <c r="AL39" s="159" t="str">
        <f>IFERROR(IF(AND(AA38="Impacto",AA39="Impacto"),(AL38-(+AL38*AD39)),IF(AND(AA38="Probabilidad",AA39="Impacto"),(AL37-(+AL37*AD39)),IF(AA39="Probabilidad",AL38,""))),"")</f>
        <v/>
      </c>
      <c r="AM39" s="160" t="str">
        <f t="shared" si="46"/>
        <v/>
      </c>
      <c r="AN39" s="161"/>
      <c r="AO39" s="120"/>
      <c r="AP39" s="120"/>
      <c r="AQ39" s="120"/>
      <c r="AR39" s="120"/>
      <c r="AS39" s="120"/>
      <c r="AT39" s="120"/>
      <c r="AU39" s="121"/>
      <c r="AV39" s="122"/>
      <c r="AW39" s="123"/>
      <c r="AX39" s="123"/>
      <c r="AY39" s="221"/>
      <c r="AZ39" s="122"/>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row>
    <row r="40" spans="1:84" ht="151.5" customHeight="1" x14ac:dyDescent="0.3">
      <c r="A40" s="260"/>
      <c r="B40" s="125"/>
      <c r="C40" s="262"/>
      <c r="D40" s="128"/>
      <c r="E40" s="262"/>
      <c r="F40" s="262"/>
      <c r="G40" s="266"/>
      <c r="H40" s="131"/>
      <c r="I40" s="131"/>
      <c r="J40" s="262"/>
      <c r="K40" s="272"/>
      <c r="L40" s="225"/>
      <c r="M40" s="227"/>
      <c r="N40" s="270"/>
      <c r="O40" s="227">
        <f>IF(NOT(ISERROR(MATCH(N40,_xlfn.ANCHORARRAY(G51),0))),M53&amp;"Por favor no seleccionar los criterios de impacto",N40)</f>
        <v>0</v>
      </c>
      <c r="P40" s="225"/>
      <c r="Q40" s="227"/>
      <c r="R40" s="268"/>
      <c r="S40" s="151"/>
      <c r="T40" s="151" t="str">
        <f t="shared" si="1"/>
        <v/>
      </c>
      <c r="U40" s="151"/>
      <c r="V40" s="151" t="str">
        <f t="shared" si="2"/>
        <v/>
      </c>
      <c r="W40" s="151" t="str">
        <f t="shared" si="3"/>
        <v/>
      </c>
      <c r="X40" s="151" t="str">
        <f t="shared" si="4"/>
        <v/>
      </c>
      <c r="Y40" s="6">
        <v>4</v>
      </c>
      <c r="Z40" s="153"/>
      <c r="AA40" s="154" t="str">
        <f t="shared" ref="AA40:AA42" si="47">IF(OR(AB40="Preventivo",AB40="Detectivo"),"Probabilidad",IF(AB40="Correctivo","Impacto",""))</f>
        <v/>
      </c>
      <c r="AB40" s="155"/>
      <c r="AC40" s="155"/>
      <c r="AD40" s="156" t="str">
        <f t="shared" si="44"/>
        <v/>
      </c>
      <c r="AE40" s="155"/>
      <c r="AF40" s="155"/>
      <c r="AG40" s="155"/>
      <c r="AH40" s="157" t="str">
        <f t="shared" ref="AH40:AH42" si="48">IFERROR(IF(AND(AA39="Probabilidad",AA40="Probabilidad"),(AJ39-(+AJ39*AD40)),IF(AND(AA39="Impacto",AA40="Probabilidad"),(AJ38-(+AJ38*AD40)),IF(AA40="Impacto",AJ39,""))),"")</f>
        <v/>
      </c>
      <c r="AI40" s="158" t="str">
        <f t="shared" si="10"/>
        <v/>
      </c>
      <c r="AJ40" s="159" t="str">
        <f t="shared" si="45"/>
        <v/>
      </c>
      <c r="AK40" s="158" t="str">
        <f t="shared" si="12"/>
        <v/>
      </c>
      <c r="AL40" s="159" t="str">
        <f t="shared" ref="AL40:AL42" si="49">IFERROR(IF(AND(AA39="Impacto",AA40="Impacto"),(AL39-(+AL39*AD40)),IF(AND(AA39="Probabilidad",AA40="Impacto"),(AL38-(+AL38*AD40)),IF(AA40="Probabilidad",AL39,""))),"")</f>
        <v/>
      </c>
      <c r="AM40" s="160" t="str">
        <f>IFERROR(IF(OR(AND(AI40="Muy Baja",AK40="Leve"),AND(AI40="Muy Baja",AK40="Menor"),AND(AI40="Baja",AK40="Leve")),"Bajo",IF(OR(AND(AI40="Muy baja",AK40="Moderado"),AND(AI40="Baja",AK40="Menor"),AND(AI40="Baja",AK40="Moderado"),AND(AI40="Media",AK40="Leve"),AND(AI40="Media",AK40="Menor"),AND(AI40="Media",AK40="Moderado"),AND(AI40="Alta",AK40="Leve"),AND(AI40="Alta",AK40="Menor")),"Moderado",IF(OR(AND(AI40="Muy Baja",AK40="Mayor"),AND(AI40="Baja",AK40="Mayor"),AND(AI40="Media",AK40="Mayor"),AND(AI40="Alta",AK40="Moderado"),AND(AI40="Alta",AK40="Mayor"),AND(AI40="Muy Alta",AK40="Leve"),AND(AI40="Muy Alta",AK40="Menor"),AND(AI40="Muy Alta",AK40="Moderado"),AND(AI40="Muy Alta",AK40="Mayor")),"Alto",IF(OR(AND(AI40="Muy Baja",AK40="Catastrófico"),AND(AI40="Baja",AK40="Catastrófico"),AND(AI40="Media",AK40="Catastrófico"),AND(AI40="Alta",AK40="Catastrófico"),AND(AI40="Muy Alta",AK40="Catastrófico")),"Extremo","")))),"")</f>
        <v/>
      </c>
      <c r="AN40" s="161"/>
      <c r="AO40" s="120"/>
      <c r="AP40" s="120"/>
      <c r="AQ40" s="120"/>
      <c r="AR40" s="120"/>
      <c r="AS40" s="120"/>
      <c r="AT40" s="120"/>
      <c r="AU40" s="121"/>
      <c r="AV40" s="122"/>
      <c r="AW40" s="123"/>
      <c r="AX40" s="123"/>
      <c r="AY40" s="221"/>
      <c r="AZ40" s="122"/>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row>
    <row r="41" spans="1:84" ht="151.5" customHeight="1" x14ac:dyDescent="0.3">
      <c r="A41" s="260"/>
      <c r="B41" s="125"/>
      <c r="C41" s="262"/>
      <c r="D41" s="128"/>
      <c r="E41" s="262"/>
      <c r="F41" s="262"/>
      <c r="G41" s="266"/>
      <c r="H41" s="131"/>
      <c r="I41" s="131"/>
      <c r="J41" s="262"/>
      <c r="K41" s="272"/>
      <c r="L41" s="225"/>
      <c r="M41" s="227"/>
      <c r="N41" s="270"/>
      <c r="O41" s="227">
        <f>IF(NOT(ISERROR(MATCH(N41,_xlfn.ANCHORARRAY(G52),0))),M54&amp;"Por favor no seleccionar los criterios de impacto",N41)</f>
        <v>0</v>
      </c>
      <c r="P41" s="225"/>
      <c r="Q41" s="227"/>
      <c r="R41" s="268"/>
      <c r="S41" s="151"/>
      <c r="T41" s="151" t="str">
        <f t="shared" si="1"/>
        <v/>
      </c>
      <c r="U41" s="151"/>
      <c r="V41" s="151" t="str">
        <f t="shared" si="2"/>
        <v/>
      </c>
      <c r="W41" s="151" t="str">
        <f t="shared" si="3"/>
        <v/>
      </c>
      <c r="X41" s="151" t="str">
        <f t="shared" si="4"/>
        <v/>
      </c>
      <c r="Y41" s="6">
        <v>5</v>
      </c>
      <c r="Z41" s="153"/>
      <c r="AA41" s="154" t="str">
        <f t="shared" si="47"/>
        <v/>
      </c>
      <c r="AB41" s="155"/>
      <c r="AC41" s="155"/>
      <c r="AD41" s="156" t="str">
        <f t="shared" si="44"/>
        <v/>
      </c>
      <c r="AE41" s="155"/>
      <c r="AF41" s="155"/>
      <c r="AG41" s="155"/>
      <c r="AH41" s="157" t="str">
        <f t="shared" si="48"/>
        <v/>
      </c>
      <c r="AI41" s="158" t="str">
        <f t="shared" si="10"/>
        <v/>
      </c>
      <c r="AJ41" s="159" t="str">
        <f t="shared" si="45"/>
        <v/>
      </c>
      <c r="AK41" s="158" t="str">
        <f t="shared" si="12"/>
        <v/>
      </c>
      <c r="AL41" s="159" t="str">
        <f t="shared" si="49"/>
        <v/>
      </c>
      <c r="AM41" s="160" t="str">
        <f t="shared" ref="AM41:AM42" si="50">IFERROR(IF(OR(AND(AI41="Muy Baja",AK41="Leve"),AND(AI41="Muy Baja",AK41="Menor"),AND(AI41="Baja",AK41="Leve")),"Bajo",IF(OR(AND(AI41="Muy baja",AK41="Moderado"),AND(AI41="Baja",AK41="Menor"),AND(AI41="Baja",AK41="Moderado"),AND(AI41="Media",AK41="Leve"),AND(AI41="Media",AK41="Menor"),AND(AI41="Media",AK41="Moderado"),AND(AI41="Alta",AK41="Leve"),AND(AI41="Alta",AK41="Menor")),"Moderado",IF(OR(AND(AI41="Muy Baja",AK41="Mayor"),AND(AI41="Baja",AK41="Mayor"),AND(AI41="Media",AK41="Mayor"),AND(AI41="Alta",AK41="Moderado"),AND(AI41="Alta",AK41="Mayor"),AND(AI41="Muy Alta",AK41="Leve"),AND(AI41="Muy Alta",AK41="Menor"),AND(AI41="Muy Alta",AK41="Moderado"),AND(AI41="Muy Alta",AK41="Mayor")),"Alto",IF(OR(AND(AI41="Muy Baja",AK41="Catastrófico"),AND(AI41="Baja",AK41="Catastrófico"),AND(AI41="Media",AK41="Catastrófico"),AND(AI41="Alta",AK41="Catastrófico"),AND(AI41="Muy Alta",AK41="Catastrófico")),"Extremo","")))),"")</f>
        <v/>
      </c>
      <c r="AN41" s="161"/>
      <c r="AO41" s="120"/>
      <c r="AP41" s="120"/>
      <c r="AQ41" s="120"/>
      <c r="AR41" s="120"/>
      <c r="AS41" s="120"/>
      <c r="AT41" s="120"/>
      <c r="AU41" s="121"/>
      <c r="AV41" s="122"/>
      <c r="AW41" s="123"/>
      <c r="AX41" s="123"/>
      <c r="AY41" s="221"/>
      <c r="AZ41" s="122"/>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row>
    <row r="42" spans="1:84" ht="151.5" customHeight="1" x14ac:dyDescent="0.3">
      <c r="A42" s="274"/>
      <c r="B42" s="126"/>
      <c r="C42" s="275"/>
      <c r="D42" s="129"/>
      <c r="E42" s="275"/>
      <c r="F42" s="275"/>
      <c r="G42" s="273"/>
      <c r="H42" s="132"/>
      <c r="I42" s="132"/>
      <c r="J42" s="275"/>
      <c r="K42" s="280"/>
      <c r="L42" s="279"/>
      <c r="M42" s="276"/>
      <c r="N42" s="278"/>
      <c r="O42" s="276">
        <f>IF(NOT(ISERROR(MATCH(N42,_xlfn.ANCHORARRAY(G53),0))),M55&amp;"Por favor no seleccionar los criterios de impacto",N42)</f>
        <v>0</v>
      </c>
      <c r="P42" s="279"/>
      <c r="Q42" s="276"/>
      <c r="R42" s="277"/>
      <c r="S42" s="151"/>
      <c r="T42" s="151" t="str">
        <f t="shared" si="1"/>
        <v/>
      </c>
      <c r="U42" s="151"/>
      <c r="V42" s="151" t="str">
        <f t="shared" si="2"/>
        <v/>
      </c>
      <c r="W42" s="151" t="str">
        <f t="shared" si="3"/>
        <v/>
      </c>
      <c r="X42" s="151" t="str">
        <f t="shared" si="4"/>
        <v/>
      </c>
      <c r="Y42" s="6">
        <v>6</v>
      </c>
      <c r="Z42" s="153"/>
      <c r="AA42" s="154" t="str">
        <f t="shared" si="47"/>
        <v/>
      </c>
      <c r="AB42" s="155"/>
      <c r="AC42" s="155"/>
      <c r="AD42" s="156" t="str">
        <f t="shared" si="44"/>
        <v/>
      </c>
      <c r="AE42" s="155"/>
      <c r="AF42" s="155"/>
      <c r="AG42" s="155"/>
      <c r="AH42" s="157" t="str">
        <f t="shared" si="48"/>
        <v/>
      </c>
      <c r="AI42" s="158" t="str">
        <f t="shared" si="10"/>
        <v/>
      </c>
      <c r="AJ42" s="159" t="str">
        <f t="shared" si="45"/>
        <v/>
      </c>
      <c r="AK42" s="158" t="str">
        <f t="shared" si="12"/>
        <v/>
      </c>
      <c r="AL42" s="159" t="str">
        <f t="shared" si="49"/>
        <v/>
      </c>
      <c r="AM42" s="160" t="str">
        <f t="shared" si="50"/>
        <v/>
      </c>
      <c r="AN42" s="161"/>
      <c r="AO42" s="120"/>
      <c r="AP42" s="120"/>
      <c r="AQ42" s="120"/>
      <c r="AR42" s="120"/>
      <c r="AS42" s="120"/>
      <c r="AT42" s="120"/>
      <c r="AU42" s="121"/>
      <c r="AV42" s="122"/>
      <c r="AW42" s="123"/>
      <c r="AX42" s="123"/>
      <c r="AY42" s="221"/>
      <c r="AZ42" s="122"/>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row>
    <row r="43" spans="1:84" ht="151.5" customHeight="1" x14ac:dyDescent="0.3">
      <c r="A43" s="259">
        <v>9</v>
      </c>
      <c r="B43" s="124"/>
      <c r="C43" s="261"/>
      <c r="D43" s="127"/>
      <c r="E43" s="261"/>
      <c r="F43" s="261"/>
      <c r="G43" s="265"/>
      <c r="H43" s="130"/>
      <c r="I43" s="130"/>
      <c r="J43" s="261"/>
      <c r="K43" s="271"/>
      <c r="L43" s="224" t="str">
        <f>IF(K43&lt;=0,"",IF(K43&lt;=2,"Muy Baja",IF(K43&lt;=24,"Baja",IF(K43&lt;=500,"Media",IF(K43&lt;=5000,"Alta","Muy Alta")))))</f>
        <v/>
      </c>
      <c r="M43" s="226" t="str">
        <f>IF(L43="","",IF(L43="Muy Baja",0.2,IF(L43="Baja",0.4,IF(L43="Media",0.6,IF(L43="Alta",0.8,IF(L43="Muy Alta",1,))))))</f>
        <v/>
      </c>
      <c r="N43" s="269"/>
      <c r="O43" s="226">
        <f>IF(NOT(ISERROR(MATCH(N43,'Tabla Impacto'!$B$221:$B$223,0))),'Tabla Impacto'!$F$223&amp;"Por favor no seleccionar los criterios de impacto(Afectación Económica o presupuestal y Pérdida Reputacional)",N43)</f>
        <v>0</v>
      </c>
      <c r="P43" s="224" t="str">
        <f>IF(OR(O43='Tabla Impacto'!$C$11,O43='Tabla Impacto'!$D$11),"Leve",IF(OR(O43='Tabla Impacto'!$C$12,O43='Tabla Impacto'!$D$12),"Menor",IF(OR(O43='Tabla Impacto'!$C$13,O43='Tabla Impacto'!$D$13),"Moderado",IF(OR(O43='Tabla Impacto'!$C$14,O43='Tabla Impacto'!$D$14),"Mayor",IF(OR(O43='Tabla Impacto'!$C$15,O43='Tabla Impacto'!$D$15),"Catastrófico","")))))</f>
        <v/>
      </c>
      <c r="Q43" s="226" t="str">
        <f>IF(P43="","",IF(P43="Leve",0.2,IF(P43="Menor",0.4,IF(P43="Moderado",0.6,IF(P43="Mayor",0.8,IF(P43="Catastrófico",1,))))))</f>
        <v/>
      </c>
      <c r="R43" s="267" t="str">
        <f>IF(OR(AND(L43="Muy Baja",P43="Leve"),AND(L43="Muy Baja",P43="Menor"),AND(L43="Baja",P43="Leve")),"Bajo",IF(OR(AND(L43="Muy baja",P43="Moderado"),AND(L43="Baja",P43="Menor"),AND(L43="Baja",P43="Moderado"),AND(L43="Media",P43="Leve"),AND(L43="Media",P43="Menor"),AND(L43="Media",P43="Moderado"),AND(L43="Alta",P43="Leve"),AND(L43="Alta",P43="Menor")),"Moderado",IF(OR(AND(L43="Muy Baja",P43="Mayor"),AND(L43="Baja",P43="Mayor"),AND(L43="Media",P43="Mayor"),AND(L43="Alta",P43="Moderado"),AND(L43="Alta",P43="Mayor"),AND(L43="Muy Alta",P43="Leve"),AND(L43="Muy Alta",P43="Menor"),AND(L43="Muy Alta",P43="Moderado"),AND(L43="Muy Alta",P43="Mayor")),"Alto",IF(OR(AND(L43="Muy Baja",P43="Catastrófico"),AND(L43="Baja",P43="Catastrófico"),AND(L43="Media",P43="Catastrófico"),AND(L43="Alta",P43="Catastrófico"),AND(L43="Muy Alta",P43="Catastrófico")),"Extremo",""))))</f>
        <v/>
      </c>
      <c r="S43" s="151"/>
      <c r="T43" s="151" t="str">
        <f t="shared" si="1"/>
        <v/>
      </c>
      <c r="U43" s="151"/>
      <c r="V43" s="151" t="str">
        <f t="shared" si="2"/>
        <v/>
      </c>
      <c r="W43" s="151" t="str">
        <f t="shared" si="3"/>
        <v/>
      </c>
      <c r="X43" s="151" t="str">
        <f t="shared" si="4"/>
        <v/>
      </c>
      <c r="Y43" s="6">
        <v>1</v>
      </c>
      <c r="Z43" s="153"/>
      <c r="AA43" s="154" t="str">
        <f>IF(OR(AB43="Preventivo",AB43="Detectivo"),"Probabilidad",IF(AB43="Correctivo","Impacto",""))</f>
        <v/>
      </c>
      <c r="AB43" s="155"/>
      <c r="AC43" s="155"/>
      <c r="AD43" s="156" t="str">
        <f>IF(AND(AB43="Preventivo",AC43="Automático"),"50%",IF(AND(AB43="Preventivo",AC43="Manual"),"40%",IF(AND(AB43="Detectivo",AC43="Automático"),"40%",IF(AND(AB43="Detectivo",AC43="Manual"),"30%",IF(AND(AB43="Correctivo",AC43="Automático"),"35%",IF(AND(AB43="Correctivo",AC43="Manual"),"25%",""))))))</f>
        <v/>
      </c>
      <c r="AE43" s="155"/>
      <c r="AF43" s="155"/>
      <c r="AG43" s="155"/>
      <c r="AH43" s="157" t="str">
        <f>IFERROR(IF(AA43="Probabilidad",(M43-(+M43*AD43)),IF(AA43="Impacto",M43,"")),"")</f>
        <v/>
      </c>
      <c r="AI43" s="158" t="str">
        <f>IFERROR(IF(AH43="","",IF(AH43&lt;=0.2,"Muy Baja",IF(AH43&lt;=0.4,"Baja",IF(AH43&lt;=0.6,"Media",IF(AH43&lt;=0.8,"Alta","Muy Alta"))))),"")</f>
        <v/>
      </c>
      <c r="AJ43" s="159" t="str">
        <f>+AH43</f>
        <v/>
      </c>
      <c r="AK43" s="158" t="str">
        <f>IFERROR(IF(AL43="","",IF(AL43&lt;=0.2,"Leve",IF(AL43&lt;=0.4,"Menor",IF(AL43&lt;=0.6,"Moderado",IF(AL43&lt;=0.8,"Mayor","Catastrófico"))))),"")</f>
        <v/>
      </c>
      <c r="AL43" s="159" t="str">
        <f>IFERROR(IF(AA43="Impacto",(Q43-(+Q43*AD43)),IF(AA43="Probabilidad",Q43,"")),"")</f>
        <v/>
      </c>
      <c r="AM43" s="160" t="str">
        <f>IFERROR(IF(OR(AND(AI43="Muy Baja",AK43="Leve"),AND(AI43="Muy Baja",AK43="Menor"),AND(AI43="Baja",AK43="Leve")),"Bajo",IF(OR(AND(AI43="Muy baja",AK43="Moderado"),AND(AI43="Baja",AK43="Menor"),AND(AI43="Baja",AK43="Moderado"),AND(AI43="Media",AK43="Leve"),AND(AI43="Media",AK43="Menor"),AND(AI43="Media",AK43="Moderado"),AND(AI43="Alta",AK43="Leve"),AND(AI43="Alta",AK43="Menor")),"Moderado",IF(OR(AND(AI43="Muy Baja",AK43="Mayor"),AND(AI43="Baja",AK43="Mayor"),AND(AI43="Media",AK43="Mayor"),AND(AI43="Alta",AK43="Moderado"),AND(AI43="Alta",AK43="Mayor"),AND(AI43="Muy Alta",AK43="Leve"),AND(AI43="Muy Alta",AK43="Menor"),AND(AI43="Muy Alta",AK43="Moderado"),AND(AI43="Muy Alta",AK43="Mayor")),"Alto",IF(OR(AND(AI43="Muy Baja",AK43="Catastrófico"),AND(AI43="Baja",AK43="Catastrófico"),AND(AI43="Media",AK43="Catastrófico"),AND(AI43="Alta",AK43="Catastrófico"),AND(AI43="Muy Alta",AK43="Catastrófico")),"Extremo","")))),"")</f>
        <v/>
      </c>
      <c r="AN43" s="161"/>
      <c r="AO43" s="120"/>
      <c r="AP43" s="120"/>
      <c r="AQ43" s="120"/>
      <c r="AR43" s="120"/>
      <c r="AS43" s="120"/>
      <c r="AT43" s="120"/>
      <c r="AU43" s="121"/>
      <c r="AV43" s="122"/>
      <c r="AW43" s="123"/>
      <c r="AX43" s="123"/>
      <c r="AY43" s="121"/>
      <c r="AZ43" s="122"/>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row>
    <row r="44" spans="1:84" ht="151.5" customHeight="1" x14ac:dyDescent="0.3">
      <c r="A44" s="260"/>
      <c r="B44" s="125"/>
      <c r="C44" s="262"/>
      <c r="D44" s="128"/>
      <c r="E44" s="262"/>
      <c r="F44" s="262"/>
      <c r="G44" s="266"/>
      <c r="H44" s="131"/>
      <c r="I44" s="131"/>
      <c r="J44" s="262"/>
      <c r="K44" s="272"/>
      <c r="L44" s="225"/>
      <c r="M44" s="227"/>
      <c r="N44" s="270"/>
      <c r="O44" s="227">
        <f>IF(NOT(ISERROR(MATCH(N44,_xlfn.ANCHORARRAY(G55),0))),M57&amp;"Por favor no seleccionar los criterios de impacto",N44)</f>
        <v>0</v>
      </c>
      <c r="P44" s="225"/>
      <c r="Q44" s="227"/>
      <c r="R44" s="268"/>
      <c r="S44" s="151"/>
      <c r="T44" s="151" t="str">
        <f t="shared" si="1"/>
        <v/>
      </c>
      <c r="U44" s="151"/>
      <c r="V44" s="151" t="str">
        <f t="shared" si="2"/>
        <v/>
      </c>
      <c r="W44" s="151" t="str">
        <f t="shared" si="3"/>
        <v/>
      </c>
      <c r="X44" s="151" t="str">
        <f t="shared" si="4"/>
        <v/>
      </c>
      <c r="Y44" s="6">
        <v>2</v>
      </c>
      <c r="Z44" s="153"/>
      <c r="AA44" s="154" t="str">
        <f>IF(OR(AB44="Preventivo",AB44="Detectivo"),"Probabilidad",IF(AB44="Correctivo","Impacto",""))</f>
        <v/>
      </c>
      <c r="AB44" s="155"/>
      <c r="AC44" s="155"/>
      <c r="AD44" s="156" t="str">
        <f t="shared" ref="AD44:AD48" si="51">IF(AND(AB44="Preventivo",AC44="Automático"),"50%",IF(AND(AB44="Preventivo",AC44="Manual"),"40%",IF(AND(AB44="Detectivo",AC44="Automático"),"40%",IF(AND(AB44="Detectivo",AC44="Manual"),"30%",IF(AND(AB44="Correctivo",AC44="Automático"),"35%",IF(AND(AB44="Correctivo",AC44="Manual"),"25%",""))))))</f>
        <v/>
      </c>
      <c r="AE44" s="155"/>
      <c r="AF44" s="155"/>
      <c r="AG44" s="155"/>
      <c r="AH44" s="157" t="str">
        <f>IFERROR(IF(AND(AA43="Probabilidad",AA44="Probabilidad"),(AJ43-(+AJ43*AD44)),IF(AA44="Probabilidad",(M43-(+M43*AD44)),IF(AA44="Impacto",AJ43,""))),"")</f>
        <v/>
      </c>
      <c r="AI44" s="158" t="str">
        <f t="shared" si="10"/>
        <v/>
      </c>
      <c r="AJ44" s="159" t="str">
        <f t="shared" ref="AJ44:AJ48" si="52">+AH44</f>
        <v/>
      </c>
      <c r="AK44" s="158" t="str">
        <f t="shared" si="12"/>
        <v/>
      </c>
      <c r="AL44" s="159" t="str">
        <f>IFERROR(IF(AND(AA43="Impacto",AA44="Impacto"),(AL43-(+AL43*AD44)),IF(AA44="Impacto",(Q43-(+Q43*AD44)),IF(AA44="Probabilidad",AL43,""))),"")</f>
        <v/>
      </c>
      <c r="AM44" s="160" t="str">
        <f t="shared" ref="AM44:AM45" si="53">IFERROR(IF(OR(AND(AI44="Muy Baja",AK44="Leve"),AND(AI44="Muy Baja",AK44="Menor"),AND(AI44="Baja",AK44="Leve")),"Bajo",IF(OR(AND(AI44="Muy baja",AK44="Moderado"),AND(AI44="Baja",AK44="Menor"),AND(AI44="Baja",AK44="Moderado"),AND(AI44="Media",AK44="Leve"),AND(AI44="Media",AK44="Menor"),AND(AI44="Media",AK44="Moderado"),AND(AI44="Alta",AK44="Leve"),AND(AI44="Alta",AK44="Menor")),"Moderado",IF(OR(AND(AI44="Muy Baja",AK44="Mayor"),AND(AI44="Baja",AK44="Mayor"),AND(AI44="Media",AK44="Mayor"),AND(AI44="Alta",AK44="Moderado"),AND(AI44="Alta",AK44="Mayor"),AND(AI44="Muy Alta",AK44="Leve"),AND(AI44="Muy Alta",AK44="Menor"),AND(AI44="Muy Alta",AK44="Moderado"),AND(AI44="Muy Alta",AK44="Mayor")),"Alto",IF(OR(AND(AI44="Muy Baja",AK44="Catastrófico"),AND(AI44="Baja",AK44="Catastrófico"),AND(AI44="Media",AK44="Catastrófico"),AND(AI44="Alta",AK44="Catastrófico"),AND(AI44="Muy Alta",AK44="Catastrófico")),"Extremo","")))),"")</f>
        <v/>
      </c>
      <c r="AN44" s="161"/>
      <c r="AO44" s="120"/>
      <c r="AP44" s="120"/>
      <c r="AQ44" s="120"/>
      <c r="AR44" s="120"/>
      <c r="AS44" s="120"/>
      <c r="AT44" s="120"/>
      <c r="AU44" s="121"/>
      <c r="AV44" s="122"/>
      <c r="AW44" s="123"/>
      <c r="AX44" s="123"/>
      <c r="AY44" s="121"/>
      <c r="AZ44" s="122"/>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row>
    <row r="45" spans="1:84" ht="151.5" customHeight="1" x14ac:dyDescent="0.3">
      <c r="A45" s="260"/>
      <c r="B45" s="125"/>
      <c r="C45" s="262"/>
      <c r="D45" s="128"/>
      <c r="E45" s="262"/>
      <c r="F45" s="262"/>
      <c r="G45" s="266"/>
      <c r="H45" s="131"/>
      <c r="I45" s="131"/>
      <c r="J45" s="262"/>
      <c r="K45" s="272"/>
      <c r="L45" s="225"/>
      <c r="M45" s="227"/>
      <c r="N45" s="270"/>
      <c r="O45" s="227">
        <f>IF(NOT(ISERROR(MATCH(N45,_xlfn.ANCHORARRAY(G56),0))),M58&amp;"Por favor no seleccionar los criterios de impacto",N45)</f>
        <v>0</v>
      </c>
      <c r="P45" s="225"/>
      <c r="Q45" s="227"/>
      <c r="R45" s="268"/>
      <c r="S45" s="151"/>
      <c r="T45" s="151" t="str">
        <f t="shared" si="1"/>
        <v/>
      </c>
      <c r="U45" s="151"/>
      <c r="V45" s="151" t="str">
        <f t="shared" si="2"/>
        <v/>
      </c>
      <c r="W45" s="151" t="str">
        <f t="shared" si="3"/>
        <v/>
      </c>
      <c r="X45" s="151" t="str">
        <f t="shared" si="4"/>
        <v/>
      </c>
      <c r="Y45" s="6">
        <v>3</v>
      </c>
      <c r="Z45" s="142"/>
      <c r="AA45" s="154" t="str">
        <f>IF(OR(AB45="Preventivo",AB45="Detectivo"),"Probabilidad",IF(AB45="Correctivo","Impacto",""))</f>
        <v/>
      </c>
      <c r="AB45" s="155"/>
      <c r="AC45" s="155"/>
      <c r="AD45" s="156" t="str">
        <f t="shared" si="51"/>
        <v/>
      </c>
      <c r="AE45" s="155"/>
      <c r="AF45" s="155"/>
      <c r="AG45" s="155"/>
      <c r="AH45" s="157" t="str">
        <f>IFERROR(IF(AND(AA44="Probabilidad",AA45="Probabilidad"),(AJ44-(+AJ44*AD45)),IF(AND(AA44="Impacto",AA45="Probabilidad"),(AJ43-(+AJ43*AD45)),IF(AA45="Impacto",AJ44,""))),"")</f>
        <v/>
      </c>
      <c r="AI45" s="158" t="str">
        <f t="shared" si="10"/>
        <v/>
      </c>
      <c r="AJ45" s="159" t="str">
        <f t="shared" si="52"/>
        <v/>
      </c>
      <c r="AK45" s="158" t="str">
        <f t="shared" si="12"/>
        <v/>
      </c>
      <c r="AL45" s="159" t="str">
        <f>IFERROR(IF(AND(AA44="Impacto",AA45="Impacto"),(AL44-(+AL44*AD45)),IF(AND(AA44="Probabilidad",AA45="Impacto"),(AL43-(+AL43*AD45)),IF(AA45="Probabilidad",AL44,""))),"")</f>
        <v/>
      </c>
      <c r="AM45" s="160" t="str">
        <f t="shared" si="53"/>
        <v/>
      </c>
      <c r="AN45" s="161"/>
      <c r="AO45" s="120"/>
      <c r="AP45" s="120"/>
      <c r="AQ45" s="120"/>
      <c r="AR45" s="120"/>
      <c r="AS45" s="120"/>
      <c r="AT45" s="120"/>
      <c r="AU45" s="121"/>
      <c r="AV45" s="122"/>
      <c r="AW45" s="123"/>
      <c r="AX45" s="123"/>
      <c r="AY45" s="121"/>
      <c r="AZ45" s="122"/>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row>
    <row r="46" spans="1:84" ht="151.5" customHeight="1" x14ac:dyDescent="0.3">
      <c r="A46" s="260"/>
      <c r="B46" s="125"/>
      <c r="C46" s="262"/>
      <c r="D46" s="128"/>
      <c r="E46" s="262"/>
      <c r="F46" s="262"/>
      <c r="G46" s="266"/>
      <c r="H46" s="131"/>
      <c r="I46" s="131"/>
      <c r="J46" s="262"/>
      <c r="K46" s="272"/>
      <c r="L46" s="225"/>
      <c r="M46" s="227"/>
      <c r="N46" s="270"/>
      <c r="O46" s="227">
        <f>IF(NOT(ISERROR(MATCH(N46,_xlfn.ANCHORARRAY(G57),0))),M59&amp;"Por favor no seleccionar los criterios de impacto",N46)</f>
        <v>0</v>
      </c>
      <c r="P46" s="225"/>
      <c r="Q46" s="227"/>
      <c r="R46" s="268"/>
      <c r="S46" s="151"/>
      <c r="T46" s="151" t="str">
        <f t="shared" si="1"/>
        <v/>
      </c>
      <c r="U46" s="151"/>
      <c r="V46" s="151" t="str">
        <f t="shared" si="2"/>
        <v/>
      </c>
      <c r="W46" s="151" t="str">
        <f t="shared" si="3"/>
        <v/>
      </c>
      <c r="X46" s="151" t="str">
        <f t="shared" si="4"/>
        <v/>
      </c>
      <c r="Y46" s="6">
        <v>4</v>
      </c>
      <c r="Z46" s="153"/>
      <c r="AA46" s="154" t="str">
        <f t="shared" ref="AA46:AA48" si="54">IF(OR(AB46="Preventivo",AB46="Detectivo"),"Probabilidad",IF(AB46="Correctivo","Impacto",""))</f>
        <v/>
      </c>
      <c r="AB46" s="155"/>
      <c r="AC46" s="155"/>
      <c r="AD46" s="156" t="str">
        <f t="shared" si="51"/>
        <v/>
      </c>
      <c r="AE46" s="155"/>
      <c r="AF46" s="155"/>
      <c r="AG46" s="155"/>
      <c r="AH46" s="157" t="str">
        <f t="shared" ref="AH46:AH48" si="55">IFERROR(IF(AND(AA45="Probabilidad",AA46="Probabilidad"),(AJ45-(+AJ45*AD46)),IF(AND(AA45="Impacto",AA46="Probabilidad"),(AJ44-(+AJ44*AD46)),IF(AA46="Impacto",AJ45,""))),"")</f>
        <v/>
      </c>
      <c r="AI46" s="158" t="str">
        <f t="shared" si="10"/>
        <v/>
      </c>
      <c r="AJ46" s="159" t="str">
        <f t="shared" si="52"/>
        <v/>
      </c>
      <c r="AK46" s="158" t="str">
        <f t="shared" si="12"/>
        <v/>
      </c>
      <c r="AL46" s="159" t="str">
        <f t="shared" ref="AL46:AL48" si="56">IFERROR(IF(AND(AA45="Impacto",AA46="Impacto"),(AL45-(+AL45*AD46)),IF(AND(AA45="Probabilidad",AA46="Impacto"),(AL44-(+AL44*AD46)),IF(AA46="Probabilidad",AL45,""))),"")</f>
        <v/>
      </c>
      <c r="AM46" s="160" t="str">
        <f>IFERROR(IF(OR(AND(AI46="Muy Baja",AK46="Leve"),AND(AI46="Muy Baja",AK46="Menor"),AND(AI46="Baja",AK46="Leve")),"Bajo",IF(OR(AND(AI46="Muy baja",AK46="Moderado"),AND(AI46="Baja",AK46="Menor"),AND(AI46="Baja",AK46="Moderado"),AND(AI46="Media",AK46="Leve"),AND(AI46="Media",AK46="Menor"),AND(AI46="Media",AK46="Moderado"),AND(AI46="Alta",AK46="Leve"),AND(AI46="Alta",AK46="Menor")),"Moderado",IF(OR(AND(AI46="Muy Baja",AK46="Mayor"),AND(AI46="Baja",AK46="Mayor"),AND(AI46="Media",AK46="Mayor"),AND(AI46="Alta",AK46="Moderado"),AND(AI46="Alta",AK46="Mayor"),AND(AI46="Muy Alta",AK46="Leve"),AND(AI46="Muy Alta",AK46="Menor"),AND(AI46="Muy Alta",AK46="Moderado"),AND(AI46="Muy Alta",AK46="Mayor")),"Alto",IF(OR(AND(AI46="Muy Baja",AK46="Catastrófico"),AND(AI46="Baja",AK46="Catastrófico"),AND(AI46="Media",AK46="Catastrófico"),AND(AI46="Alta",AK46="Catastrófico"),AND(AI46="Muy Alta",AK46="Catastrófico")),"Extremo","")))),"")</f>
        <v/>
      </c>
      <c r="AN46" s="161"/>
      <c r="AO46" s="120"/>
      <c r="AP46" s="120"/>
      <c r="AQ46" s="120"/>
      <c r="AR46" s="120"/>
      <c r="AS46" s="120"/>
      <c r="AT46" s="120"/>
      <c r="AU46" s="121"/>
      <c r="AV46" s="122"/>
      <c r="AW46" s="123"/>
      <c r="AX46" s="123"/>
      <c r="AY46" s="121"/>
      <c r="AZ46" s="122"/>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row>
    <row r="47" spans="1:84" ht="151.5" customHeight="1" x14ac:dyDescent="0.3">
      <c r="A47" s="260"/>
      <c r="B47" s="125"/>
      <c r="C47" s="262"/>
      <c r="D47" s="128"/>
      <c r="E47" s="262"/>
      <c r="F47" s="262"/>
      <c r="G47" s="266"/>
      <c r="H47" s="131"/>
      <c r="I47" s="131"/>
      <c r="J47" s="262"/>
      <c r="K47" s="272"/>
      <c r="L47" s="225"/>
      <c r="M47" s="227"/>
      <c r="N47" s="270"/>
      <c r="O47" s="227">
        <f>IF(NOT(ISERROR(MATCH(N47,_xlfn.ANCHORARRAY(G58),0))),M60&amp;"Por favor no seleccionar los criterios de impacto",N47)</f>
        <v>0</v>
      </c>
      <c r="P47" s="225"/>
      <c r="Q47" s="227"/>
      <c r="R47" s="268"/>
      <c r="S47" s="151"/>
      <c r="T47" s="151" t="str">
        <f t="shared" si="1"/>
        <v/>
      </c>
      <c r="U47" s="151"/>
      <c r="V47" s="151" t="str">
        <f t="shared" si="2"/>
        <v/>
      </c>
      <c r="W47" s="151" t="str">
        <f t="shared" si="3"/>
        <v/>
      </c>
      <c r="X47" s="151" t="str">
        <f t="shared" si="4"/>
        <v/>
      </c>
      <c r="Y47" s="6">
        <v>5</v>
      </c>
      <c r="Z47" s="153"/>
      <c r="AA47" s="154" t="str">
        <f t="shared" si="54"/>
        <v/>
      </c>
      <c r="AB47" s="155"/>
      <c r="AC47" s="155"/>
      <c r="AD47" s="156" t="str">
        <f t="shared" si="51"/>
        <v/>
      </c>
      <c r="AE47" s="155"/>
      <c r="AF47" s="155"/>
      <c r="AG47" s="155"/>
      <c r="AH47" s="157" t="str">
        <f t="shared" si="55"/>
        <v/>
      </c>
      <c r="AI47" s="158" t="str">
        <f t="shared" si="10"/>
        <v/>
      </c>
      <c r="AJ47" s="159" t="str">
        <f t="shared" si="52"/>
        <v/>
      </c>
      <c r="AK47" s="158" t="str">
        <f t="shared" si="12"/>
        <v/>
      </c>
      <c r="AL47" s="159" t="str">
        <f t="shared" si="56"/>
        <v/>
      </c>
      <c r="AM47" s="160" t="str">
        <f t="shared" ref="AM47:AM48" si="57">IFERROR(IF(OR(AND(AI47="Muy Baja",AK47="Leve"),AND(AI47="Muy Baja",AK47="Menor"),AND(AI47="Baja",AK47="Leve")),"Bajo",IF(OR(AND(AI47="Muy baja",AK47="Moderado"),AND(AI47="Baja",AK47="Menor"),AND(AI47="Baja",AK47="Moderado"),AND(AI47="Media",AK47="Leve"),AND(AI47="Media",AK47="Menor"),AND(AI47="Media",AK47="Moderado"),AND(AI47="Alta",AK47="Leve"),AND(AI47="Alta",AK47="Menor")),"Moderado",IF(OR(AND(AI47="Muy Baja",AK47="Mayor"),AND(AI47="Baja",AK47="Mayor"),AND(AI47="Media",AK47="Mayor"),AND(AI47="Alta",AK47="Moderado"),AND(AI47="Alta",AK47="Mayor"),AND(AI47="Muy Alta",AK47="Leve"),AND(AI47="Muy Alta",AK47="Menor"),AND(AI47="Muy Alta",AK47="Moderado"),AND(AI47="Muy Alta",AK47="Mayor")),"Alto",IF(OR(AND(AI47="Muy Baja",AK47="Catastrófico"),AND(AI47="Baja",AK47="Catastrófico"),AND(AI47="Media",AK47="Catastrófico"),AND(AI47="Alta",AK47="Catastrófico"),AND(AI47="Muy Alta",AK47="Catastrófico")),"Extremo","")))),"")</f>
        <v/>
      </c>
      <c r="AN47" s="161"/>
      <c r="AO47" s="120"/>
      <c r="AP47" s="120"/>
      <c r="AQ47" s="120"/>
      <c r="AR47" s="120"/>
      <c r="AS47" s="120"/>
      <c r="AT47" s="120"/>
      <c r="AU47" s="121"/>
      <c r="AV47" s="122"/>
      <c r="AW47" s="123"/>
      <c r="AX47" s="123"/>
      <c r="AY47" s="121"/>
      <c r="AZ47" s="122"/>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row>
    <row r="48" spans="1:84" ht="151.5" customHeight="1" x14ac:dyDescent="0.3">
      <c r="A48" s="274"/>
      <c r="B48" s="126"/>
      <c r="C48" s="275"/>
      <c r="D48" s="129"/>
      <c r="E48" s="275"/>
      <c r="F48" s="275"/>
      <c r="G48" s="273"/>
      <c r="H48" s="132"/>
      <c r="I48" s="132"/>
      <c r="J48" s="275"/>
      <c r="K48" s="280"/>
      <c r="L48" s="279"/>
      <c r="M48" s="276"/>
      <c r="N48" s="278"/>
      <c r="O48" s="276">
        <f>IF(NOT(ISERROR(MATCH(N48,_xlfn.ANCHORARRAY(G59),0))),M61&amp;"Por favor no seleccionar los criterios de impacto",N48)</f>
        <v>0</v>
      </c>
      <c r="P48" s="279"/>
      <c r="Q48" s="276"/>
      <c r="R48" s="277"/>
      <c r="S48" s="151"/>
      <c r="T48" s="151" t="str">
        <f t="shared" si="1"/>
        <v/>
      </c>
      <c r="U48" s="151"/>
      <c r="V48" s="151" t="str">
        <f t="shared" si="2"/>
        <v/>
      </c>
      <c r="W48" s="151" t="str">
        <f t="shared" si="3"/>
        <v/>
      </c>
      <c r="X48" s="151" t="str">
        <f t="shared" si="4"/>
        <v/>
      </c>
      <c r="Y48" s="6">
        <v>6</v>
      </c>
      <c r="Z48" s="153"/>
      <c r="AA48" s="154" t="str">
        <f t="shared" si="54"/>
        <v/>
      </c>
      <c r="AB48" s="155"/>
      <c r="AC48" s="155"/>
      <c r="AD48" s="156" t="str">
        <f t="shared" si="51"/>
        <v/>
      </c>
      <c r="AE48" s="155"/>
      <c r="AF48" s="155"/>
      <c r="AG48" s="155"/>
      <c r="AH48" s="157" t="str">
        <f t="shared" si="55"/>
        <v/>
      </c>
      <c r="AI48" s="158" t="str">
        <f t="shared" si="10"/>
        <v/>
      </c>
      <c r="AJ48" s="159" t="str">
        <f t="shared" si="52"/>
        <v/>
      </c>
      <c r="AK48" s="158" t="str">
        <f t="shared" si="12"/>
        <v/>
      </c>
      <c r="AL48" s="159" t="str">
        <f t="shared" si="56"/>
        <v/>
      </c>
      <c r="AM48" s="160" t="str">
        <f t="shared" si="57"/>
        <v/>
      </c>
      <c r="AN48" s="161"/>
      <c r="AO48" s="120"/>
      <c r="AP48" s="120"/>
      <c r="AQ48" s="120"/>
      <c r="AR48" s="120"/>
      <c r="AS48" s="120"/>
      <c r="AT48" s="120"/>
      <c r="AU48" s="121"/>
      <c r="AV48" s="122"/>
      <c r="AW48" s="123"/>
      <c r="AX48" s="123"/>
      <c r="AY48" s="121"/>
      <c r="AZ48" s="122"/>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row>
    <row r="49" spans="1:84" ht="151.5" customHeight="1" x14ac:dyDescent="0.3">
      <c r="A49" s="259">
        <v>10</v>
      </c>
      <c r="B49" s="124"/>
      <c r="C49" s="261"/>
      <c r="D49" s="127"/>
      <c r="E49" s="261"/>
      <c r="F49" s="261"/>
      <c r="G49" s="265"/>
      <c r="H49" s="130"/>
      <c r="I49" s="130"/>
      <c r="J49" s="261"/>
      <c r="K49" s="271"/>
      <c r="L49" s="224" t="str">
        <f>IF(K49&lt;=0,"",IF(K49&lt;=2,"Muy Baja",IF(K49&lt;=24,"Baja",IF(K49&lt;=500,"Media",IF(K49&lt;=5000,"Alta","Muy Alta")))))</f>
        <v/>
      </c>
      <c r="M49" s="226" t="str">
        <f>IF(L49="","",IF(L49="Muy Baja",0.2,IF(L49="Baja",0.4,IF(L49="Media",0.6,IF(L49="Alta",0.8,IF(L49="Muy Alta",1,))))))</f>
        <v/>
      </c>
      <c r="N49" s="269"/>
      <c r="O49" s="226">
        <f>IF(NOT(ISERROR(MATCH(N49,'Tabla Impacto'!$B$221:$B$223,0))),'Tabla Impacto'!$F$223&amp;"Por favor no seleccionar los criterios de impacto(Afectación Económica o presupuestal y Pérdida Reputacional)",N49)</f>
        <v>0</v>
      </c>
      <c r="P49" s="224" t="str">
        <f>IF(OR(O49='Tabla Impacto'!$C$11,O49='Tabla Impacto'!$D$11),"Leve",IF(OR(O49='Tabla Impacto'!$C$12,O49='Tabla Impacto'!$D$12),"Menor",IF(OR(O49='Tabla Impacto'!$C$13,O49='Tabla Impacto'!$D$13),"Moderado",IF(OR(O49='Tabla Impacto'!$C$14,O49='Tabla Impacto'!$D$14),"Mayor",IF(OR(O49='Tabla Impacto'!$C$15,O49='Tabla Impacto'!$D$15),"Catastrófico","")))))</f>
        <v/>
      </c>
      <c r="Q49" s="226" t="str">
        <f>IF(P49="","",IF(P49="Leve",0.2,IF(P49="Menor",0.4,IF(P49="Moderado",0.6,IF(P49="Mayor",0.8,IF(P49="Catastrófico",1,))))))</f>
        <v/>
      </c>
      <c r="R49" s="267" t="str">
        <f>IF(OR(AND(L49="Muy Baja",P49="Leve"),AND(L49="Muy Baja",P49="Menor"),AND(L49="Baja",P49="Leve")),"Bajo",IF(OR(AND(L49="Muy baja",P49="Moderado"),AND(L49="Baja",P49="Menor"),AND(L49="Baja",P49="Moderado"),AND(L49="Media",P49="Leve"),AND(L49="Media",P49="Menor"),AND(L49="Media",P49="Moderado"),AND(L49="Alta",P49="Leve"),AND(L49="Alta",P49="Menor")),"Moderado",IF(OR(AND(L49="Muy Baja",P49="Mayor"),AND(L49="Baja",P49="Mayor"),AND(L49="Media",P49="Mayor"),AND(L49="Alta",P49="Moderado"),AND(L49="Alta",P49="Mayor"),AND(L49="Muy Alta",P49="Leve"),AND(L49="Muy Alta",P49="Menor"),AND(L49="Muy Alta",P49="Moderado"),AND(L49="Muy Alta",P49="Mayor")),"Alto",IF(OR(AND(L49="Muy Baja",P49="Catastrófico"),AND(L49="Baja",P49="Catastrófico"),AND(L49="Media",P49="Catastrófico"),AND(L49="Alta",P49="Catastrófico"),AND(L49="Muy Alta",P49="Catastrófico")),"Extremo",""))))</f>
        <v/>
      </c>
      <c r="S49" s="151"/>
      <c r="T49" s="151" t="str">
        <f t="shared" si="1"/>
        <v/>
      </c>
      <c r="U49" s="151"/>
      <c r="V49" s="151" t="str">
        <f t="shared" si="2"/>
        <v/>
      </c>
      <c r="W49" s="151" t="str">
        <f t="shared" si="3"/>
        <v/>
      </c>
      <c r="X49" s="151" t="str">
        <f t="shared" si="4"/>
        <v/>
      </c>
      <c r="Y49" s="6">
        <v>1</v>
      </c>
      <c r="Z49" s="153"/>
      <c r="AA49" s="154" t="str">
        <f>IF(OR(AB49="Preventivo",AB49="Detectivo"),"Probabilidad",IF(AB49="Correctivo","Impacto",""))</f>
        <v/>
      </c>
      <c r="AB49" s="155"/>
      <c r="AC49" s="155"/>
      <c r="AD49" s="156" t="str">
        <f>IF(AND(AB49="Preventivo",AC49="Automático"),"50%",IF(AND(AB49="Preventivo",AC49="Manual"),"40%",IF(AND(AB49="Detectivo",AC49="Automático"),"40%",IF(AND(AB49="Detectivo",AC49="Manual"),"30%",IF(AND(AB49="Correctivo",AC49="Automático"),"35%",IF(AND(AB49="Correctivo",AC49="Manual"),"25%",""))))))</f>
        <v/>
      </c>
      <c r="AE49" s="155"/>
      <c r="AF49" s="155"/>
      <c r="AG49" s="155"/>
      <c r="AH49" s="157" t="str">
        <f>IFERROR(IF(AA49="Probabilidad",(M49-(+M49*AD49)),IF(AA49="Impacto",M49,"")),"")</f>
        <v/>
      </c>
      <c r="AI49" s="158" t="str">
        <f>IFERROR(IF(AH49="","",IF(AH49&lt;=0.2,"Muy Baja",IF(AH49&lt;=0.4,"Baja",IF(AH49&lt;=0.6,"Media",IF(AH49&lt;=0.8,"Alta","Muy Alta"))))),"")</f>
        <v/>
      </c>
      <c r="AJ49" s="159" t="str">
        <f>+AH49</f>
        <v/>
      </c>
      <c r="AK49" s="158" t="str">
        <f>IFERROR(IF(AL49="","",IF(AL49&lt;=0.2,"Leve",IF(AL49&lt;=0.4,"Menor",IF(AL49&lt;=0.6,"Moderado",IF(AL49&lt;=0.8,"Mayor","Catastrófico"))))),"")</f>
        <v/>
      </c>
      <c r="AL49" s="159" t="str">
        <f>IFERROR(IF(AA49="Impacto",(Q49-(+Q49*AD49)),IF(AA49="Probabilidad",Q49,"")),"")</f>
        <v/>
      </c>
      <c r="AM49" s="160" t="str">
        <f>IFERROR(IF(OR(AND(AI49="Muy Baja",AK49="Leve"),AND(AI49="Muy Baja",AK49="Menor"),AND(AI49="Baja",AK49="Leve")),"Bajo",IF(OR(AND(AI49="Muy baja",AK49="Moderado"),AND(AI49="Baja",AK49="Menor"),AND(AI49="Baja",AK49="Moderado"),AND(AI49="Media",AK49="Leve"),AND(AI49="Media",AK49="Menor"),AND(AI49="Media",AK49="Moderado"),AND(AI49="Alta",AK49="Leve"),AND(AI49="Alta",AK49="Menor")),"Moderado",IF(OR(AND(AI49="Muy Baja",AK49="Mayor"),AND(AI49="Baja",AK49="Mayor"),AND(AI49="Media",AK49="Mayor"),AND(AI49="Alta",AK49="Moderado"),AND(AI49="Alta",AK49="Mayor"),AND(AI49="Muy Alta",AK49="Leve"),AND(AI49="Muy Alta",AK49="Menor"),AND(AI49="Muy Alta",AK49="Moderado"),AND(AI49="Muy Alta",AK49="Mayor")),"Alto",IF(OR(AND(AI49="Muy Baja",AK49="Catastrófico"),AND(AI49="Baja",AK49="Catastrófico"),AND(AI49="Media",AK49="Catastrófico"),AND(AI49="Alta",AK49="Catastrófico"),AND(AI49="Muy Alta",AK49="Catastrófico")),"Extremo","")))),"")</f>
        <v/>
      </c>
      <c r="AN49" s="161"/>
      <c r="AO49" s="120"/>
      <c r="AP49" s="120"/>
      <c r="AQ49" s="120"/>
      <c r="AR49" s="120"/>
      <c r="AS49" s="120"/>
      <c r="AT49" s="120"/>
      <c r="AU49" s="121"/>
      <c r="AV49" s="122"/>
      <c r="AW49" s="123"/>
      <c r="AX49" s="123"/>
      <c r="AY49" s="121"/>
      <c r="AZ49" s="122"/>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row>
    <row r="50" spans="1:84" ht="151.5" customHeight="1" x14ac:dyDescent="0.3">
      <c r="A50" s="260"/>
      <c r="B50" s="125"/>
      <c r="C50" s="262"/>
      <c r="D50" s="128"/>
      <c r="E50" s="262"/>
      <c r="F50" s="262"/>
      <c r="G50" s="266"/>
      <c r="H50" s="131"/>
      <c r="I50" s="131"/>
      <c r="J50" s="262"/>
      <c r="K50" s="272"/>
      <c r="L50" s="225"/>
      <c r="M50" s="227"/>
      <c r="N50" s="270"/>
      <c r="O50" s="227">
        <f>IF(NOT(ISERROR(MATCH(N50,_xlfn.ANCHORARRAY(G61),0))),M63&amp;"Por favor no seleccionar los criterios de impacto",N50)</f>
        <v>0</v>
      </c>
      <c r="P50" s="225"/>
      <c r="Q50" s="227"/>
      <c r="R50" s="268"/>
      <c r="S50" s="151"/>
      <c r="T50" s="151" t="str">
        <f t="shared" si="1"/>
        <v/>
      </c>
      <c r="U50" s="151"/>
      <c r="V50" s="151" t="str">
        <f t="shared" si="2"/>
        <v/>
      </c>
      <c r="W50" s="151" t="str">
        <f t="shared" si="3"/>
        <v/>
      </c>
      <c r="X50" s="151" t="str">
        <f t="shared" si="4"/>
        <v/>
      </c>
      <c r="Y50" s="6">
        <v>2</v>
      </c>
      <c r="Z50" s="153"/>
      <c r="AA50" s="154" t="str">
        <f>IF(OR(AB50="Preventivo",AB50="Detectivo"),"Probabilidad",IF(AB50="Correctivo","Impacto",""))</f>
        <v/>
      </c>
      <c r="AB50" s="155"/>
      <c r="AC50" s="155"/>
      <c r="AD50" s="156" t="str">
        <f t="shared" ref="AD50:AD54" si="58">IF(AND(AB50="Preventivo",AC50="Automático"),"50%",IF(AND(AB50="Preventivo",AC50="Manual"),"40%",IF(AND(AB50="Detectivo",AC50="Automático"),"40%",IF(AND(AB50="Detectivo",AC50="Manual"),"30%",IF(AND(AB50="Correctivo",AC50="Automático"),"35%",IF(AND(AB50="Correctivo",AC50="Manual"),"25%",""))))))</f>
        <v/>
      </c>
      <c r="AE50" s="155"/>
      <c r="AF50" s="155"/>
      <c r="AG50" s="155"/>
      <c r="AH50" s="157" t="str">
        <f>IFERROR(IF(AND(AA49="Probabilidad",AA50="Probabilidad"),(AJ49-(+AJ49*AD50)),IF(AA50="Probabilidad",(M49-(+M49*AD50)),IF(AA50="Impacto",AJ49,""))),"")</f>
        <v/>
      </c>
      <c r="AI50" s="158" t="str">
        <f t="shared" si="10"/>
        <v/>
      </c>
      <c r="AJ50" s="159" t="str">
        <f t="shared" ref="AJ50:AJ54" si="59">+AH50</f>
        <v/>
      </c>
      <c r="AK50" s="158" t="str">
        <f t="shared" si="12"/>
        <v/>
      </c>
      <c r="AL50" s="159" t="str">
        <f>IFERROR(IF(AND(AA49="Impacto",AA50="Impacto"),(AL49-(+AL49*AD50)),IF(AA50="Impacto",(Q49-(+Q49*AD50)),IF(AA50="Probabilidad",AL49,""))),"")</f>
        <v/>
      </c>
      <c r="AM50" s="160" t="str">
        <f t="shared" ref="AM50:AM51" si="60">IFERROR(IF(OR(AND(AI50="Muy Baja",AK50="Leve"),AND(AI50="Muy Baja",AK50="Menor"),AND(AI50="Baja",AK50="Leve")),"Bajo",IF(OR(AND(AI50="Muy baja",AK50="Moderado"),AND(AI50="Baja",AK50="Menor"),AND(AI50="Baja",AK50="Moderado"),AND(AI50="Media",AK50="Leve"),AND(AI50="Media",AK50="Menor"),AND(AI50="Media",AK50="Moderado"),AND(AI50="Alta",AK50="Leve"),AND(AI50="Alta",AK50="Menor")),"Moderado",IF(OR(AND(AI50="Muy Baja",AK50="Mayor"),AND(AI50="Baja",AK50="Mayor"),AND(AI50="Media",AK50="Mayor"),AND(AI50="Alta",AK50="Moderado"),AND(AI50="Alta",AK50="Mayor"),AND(AI50="Muy Alta",AK50="Leve"),AND(AI50="Muy Alta",AK50="Menor"),AND(AI50="Muy Alta",AK50="Moderado"),AND(AI50="Muy Alta",AK50="Mayor")),"Alto",IF(OR(AND(AI50="Muy Baja",AK50="Catastrófico"),AND(AI50="Baja",AK50="Catastrófico"),AND(AI50="Media",AK50="Catastrófico"),AND(AI50="Alta",AK50="Catastrófico"),AND(AI50="Muy Alta",AK50="Catastrófico")),"Extremo","")))),"")</f>
        <v/>
      </c>
      <c r="AN50" s="161"/>
      <c r="AO50" s="120"/>
      <c r="AP50" s="120"/>
      <c r="AQ50" s="120"/>
      <c r="AR50" s="120"/>
      <c r="AS50" s="120"/>
      <c r="AT50" s="120"/>
      <c r="AU50" s="121"/>
      <c r="AV50" s="122"/>
      <c r="AW50" s="123"/>
      <c r="AX50" s="123"/>
      <c r="AY50" s="121"/>
      <c r="AZ50" s="122"/>
    </row>
    <row r="51" spans="1:84" ht="151.5" customHeight="1" x14ac:dyDescent="0.3">
      <c r="A51" s="260"/>
      <c r="B51" s="125"/>
      <c r="C51" s="262"/>
      <c r="D51" s="128"/>
      <c r="E51" s="262"/>
      <c r="F51" s="262"/>
      <c r="G51" s="266"/>
      <c r="H51" s="131"/>
      <c r="I51" s="131"/>
      <c r="J51" s="262"/>
      <c r="K51" s="272"/>
      <c r="L51" s="225"/>
      <c r="M51" s="227"/>
      <c r="N51" s="270"/>
      <c r="O51" s="227">
        <f>IF(NOT(ISERROR(MATCH(N51,_xlfn.ANCHORARRAY(G62),0))),M64&amp;"Por favor no seleccionar los criterios de impacto",N51)</f>
        <v>0</v>
      </c>
      <c r="P51" s="225"/>
      <c r="Q51" s="227"/>
      <c r="R51" s="268"/>
      <c r="S51" s="151"/>
      <c r="T51" s="151" t="str">
        <f t="shared" si="1"/>
        <v/>
      </c>
      <c r="U51" s="151"/>
      <c r="V51" s="151" t="str">
        <f t="shared" si="2"/>
        <v/>
      </c>
      <c r="W51" s="151" t="str">
        <f t="shared" si="3"/>
        <v/>
      </c>
      <c r="X51" s="151" t="str">
        <f t="shared" si="4"/>
        <v/>
      </c>
      <c r="Y51" s="6">
        <v>3</v>
      </c>
      <c r="Z51" s="142"/>
      <c r="AA51" s="154" t="str">
        <f>IF(OR(AB51="Preventivo",AB51="Detectivo"),"Probabilidad",IF(AB51="Correctivo","Impacto",""))</f>
        <v/>
      </c>
      <c r="AB51" s="155"/>
      <c r="AC51" s="155"/>
      <c r="AD51" s="156" t="str">
        <f t="shared" si="58"/>
        <v/>
      </c>
      <c r="AE51" s="155"/>
      <c r="AF51" s="155"/>
      <c r="AG51" s="155"/>
      <c r="AH51" s="157" t="str">
        <f>IFERROR(IF(AND(AA50="Probabilidad",AA51="Probabilidad"),(AJ50-(+AJ50*AD51)),IF(AND(AA50="Impacto",AA51="Probabilidad"),(AJ49-(+AJ49*AD51)),IF(AA51="Impacto",AJ50,""))),"")</f>
        <v/>
      </c>
      <c r="AI51" s="158" t="str">
        <f t="shared" si="10"/>
        <v/>
      </c>
      <c r="AJ51" s="159" t="str">
        <f t="shared" si="59"/>
        <v/>
      </c>
      <c r="AK51" s="158" t="str">
        <f t="shared" si="12"/>
        <v/>
      </c>
      <c r="AL51" s="159" t="str">
        <f>IFERROR(IF(AND(AA50="Impacto",AA51="Impacto"),(AL50-(+AL50*AD51)),IF(AND(AA50="Probabilidad",AA51="Impacto"),(AL49-(+AL49*AD51)),IF(AA51="Probabilidad",AL50,""))),"")</f>
        <v/>
      </c>
      <c r="AM51" s="160" t="str">
        <f t="shared" si="60"/>
        <v/>
      </c>
      <c r="AN51" s="161"/>
      <c r="AO51" s="120"/>
      <c r="AP51" s="120"/>
      <c r="AQ51" s="120"/>
      <c r="AR51" s="120"/>
      <c r="AS51" s="120"/>
      <c r="AT51" s="120"/>
      <c r="AU51" s="121"/>
      <c r="AV51" s="122"/>
      <c r="AW51" s="123"/>
      <c r="AX51" s="123"/>
      <c r="AY51" s="121"/>
      <c r="AZ51" s="122"/>
    </row>
    <row r="52" spans="1:84" ht="151.5" customHeight="1" x14ac:dyDescent="0.3">
      <c r="A52" s="260"/>
      <c r="B52" s="125"/>
      <c r="C52" s="262"/>
      <c r="D52" s="128"/>
      <c r="E52" s="262"/>
      <c r="F52" s="262"/>
      <c r="G52" s="266"/>
      <c r="H52" s="131"/>
      <c r="I52" s="131"/>
      <c r="J52" s="262"/>
      <c r="K52" s="272"/>
      <c r="L52" s="225"/>
      <c r="M52" s="227"/>
      <c r="N52" s="270"/>
      <c r="O52" s="227">
        <f>IF(NOT(ISERROR(MATCH(N52,_xlfn.ANCHORARRAY(G63),0))),M65&amp;"Por favor no seleccionar los criterios de impacto",N52)</f>
        <v>0</v>
      </c>
      <c r="P52" s="225"/>
      <c r="Q52" s="227"/>
      <c r="R52" s="268"/>
      <c r="S52" s="151"/>
      <c r="T52" s="151" t="str">
        <f t="shared" si="1"/>
        <v/>
      </c>
      <c r="U52" s="151"/>
      <c r="V52" s="151" t="str">
        <f t="shared" si="2"/>
        <v/>
      </c>
      <c r="W52" s="151" t="str">
        <f t="shared" si="3"/>
        <v/>
      </c>
      <c r="X52" s="151" t="str">
        <f t="shared" si="4"/>
        <v/>
      </c>
      <c r="Y52" s="6">
        <v>4</v>
      </c>
      <c r="Z52" s="153"/>
      <c r="AA52" s="154" t="str">
        <f t="shared" ref="AA52:AA54" si="61">IF(OR(AB52="Preventivo",AB52="Detectivo"),"Probabilidad",IF(AB52="Correctivo","Impacto",""))</f>
        <v/>
      </c>
      <c r="AB52" s="155"/>
      <c r="AC52" s="155"/>
      <c r="AD52" s="156" t="str">
        <f t="shared" si="58"/>
        <v/>
      </c>
      <c r="AE52" s="155"/>
      <c r="AF52" s="155"/>
      <c r="AG52" s="155"/>
      <c r="AH52" s="157" t="str">
        <f t="shared" ref="AH52:AH54" si="62">IFERROR(IF(AND(AA51="Probabilidad",AA52="Probabilidad"),(AJ51-(+AJ51*AD52)),IF(AND(AA51="Impacto",AA52="Probabilidad"),(AJ50-(+AJ50*AD52)),IF(AA52="Impacto",AJ51,""))),"")</f>
        <v/>
      </c>
      <c r="AI52" s="158" t="str">
        <f t="shared" si="10"/>
        <v/>
      </c>
      <c r="AJ52" s="159" t="str">
        <f t="shared" si="59"/>
        <v/>
      </c>
      <c r="AK52" s="158" t="str">
        <f t="shared" si="12"/>
        <v/>
      </c>
      <c r="AL52" s="159" t="str">
        <f t="shared" ref="AL52:AL54" si="63">IFERROR(IF(AND(AA51="Impacto",AA52="Impacto"),(AL51-(+AL51*AD52)),IF(AND(AA51="Probabilidad",AA52="Impacto"),(AL50-(+AL50*AD52)),IF(AA52="Probabilidad",AL51,""))),"")</f>
        <v/>
      </c>
      <c r="AM52" s="160" t="str">
        <f>IFERROR(IF(OR(AND(AI52="Muy Baja",AK52="Leve"),AND(AI52="Muy Baja",AK52="Menor"),AND(AI52="Baja",AK52="Leve")),"Bajo",IF(OR(AND(AI52="Muy baja",AK52="Moderado"),AND(AI52="Baja",AK52="Menor"),AND(AI52="Baja",AK52="Moderado"),AND(AI52="Media",AK52="Leve"),AND(AI52="Media",AK52="Menor"),AND(AI52="Media",AK52="Moderado"),AND(AI52="Alta",AK52="Leve"),AND(AI52="Alta",AK52="Menor")),"Moderado",IF(OR(AND(AI52="Muy Baja",AK52="Mayor"),AND(AI52="Baja",AK52="Mayor"),AND(AI52="Media",AK52="Mayor"),AND(AI52="Alta",AK52="Moderado"),AND(AI52="Alta",AK52="Mayor"),AND(AI52="Muy Alta",AK52="Leve"),AND(AI52="Muy Alta",AK52="Menor"),AND(AI52="Muy Alta",AK52="Moderado"),AND(AI52="Muy Alta",AK52="Mayor")),"Alto",IF(OR(AND(AI52="Muy Baja",AK52="Catastrófico"),AND(AI52="Baja",AK52="Catastrófico"),AND(AI52="Media",AK52="Catastrófico"),AND(AI52="Alta",AK52="Catastrófico"),AND(AI52="Muy Alta",AK52="Catastrófico")),"Extremo","")))),"")</f>
        <v/>
      </c>
      <c r="AN52" s="161"/>
      <c r="AO52" s="120"/>
      <c r="AP52" s="120"/>
      <c r="AQ52" s="120"/>
      <c r="AR52" s="120"/>
      <c r="AS52" s="120"/>
      <c r="AT52" s="120"/>
      <c r="AU52" s="121"/>
      <c r="AV52" s="122"/>
      <c r="AW52" s="123"/>
      <c r="AX52" s="123"/>
      <c r="AY52" s="121"/>
      <c r="AZ52" s="122"/>
    </row>
    <row r="53" spans="1:84" ht="151.5" customHeight="1" x14ac:dyDescent="0.3">
      <c r="A53" s="260"/>
      <c r="B53" s="125"/>
      <c r="C53" s="262"/>
      <c r="D53" s="128"/>
      <c r="E53" s="262"/>
      <c r="F53" s="262"/>
      <c r="G53" s="266"/>
      <c r="H53" s="131"/>
      <c r="I53" s="131"/>
      <c r="J53" s="262"/>
      <c r="K53" s="272"/>
      <c r="L53" s="225"/>
      <c r="M53" s="227"/>
      <c r="N53" s="270"/>
      <c r="O53" s="227">
        <f>IF(NOT(ISERROR(MATCH(N53,_xlfn.ANCHORARRAY(G64),0))),M66&amp;"Por favor no seleccionar los criterios de impacto",N53)</f>
        <v>0</v>
      </c>
      <c r="P53" s="225"/>
      <c r="Q53" s="227"/>
      <c r="R53" s="268"/>
      <c r="S53" s="151"/>
      <c r="T53" s="151" t="str">
        <f t="shared" si="1"/>
        <v/>
      </c>
      <c r="U53" s="151"/>
      <c r="V53" s="151" t="str">
        <f t="shared" si="2"/>
        <v/>
      </c>
      <c r="W53" s="151" t="str">
        <f t="shared" si="3"/>
        <v/>
      </c>
      <c r="X53" s="151" t="str">
        <f t="shared" si="4"/>
        <v/>
      </c>
      <c r="Y53" s="6">
        <v>5</v>
      </c>
      <c r="Z53" s="153"/>
      <c r="AA53" s="154" t="str">
        <f t="shared" si="61"/>
        <v/>
      </c>
      <c r="AB53" s="155"/>
      <c r="AC53" s="155"/>
      <c r="AD53" s="156" t="str">
        <f t="shared" si="58"/>
        <v/>
      </c>
      <c r="AE53" s="155"/>
      <c r="AF53" s="155"/>
      <c r="AG53" s="155"/>
      <c r="AH53" s="157" t="str">
        <f t="shared" si="62"/>
        <v/>
      </c>
      <c r="AI53" s="158" t="str">
        <f t="shared" si="10"/>
        <v/>
      </c>
      <c r="AJ53" s="159" t="str">
        <f t="shared" si="59"/>
        <v/>
      </c>
      <c r="AK53" s="158" t="str">
        <f t="shared" si="12"/>
        <v/>
      </c>
      <c r="AL53" s="159" t="str">
        <f t="shared" si="63"/>
        <v/>
      </c>
      <c r="AM53" s="160" t="str">
        <f t="shared" ref="AM53:AM54" si="64">IFERROR(IF(OR(AND(AI53="Muy Baja",AK53="Leve"),AND(AI53="Muy Baja",AK53="Menor"),AND(AI53="Baja",AK53="Leve")),"Bajo",IF(OR(AND(AI53="Muy baja",AK53="Moderado"),AND(AI53="Baja",AK53="Menor"),AND(AI53="Baja",AK53="Moderado"),AND(AI53="Media",AK53="Leve"),AND(AI53="Media",AK53="Menor"),AND(AI53="Media",AK53="Moderado"),AND(AI53="Alta",AK53="Leve"),AND(AI53="Alta",AK53="Menor")),"Moderado",IF(OR(AND(AI53="Muy Baja",AK53="Mayor"),AND(AI53="Baja",AK53="Mayor"),AND(AI53="Media",AK53="Mayor"),AND(AI53="Alta",AK53="Moderado"),AND(AI53="Alta",AK53="Mayor"),AND(AI53="Muy Alta",AK53="Leve"),AND(AI53="Muy Alta",AK53="Menor"),AND(AI53="Muy Alta",AK53="Moderado"),AND(AI53="Muy Alta",AK53="Mayor")),"Alto",IF(OR(AND(AI53="Muy Baja",AK53="Catastrófico"),AND(AI53="Baja",AK53="Catastrófico"),AND(AI53="Media",AK53="Catastrófico"),AND(AI53="Alta",AK53="Catastrófico"),AND(AI53="Muy Alta",AK53="Catastrófico")),"Extremo","")))),"")</f>
        <v/>
      </c>
      <c r="AN53" s="161"/>
      <c r="AO53" s="120"/>
      <c r="AP53" s="120"/>
      <c r="AQ53" s="120"/>
      <c r="AR53" s="120"/>
      <c r="AS53" s="120"/>
      <c r="AT53" s="120"/>
      <c r="AU53" s="121"/>
      <c r="AV53" s="122"/>
      <c r="AW53" s="123"/>
      <c r="AX53" s="123"/>
      <c r="AY53" s="121"/>
      <c r="AZ53" s="122"/>
    </row>
    <row r="54" spans="1:84" ht="151.5" customHeight="1" x14ac:dyDescent="0.3">
      <c r="A54" s="274"/>
      <c r="B54" s="126"/>
      <c r="C54" s="275"/>
      <c r="D54" s="129"/>
      <c r="E54" s="275"/>
      <c r="F54" s="275"/>
      <c r="G54" s="273"/>
      <c r="H54" s="132"/>
      <c r="I54" s="132"/>
      <c r="J54" s="275"/>
      <c r="K54" s="280"/>
      <c r="L54" s="279"/>
      <c r="M54" s="276"/>
      <c r="N54" s="278"/>
      <c r="O54" s="276">
        <f>IF(NOT(ISERROR(MATCH(N54,_xlfn.ANCHORARRAY(G65),0))),M67&amp;"Por favor no seleccionar los criterios de impacto",N54)</f>
        <v>0</v>
      </c>
      <c r="P54" s="279"/>
      <c r="Q54" s="276"/>
      <c r="R54" s="277"/>
      <c r="S54" s="151"/>
      <c r="T54" s="151" t="str">
        <f t="shared" si="1"/>
        <v/>
      </c>
      <c r="U54" s="151"/>
      <c r="V54" s="151" t="str">
        <f t="shared" si="2"/>
        <v/>
      </c>
      <c r="W54" s="151" t="str">
        <f t="shared" si="3"/>
        <v/>
      </c>
      <c r="X54" s="151" t="str">
        <f t="shared" si="4"/>
        <v/>
      </c>
      <c r="Y54" s="6">
        <v>6</v>
      </c>
      <c r="Z54" s="153"/>
      <c r="AA54" s="154" t="str">
        <f t="shared" si="61"/>
        <v/>
      </c>
      <c r="AB54" s="155"/>
      <c r="AC54" s="155"/>
      <c r="AD54" s="156" t="str">
        <f t="shared" si="58"/>
        <v/>
      </c>
      <c r="AE54" s="155"/>
      <c r="AF54" s="155"/>
      <c r="AG54" s="155"/>
      <c r="AH54" s="157" t="str">
        <f t="shared" si="62"/>
        <v/>
      </c>
      <c r="AI54" s="158" t="str">
        <f t="shared" si="10"/>
        <v/>
      </c>
      <c r="AJ54" s="159" t="str">
        <f t="shared" si="59"/>
        <v/>
      </c>
      <c r="AK54" s="158" t="str">
        <f t="shared" si="12"/>
        <v/>
      </c>
      <c r="AL54" s="159" t="str">
        <f t="shared" si="63"/>
        <v/>
      </c>
      <c r="AM54" s="160" t="str">
        <f t="shared" si="64"/>
        <v/>
      </c>
      <c r="AN54" s="161"/>
      <c r="AO54" s="120"/>
      <c r="AP54" s="120"/>
      <c r="AQ54" s="120"/>
      <c r="AR54" s="120"/>
      <c r="AS54" s="120"/>
      <c r="AT54" s="120"/>
      <c r="AU54" s="121"/>
      <c r="AV54" s="122"/>
      <c r="AW54" s="123"/>
      <c r="AX54" s="123"/>
      <c r="AY54" s="121"/>
      <c r="AZ54" s="122"/>
    </row>
    <row r="55" spans="1:84" ht="49.5" customHeight="1" x14ac:dyDescent="0.3">
      <c r="A55" s="6"/>
      <c r="B55" s="137"/>
      <c r="C55" s="283" t="s">
        <v>134</v>
      </c>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c r="AL55" s="284"/>
      <c r="AM55" s="284"/>
      <c r="AN55" s="284"/>
      <c r="AO55" s="284"/>
      <c r="AP55" s="284"/>
      <c r="AQ55" s="284"/>
      <c r="AR55" s="284"/>
      <c r="AS55" s="284"/>
      <c r="AT55" s="284"/>
      <c r="AU55" s="284"/>
      <c r="AV55" s="284"/>
      <c r="AW55" s="284"/>
      <c r="AX55" s="284"/>
      <c r="AY55" s="284"/>
      <c r="AZ55" s="285"/>
    </row>
    <row r="57" spans="1:84" x14ac:dyDescent="0.3">
      <c r="A57" s="1"/>
      <c r="B57" s="1"/>
      <c r="C57" s="24" t="s">
        <v>135</v>
      </c>
      <c r="D57" s="24"/>
      <c r="E57" s="1"/>
      <c r="F57" s="1"/>
      <c r="J57" s="1"/>
    </row>
  </sheetData>
  <dataConsolidate/>
  <mergeCells count="186">
    <mergeCell ref="D5:R5"/>
    <mergeCell ref="D6:R6"/>
    <mergeCell ref="D7:R7"/>
    <mergeCell ref="A1:E4"/>
    <mergeCell ref="F1:M4"/>
    <mergeCell ref="N1:R1"/>
    <mergeCell ref="N2:R2"/>
    <mergeCell ref="N3:R3"/>
    <mergeCell ref="N4:R4"/>
    <mergeCell ref="A5:C5"/>
    <mergeCell ref="A6:C6"/>
    <mergeCell ref="A7:C7"/>
    <mergeCell ref="L8:R8"/>
    <mergeCell ref="Y8:AG8"/>
    <mergeCell ref="AH8:AN8"/>
    <mergeCell ref="AU8:AZ8"/>
    <mergeCell ref="C55:AZ55"/>
    <mergeCell ref="Q43:Q48"/>
    <mergeCell ref="R43:R48"/>
    <mergeCell ref="A49:A54"/>
    <mergeCell ref="C49:C54"/>
    <mergeCell ref="E49:E54"/>
    <mergeCell ref="F49:F54"/>
    <mergeCell ref="G49:G54"/>
    <mergeCell ref="J49:J54"/>
    <mergeCell ref="K49:K54"/>
    <mergeCell ref="L49:L54"/>
    <mergeCell ref="M49:M54"/>
    <mergeCell ref="N49:N54"/>
    <mergeCell ref="O49:O54"/>
    <mergeCell ref="P49:P54"/>
    <mergeCell ref="Q49:Q54"/>
    <mergeCell ref="R49:R54"/>
    <mergeCell ref="N43:N48"/>
    <mergeCell ref="O37:O42"/>
    <mergeCell ref="P37:P42"/>
    <mergeCell ref="Q37:Q42"/>
    <mergeCell ref="R37:R42"/>
    <mergeCell ref="O43:O48"/>
    <mergeCell ref="P43:P48"/>
    <mergeCell ref="A43:A48"/>
    <mergeCell ref="C43:C48"/>
    <mergeCell ref="E43:E48"/>
    <mergeCell ref="F43:F48"/>
    <mergeCell ref="G43:G48"/>
    <mergeCell ref="J43:J48"/>
    <mergeCell ref="K43:K48"/>
    <mergeCell ref="L43:L48"/>
    <mergeCell ref="M43:M48"/>
    <mergeCell ref="J37:J42"/>
    <mergeCell ref="K37:K42"/>
    <mergeCell ref="L37:L42"/>
    <mergeCell ref="M37:M42"/>
    <mergeCell ref="N37:N42"/>
    <mergeCell ref="A37:A42"/>
    <mergeCell ref="C37:C42"/>
    <mergeCell ref="E37:E42"/>
    <mergeCell ref="F37:F42"/>
    <mergeCell ref="G37:G42"/>
    <mergeCell ref="Q25:Q30"/>
    <mergeCell ref="R25:R30"/>
    <mergeCell ref="N31:N36"/>
    <mergeCell ref="O31:O36"/>
    <mergeCell ref="P31:P36"/>
    <mergeCell ref="P25:P30"/>
    <mergeCell ref="Q31:Q36"/>
    <mergeCell ref="R31:R36"/>
    <mergeCell ref="J31:J36"/>
    <mergeCell ref="K31:K36"/>
    <mergeCell ref="L31:L36"/>
    <mergeCell ref="M31:M36"/>
    <mergeCell ref="N25:N30"/>
    <mergeCell ref="O25:O30"/>
    <mergeCell ref="K25:K30"/>
    <mergeCell ref="L25:L30"/>
    <mergeCell ref="M25:M30"/>
    <mergeCell ref="J25:J30"/>
    <mergeCell ref="A31:A36"/>
    <mergeCell ref="C31:C36"/>
    <mergeCell ref="E31:E36"/>
    <mergeCell ref="F31:F36"/>
    <mergeCell ref="G31:G36"/>
    <mergeCell ref="I16:I18"/>
    <mergeCell ref="F14:F15"/>
    <mergeCell ref="A19:A24"/>
    <mergeCell ref="A25:A30"/>
    <mergeCell ref="C25:C30"/>
    <mergeCell ref="E25:E30"/>
    <mergeCell ref="F25:F30"/>
    <mergeCell ref="G25:G30"/>
    <mergeCell ref="G14:G15"/>
    <mergeCell ref="R14:R15"/>
    <mergeCell ref="A16:A18"/>
    <mergeCell ref="C16:C18"/>
    <mergeCell ref="E16:E18"/>
    <mergeCell ref="F16:F18"/>
    <mergeCell ref="G16:G18"/>
    <mergeCell ref="J16:J18"/>
    <mergeCell ref="K16:K18"/>
    <mergeCell ref="L16:L18"/>
    <mergeCell ref="M16:M18"/>
    <mergeCell ref="N16:N18"/>
    <mergeCell ref="O16:O18"/>
    <mergeCell ref="P16:P18"/>
    <mergeCell ref="Q16:Q18"/>
    <mergeCell ref="R16:R18"/>
    <mergeCell ref="I14:I15"/>
    <mergeCell ref="H14:H15"/>
    <mergeCell ref="A14:A15"/>
    <mergeCell ref="C14:C15"/>
    <mergeCell ref="E14:E15"/>
    <mergeCell ref="H16:H18"/>
    <mergeCell ref="J14:J15"/>
    <mergeCell ref="K14:K15"/>
    <mergeCell ref="AU9:AU10"/>
    <mergeCell ref="AZ9:AZ10"/>
    <mergeCell ref="AY9:AY10"/>
    <mergeCell ref="AX9:AX10"/>
    <mergeCell ref="AW9:AW10"/>
    <mergeCell ref="AV9:AV10"/>
    <mergeCell ref="A12:A13"/>
    <mergeCell ref="C12:C13"/>
    <mergeCell ref="E12:E13"/>
    <mergeCell ref="B11:B19"/>
    <mergeCell ref="F12:F13"/>
    <mergeCell ref="G12:G13"/>
    <mergeCell ref="O12:O13"/>
    <mergeCell ref="P12:P13"/>
    <mergeCell ref="Q12:Q13"/>
    <mergeCell ref="R12:R13"/>
    <mergeCell ref="N14:N15"/>
    <mergeCell ref="O14:O15"/>
    <mergeCell ref="P14:P15"/>
    <mergeCell ref="J12:J13"/>
    <mergeCell ref="K12:K13"/>
    <mergeCell ref="L12:L13"/>
    <mergeCell ref="M12:M13"/>
    <mergeCell ref="N12:N13"/>
    <mergeCell ref="Y5:AA5"/>
    <mergeCell ref="A8:K8"/>
    <mergeCell ref="K9:K10"/>
    <mergeCell ref="L9:L10"/>
    <mergeCell ref="M9:M10"/>
    <mergeCell ref="P9:P10"/>
    <mergeCell ref="Q9:Q10"/>
    <mergeCell ref="C9:C10"/>
    <mergeCell ref="R9:R10"/>
    <mergeCell ref="N9:N10"/>
    <mergeCell ref="O9:O10"/>
    <mergeCell ref="H9:H10"/>
    <mergeCell ref="I9:I10"/>
    <mergeCell ref="S8:X8"/>
    <mergeCell ref="S9:V9"/>
    <mergeCell ref="W9:X9"/>
    <mergeCell ref="S10:T10"/>
    <mergeCell ref="U10:V10"/>
    <mergeCell ref="A9:A10"/>
    <mergeCell ref="J9:J10"/>
    <mergeCell ref="G9:G10"/>
    <mergeCell ref="F9:F10"/>
    <mergeCell ref="E9:E10"/>
    <mergeCell ref="Y9:Y10"/>
    <mergeCell ref="L14:L15"/>
    <mergeCell ref="M14:M15"/>
    <mergeCell ref="AO8:AT8"/>
    <mergeCell ref="AO9:AR9"/>
    <mergeCell ref="AS9:AT9"/>
    <mergeCell ref="AO10:AP10"/>
    <mergeCell ref="AQ10:AR10"/>
    <mergeCell ref="AJ9:AJ10"/>
    <mergeCell ref="AA9:AA10"/>
    <mergeCell ref="AB9:AG9"/>
    <mergeCell ref="S14:S15"/>
    <mergeCell ref="T14:T15"/>
    <mergeCell ref="U14:U15"/>
    <mergeCell ref="V14:V15"/>
    <mergeCell ref="W14:W15"/>
    <mergeCell ref="X14:X15"/>
    <mergeCell ref="AN9:AN10"/>
    <mergeCell ref="AM9:AM10"/>
    <mergeCell ref="AL9:AL10"/>
    <mergeCell ref="AH9:AH10"/>
    <mergeCell ref="Z9:Z10"/>
    <mergeCell ref="AK9:AK10"/>
    <mergeCell ref="AI9:AI10"/>
    <mergeCell ref="Q14:Q15"/>
  </mergeCells>
  <conditionalFormatting sqref="L11:L12 AI11:AI54">
    <cfRule type="cellIs" dxfId="90" priority="331" operator="equal">
      <formula>"Muy Baja"</formula>
    </cfRule>
    <cfRule type="cellIs" dxfId="89" priority="330" operator="equal">
      <formula>"Baja"</formula>
    </cfRule>
    <cfRule type="cellIs" dxfId="88" priority="329" operator="equal">
      <formula>"Media"</formula>
    </cfRule>
    <cfRule type="cellIs" dxfId="87" priority="328" operator="equal">
      <formula>"Alta"</formula>
    </cfRule>
    <cfRule type="cellIs" dxfId="86" priority="327" operator="equal">
      <formula>"Muy Alta"</formula>
    </cfRule>
  </conditionalFormatting>
  <conditionalFormatting sqref="L14">
    <cfRule type="cellIs" dxfId="85" priority="229" operator="equal">
      <formula>"Muy Alta"</formula>
    </cfRule>
    <cfRule type="cellIs" dxfId="84" priority="233" operator="equal">
      <formula>"Muy Baja"</formula>
    </cfRule>
    <cfRule type="cellIs" dxfId="83" priority="232" operator="equal">
      <formula>"Baja"</formula>
    </cfRule>
    <cfRule type="cellIs" dxfId="82" priority="231" operator="equal">
      <formula>"Media"</formula>
    </cfRule>
    <cfRule type="cellIs" dxfId="81" priority="230" operator="equal">
      <formula>"Alta"</formula>
    </cfRule>
  </conditionalFormatting>
  <conditionalFormatting sqref="L16">
    <cfRule type="cellIs" dxfId="80" priority="205" operator="equal">
      <formula>"Muy Baja"</formula>
    </cfRule>
    <cfRule type="cellIs" dxfId="79" priority="204" operator="equal">
      <formula>"Baja"</formula>
    </cfRule>
    <cfRule type="cellIs" dxfId="78" priority="203" operator="equal">
      <formula>"Media"</formula>
    </cfRule>
    <cfRule type="cellIs" dxfId="77" priority="202" operator="equal">
      <formula>"Alta"</formula>
    </cfRule>
    <cfRule type="cellIs" dxfId="76" priority="201" operator="equal">
      <formula>"Muy Alta"</formula>
    </cfRule>
  </conditionalFormatting>
  <conditionalFormatting sqref="L19">
    <cfRule type="cellIs" dxfId="75" priority="177" operator="equal">
      <formula>"Muy Baja"</formula>
    </cfRule>
    <cfRule type="cellIs" dxfId="74" priority="176" operator="equal">
      <formula>"Baja"</formula>
    </cfRule>
    <cfRule type="cellIs" dxfId="73" priority="175" operator="equal">
      <formula>"Media"</formula>
    </cfRule>
    <cfRule type="cellIs" dxfId="72" priority="174" operator="equal">
      <formula>"Alta"</formula>
    </cfRule>
    <cfRule type="cellIs" dxfId="71" priority="173" operator="equal">
      <formula>"Muy Alta"</formula>
    </cfRule>
  </conditionalFormatting>
  <conditionalFormatting sqref="L25">
    <cfRule type="cellIs" dxfId="70" priority="145" operator="equal">
      <formula>"Muy Alta"</formula>
    </cfRule>
    <cfRule type="cellIs" dxfId="69" priority="146" operator="equal">
      <formula>"Alta"</formula>
    </cfRule>
    <cfRule type="cellIs" dxfId="68" priority="149" operator="equal">
      <formula>"Muy Baja"</formula>
    </cfRule>
    <cfRule type="cellIs" dxfId="67" priority="147" operator="equal">
      <formula>"Media"</formula>
    </cfRule>
    <cfRule type="cellIs" dxfId="66" priority="148" operator="equal">
      <formula>"Baja"</formula>
    </cfRule>
  </conditionalFormatting>
  <conditionalFormatting sqref="L31">
    <cfRule type="cellIs" dxfId="65" priority="119" operator="equal">
      <formula>"Media"</formula>
    </cfRule>
    <cfRule type="cellIs" dxfId="64" priority="117" operator="equal">
      <formula>"Muy Alta"</formula>
    </cfRule>
    <cfRule type="cellIs" dxfId="63" priority="118" operator="equal">
      <formula>"Alta"</formula>
    </cfRule>
    <cfRule type="cellIs" dxfId="62" priority="120" operator="equal">
      <formula>"Baja"</formula>
    </cfRule>
    <cfRule type="cellIs" dxfId="61" priority="121" operator="equal">
      <formula>"Muy Baja"</formula>
    </cfRule>
  </conditionalFormatting>
  <conditionalFormatting sqref="L37">
    <cfRule type="cellIs" dxfId="60" priority="89" operator="equal">
      <formula>"Muy Alta"</formula>
    </cfRule>
    <cfRule type="cellIs" dxfId="59" priority="90" operator="equal">
      <formula>"Alta"</formula>
    </cfRule>
    <cfRule type="cellIs" dxfId="58" priority="91" operator="equal">
      <formula>"Media"</formula>
    </cfRule>
    <cfRule type="cellIs" dxfId="57" priority="92" operator="equal">
      <formula>"Baja"</formula>
    </cfRule>
    <cfRule type="cellIs" dxfId="56" priority="93" operator="equal">
      <formula>"Muy Baja"</formula>
    </cfRule>
  </conditionalFormatting>
  <conditionalFormatting sqref="L43">
    <cfRule type="cellIs" dxfId="55" priority="62" operator="equal">
      <formula>"Alta"</formula>
    </cfRule>
    <cfRule type="cellIs" dxfId="54" priority="61" operator="equal">
      <formula>"Muy Alta"</formula>
    </cfRule>
    <cfRule type="cellIs" dxfId="53" priority="63" operator="equal">
      <formula>"Media"</formula>
    </cfRule>
    <cfRule type="cellIs" dxfId="52" priority="64" operator="equal">
      <formula>"Baja"</formula>
    </cfRule>
    <cfRule type="cellIs" dxfId="51" priority="65" operator="equal">
      <formula>"Muy Baja"</formula>
    </cfRule>
  </conditionalFormatting>
  <conditionalFormatting sqref="L49">
    <cfRule type="cellIs" dxfId="50" priority="33" operator="equal">
      <formula>"Muy Alta"</formula>
    </cfRule>
    <cfRule type="cellIs" dxfId="49" priority="34" operator="equal">
      <formula>"Alta"</formula>
    </cfRule>
    <cfRule type="cellIs" dxfId="48" priority="35" operator="equal">
      <formula>"Media"</formula>
    </cfRule>
    <cfRule type="cellIs" dxfId="47" priority="36" operator="equal">
      <formula>"Baja"</formula>
    </cfRule>
    <cfRule type="cellIs" dxfId="46" priority="37" operator="equal">
      <formula>"Muy Baja"</formula>
    </cfRule>
  </conditionalFormatting>
  <conditionalFormatting sqref="O11:O54">
    <cfRule type="containsText" dxfId="45" priority="9" operator="containsText" text="❌">
      <formula>NOT(ISERROR(SEARCH("❌",O11)))</formula>
    </cfRule>
  </conditionalFormatting>
  <conditionalFormatting sqref="P11:P12 AK11:AK54 P14 P16 P19 P25 P31 P37 P43 P49">
    <cfRule type="cellIs" dxfId="44" priority="325" operator="equal">
      <formula>"Menor"</formula>
    </cfRule>
    <cfRule type="cellIs" dxfId="43" priority="323" operator="equal">
      <formula>"Mayor"</formula>
    </cfRule>
    <cfRule type="cellIs" dxfId="42" priority="322" operator="equal">
      <formula>"Catastrófico"</formula>
    </cfRule>
    <cfRule type="cellIs" dxfId="41" priority="324" operator="equal">
      <formula>"Moderado"</formula>
    </cfRule>
    <cfRule type="cellIs" dxfId="40" priority="326" operator="equal">
      <formula>"Leve"</formula>
    </cfRule>
  </conditionalFormatting>
  <conditionalFormatting sqref="R11:R12">
    <cfRule type="cellIs" dxfId="39" priority="250" operator="equal">
      <formula>"Moderado"</formula>
    </cfRule>
    <cfRule type="cellIs" dxfId="38" priority="251" operator="equal">
      <formula>"Bajo"</formula>
    </cfRule>
    <cfRule type="cellIs" dxfId="37" priority="248" operator="equal">
      <formula>"Extremo"</formula>
    </cfRule>
    <cfRule type="cellIs" dxfId="36" priority="249" operator="equal">
      <formula>"Alto"</formula>
    </cfRule>
  </conditionalFormatting>
  <conditionalFormatting sqref="R16">
    <cfRule type="cellIs" dxfId="35" priority="192" operator="equal">
      <formula>"Extremo"</formula>
    </cfRule>
    <cfRule type="cellIs" dxfId="34" priority="195" operator="equal">
      <formula>"Bajo"</formula>
    </cfRule>
    <cfRule type="cellIs" dxfId="33" priority="194" operator="equal">
      <formula>"Moderado"</formula>
    </cfRule>
    <cfRule type="cellIs" dxfId="32" priority="193" operator="equal">
      <formula>"Alto"</formula>
    </cfRule>
  </conditionalFormatting>
  <conditionalFormatting sqref="R19">
    <cfRule type="cellIs" dxfId="31" priority="164" operator="equal">
      <formula>"Extremo"</formula>
    </cfRule>
    <cfRule type="cellIs" dxfId="30" priority="165" operator="equal">
      <formula>"Alto"</formula>
    </cfRule>
    <cfRule type="cellIs" dxfId="29" priority="167" operator="equal">
      <formula>"Bajo"</formula>
    </cfRule>
    <cfRule type="cellIs" dxfId="28" priority="166" operator="equal">
      <formula>"Moderado"</formula>
    </cfRule>
  </conditionalFormatting>
  <conditionalFormatting sqref="R25">
    <cfRule type="cellIs" dxfId="27" priority="136" operator="equal">
      <formula>"Extremo"</formula>
    </cfRule>
    <cfRule type="cellIs" dxfId="26" priority="137" operator="equal">
      <formula>"Alto"</formula>
    </cfRule>
    <cfRule type="cellIs" dxfId="25" priority="138" operator="equal">
      <formula>"Moderado"</formula>
    </cfRule>
    <cfRule type="cellIs" dxfId="24" priority="139" operator="equal">
      <formula>"Bajo"</formula>
    </cfRule>
  </conditionalFormatting>
  <conditionalFormatting sqref="R31">
    <cfRule type="cellIs" dxfId="23" priority="108" operator="equal">
      <formula>"Extremo"</formula>
    </cfRule>
    <cfRule type="cellIs" dxfId="22" priority="111" operator="equal">
      <formula>"Bajo"</formula>
    </cfRule>
    <cfRule type="cellIs" dxfId="21" priority="110" operator="equal">
      <formula>"Moderado"</formula>
    </cfRule>
    <cfRule type="cellIs" dxfId="20" priority="109" operator="equal">
      <formula>"Alto"</formula>
    </cfRule>
  </conditionalFormatting>
  <conditionalFormatting sqref="R37">
    <cfRule type="cellIs" dxfId="19" priority="82" operator="equal">
      <formula>"Moderado"</formula>
    </cfRule>
    <cfRule type="cellIs" dxfId="18" priority="83" operator="equal">
      <formula>"Bajo"</formula>
    </cfRule>
    <cfRule type="cellIs" dxfId="17" priority="81" operator="equal">
      <formula>"Alto"</formula>
    </cfRule>
    <cfRule type="cellIs" dxfId="16" priority="80" operator="equal">
      <formula>"Extremo"</formula>
    </cfRule>
  </conditionalFormatting>
  <conditionalFormatting sqref="R43">
    <cfRule type="cellIs" dxfId="15" priority="53" operator="equal">
      <formula>"Alto"</formula>
    </cfRule>
    <cfRule type="cellIs" dxfId="14" priority="52" operator="equal">
      <formula>"Extremo"</formula>
    </cfRule>
    <cfRule type="cellIs" dxfId="13" priority="54" operator="equal">
      <formula>"Moderado"</formula>
    </cfRule>
    <cfRule type="cellIs" dxfId="12" priority="55" operator="equal">
      <formula>"Bajo"</formula>
    </cfRule>
  </conditionalFormatting>
  <conditionalFormatting sqref="R49">
    <cfRule type="cellIs" dxfId="11" priority="26" operator="equal">
      <formula>"Moderado"</formula>
    </cfRule>
    <cfRule type="cellIs" dxfId="10" priority="27" operator="equal">
      <formula>"Bajo"</formula>
    </cfRule>
    <cfRule type="cellIs" dxfId="9" priority="24" operator="equal">
      <formula>"Extremo"</formula>
    </cfRule>
    <cfRule type="cellIs" dxfId="8" priority="25" operator="equal">
      <formula>"Alto"</formula>
    </cfRule>
  </conditionalFormatting>
  <conditionalFormatting sqref="R14:X14">
    <cfRule type="cellIs" dxfId="7" priority="221" operator="equal">
      <formula>"Alto"</formula>
    </cfRule>
    <cfRule type="cellIs" dxfId="6" priority="220" operator="equal">
      <formula>"Extremo"</formula>
    </cfRule>
    <cfRule type="cellIs" dxfId="5" priority="223" operator="equal">
      <formula>"Bajo"</formula>
    </cfRule>
    <cfRule type="cellIs" dxfId="4" priority="222" operator="equal">
      <formula>"Moderado"</formula>
    </cfRule>
  </conditionalFormatting>
  <conditionalFormatting sqref="S11:X13 AO11:AT26 AM11:AM54 S16:X54">
    <cfRule type="cellIs" dxfId="3" priority="318" operator="equal">
      <formula>"Extremo"</formula>
    </cfRule>
    <cfRule type="cellIs" dxfId="2" priority="319" operator="equal">
      <formula>"Alto"</formula>
    </cfRule>
    <cfRule type="cellIs" dxfId="1" priority="321" operator="equal">
      <formula>"Bajo"</formula>
    </cfRule>
    <cfRule type="cellIs" dxfId="0" priority="320" operator="equal">
      <formula>"Moderado"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0000000}">
          <x14:formula1>
            <xm:f>'Opciones Tratamiento'!$B$9:$B$10</xm:f>
          </x14:formula1>
          <xm:sqref>AZ52:AZ53 AZ20 AZ13 AZ22:AZ23 AZ25:AZ26 AZ28:AZ29 AZ31:AZ32 AZ34:AZ35 AZ37:AZ38 AZ40:AZ41 AZ43:AZ44 AZ46:AZ47 AZ49:AZ50 AZ15:AZ17</xm:sqref>
        </x14:dataValidation>
        <x14:dataValidation type="custom" allowBlank="1" showInputMessage="1" showErrorMessage="1" error="Recuerde que las acciones se generan bajo la medida de mitigar el riesgo" xr:uid="{00000000-0002-0000-0100-000002000000}">
          <x14:formula1>
            <xm:f>IF(OR(AN25='Opciones Tratamiento'!$B$2,AN25='Opciones Tratamiento'!$B$3,AN25='Opciones Tratamiento'!$B$4),ISBLANK(AN25),ISTEXT(AN25))</xm:f>
          </x14:formula1>
          <xm:sqref>AU25:AU54</xm:sqref>
        </x14:dataValidation>
        <x14:dataValidation type="custom" allowBlank="1" showInputMessage="1" showErrorMessage="1" error="Recuerde que las acciones se generan bajo la medida de mitigar el riesgo" xr:uid="{00000000-0002-0000-0100-000003000000}">
          <x14:formula1>
            <xm:f>IF(OR(AN25='Opciones Tratamiento'!$B$2,AN25='Opciones Tratamiento'!$B$3,AN25='Opciones Tratamiento'!$B$4),ISBLANK(AN25),ISTEXT(AN25))</xm:f>
          </x14:formula1>
          <xm:sqref>AV25:AV54</xm:sqref>
        </x14:dataValidation>
        <x14:dataValidation type="custom" allowBlank="1" showInputMessage="1" showErrorMessage="1" error="Recuerde que las acciones se generan bajo la medida de mitigar el riesgo" xr:uid="{00000000-0002-0000-0100-000004000000}">
          <x14:formula1>
            <xm:f>IF(OR(AN25='Opciones Tratamiento'!$B$2,AN25='Opciones Tratamiento'!$B$3,AN25='Opciones Tratamiento'!$B$4),ISBLANK(AN25),ISTEXT(AN25))</xm:f>
          </x14:formula1>
          <xm:sqref>AW25:AW54</xm:sqref>
        </x14:dataValidation>
        <x14:dataValidation type="custom" allowBlank="1" showInputMessage="1" showErrorMessage="1" error="Recuerde que las acciones se generan bajo la medida de mitigar el riesgo" xr:uid="{00000000-0002-0000-0100-000005000000}">
          <x14:formula1>
            <xm:f>IF(OR(AN25='Opciones Tratamiento'!$B$2,AN25='Opciones Tratamiento'!$B$3,AN25='Opciones Tratamiento'!$B$4),ISBLANK(AN25),ISTEXT(AN25))</xm:f>
          </x14:formula1>
          <xm:sqref>AX25:AX54</xm:sqref>
        </x14:dataValidation>
        <x14:dataValidation type="custom" allowBlank="1" showInputMessage="1" showErrorMessage="1" error="Recuerde que las acciones se generan bajo la medida de mitigar el riesgo" xr:uid="{00000000-0002-0000-0100-000006000000}">
          <x14:formula1>
            <xm:f>IF(OR(AN25='Opciones Tratamiento'!$B$2,AN25='Opciones Tratamiento'!$B$3,AN25='Opciones Tratamiento'!$B$4),ISBLANK(AN25),ISTEXT(AN25))</xm:f>
          </x14:formula1>
          <xm:sqref>AY25:AY54</xm:sqref>
        </x14:dataValidation>
        <x14:dataValidation type="list" allowBlank="1" showInputMessage="1" showErrorMessage="1" xr:uid="{00000000-0002-0000-0100-00000D000000}">
          <x14:formula1>
            <xm:f>'Opciones Tratamiento'!$E$2:$E$4</xm:f>
          </x14:formula1>
          <xm:sqref>D23:D54 C11:C54</xm:sqref>
        </x14:dataValidation>
        <x14:dataValidation type="list" allowBlank="1" showInputMessage="1" showErrorMessage="1" xr:uid="{00000000-0002-0000-0100-000010000000}">
          <x14:formula1>
            <xm:f>'C:\Users\Planeacion-OCAD\Desktop\H -\Mapas de Riesgos\Matriz de Riesgos y Oportunidades_ para vigencia 2025\[2025_PCE_3_Mapa de Riesgos y Oportunidades_ Proceso Gestión y Mejora del Sistema.xlsx]Opciones Tratamiento'!#REF!</xm:f>
          </x14:formula1>
          <xm:sqref>AO27:AT54</xm:sqref>
        </x14:dataValidation>
        <x14:dataValidation type="list" allowBlank="1" showInputMessage="1" showErrorMessage="1" xr:uid="{00000000-0002-0000-0100-000007000000}">
          <x14:formula1>
            <xm:f>'Tabla Valoración controles'!$D$4:$D$6</xm:f>
          </x14:formula1>
          <xm:sqref>AB11:AB54</xm:sqref>
        </x14:dataValidation>
        <x14:dataValidation type="list" allowBlank="1" showInputMessage="1" showErrorMessage="1" xr:uid="{00000000-0002-0000-0100-000008000000}">
          <x14:formula1>
            <xm:f>'Tabla Valoración controles'!$D$7:$D$8</xm:f>
          </x14:formula1>
          <xm:sqref>AC11:AC54</xm:sqref>
        </x14:dataValidation>
        <x14:dataValidation type="list" allowBlank="1" showInputMessage="1" showErrorMessage="1" xr:uid="{00000000-0002-0000-0100-000009000000}">
          <x14:formula1>
            <xm:f>'Tabla Valoración controles'!$D$9:$D$10</xm:f>
          </x14:formula1>
          <xm:sqref>AE11:AE54</xm:sqref>
        </x14:dataValidation>
        <x14:dataValidation type="list" allowBlank="1" showInputMessage="1" showErrorMessage="1" xr:uid="{00000000-0002-0000-0100-00000A000000}">
          <x14:formula1>
            <xm:f>'Tabla Valoración controles'!$D$11:$D$12</xm:f>
          </x14:formula1>
          <xm:sqref>AF11:AF54</xm:sqref>
        </x14:dataValidation>
        <x14:dataValidation type="list" allowBlank="1" showInputMessage="1" showErrorMessage="1" xr:uid="{00000000-0002-0000-0100-00000B000000}">
          <x14:formula1>
            <xm:f>'Tabla Valoración controles'!$D$13:$D$14</xm:f>
          </x14:formula1>
          <xm:sqref>AG11:AG54</xm:sqref>
        </x14:dataValidation>
        <x14:dataValidation type="list" allowBlank="1" showInputMessage="1" showErrorMessage="1" xr:uid="{00000000-0002-0000-0100-00000C000000}">
          <x14:formula1>
            <xm:f>'Opciones Tratamiento'!$B$13:$B$19</xm:f>
          </x14:formula1>
          <xm:sqref>J11:J54</xm:sqref>
        </x14:dataValidation>
        <x14:dataValidation type="list" allowBlank="1" showInputMessage="1" showErrorMessage="1" xr:uid="{00000000-0002-0000-0100-00000E000000}">
          <x14:formula1>
            <xm:f>'Opciones Tratamiento'!$B$2:$B$5</xm:f>
          </x14:formula1>
          <xm:sqref>AN11:AN54</xm:sqref>
        </x14:dataValidation>
        <x14:dataValidation type="list" allowBlank="1" showInputMessage="1" showErrorMessage="1" xr:uid="{00000000-0002-0000-0100-00000F000000}">
          <x14:formula1>
            <xm:f>'Tabla Impacto'!$F$210:$F$221</xm:f>
          </x14:formula1>
          <xm:sqref>N11:N54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U140"/>
  <sheetViews>
    <sheetView zoomScale="50" zoomScaleNormal="50" workbookViewId="0">
      <selection activeCell="L12" sqref="L12:M13"/>
    </sheetView>
  </sheetViews>
  <sheetFormatPr baseColWidth="10" defaultColWidth="11.42578125" defaultRowHeight="15" x14ac:dyDescent="0.25"/>
  <cols>
    <col min="2" max="39" width="5.7109375" customWidth="1"/>
    <col min="41" max="46" width="5.7109375" customWidth="1"/>
  </cols>
  <sheetData>
    <row r="1" spans="1:99"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row>
    <row r="2" spans="1:99" ht="18" customHeight="1" x14ac:dyDescent="0.25">
      <c r="A2" s="80"/>
      <c r="B2" s="354" t="s">
        <v>136</v>
      </c>
      <c r="C2" s="354"/>
      <c r="D2" s="354"/>
      <c r="E2" s="354"/>
      <c r="F2" s="354"/>
      <c r="G2" s="354"/>
      <c r="H2" s="354"/>
      <c r="I2" s="354"/>
      <c r="J2" s="391" t="s">
        <v>15</v>
      </c>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c r="AL2" s="391"/>
      <c r="AM2" s="391"/>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row>
    <row r="3" spans="1:99" ht="18.75" customHeight="1" x14ac:dyDescent="0.25">
      <c r="A3" s="80"/>
      <c r="B3" s="354"/>
      <c r="C3" s="354"/>
      <c r="D3" s="354"/>
      <c r="E3" s="354"/>
      <c r="F3" s="354"/>
      <c r="G3" s="354"/>
      <c r="H3" s="354"/>
      <c r="I3" s="354"/>
      <c r="J3" s="391"/>
      <c r="K3" s="391"/>
      <c r="L3" s="391"/>
      <c r="M3" s="391"/>
      <c r="N3" s="391"/>
      <c r="O3" s="391"/>
      <c r="P3" s="391"/>
      <c r="Q3" s="391"/>
      <c r="R3" s="391"/>
      <c r="S3" s="391"/>
      <c r="T3" s="391"/>
      <c r="U3" s="391"/>
      <c r="V3" s="391"/>
      <c r="W3" s="391"/>
      <c r="X3" s="391"/>
      <c r="Y3" s="391"/>
      <c r="Z3" s="391"/>
      <c r="AA3" s="391"/>
      <c r="AB3" s="391"/>
      <c r="AC3" s="391"/>
      <c r="AD3" s="391"/>
      <c r="AE3" s="391"/>
      <c r="AF3" s="391"/>
      <c r="AG3" s="391"/>
      <c r="AH3" s="391"/>
      <c r="AI3" s="391"/>
      <c r="AJ3" s="391"/>
      <c r="AK3" s="391"/>
      <c r="AL3" s="391"/>
      <c r="AM3" s="391"/>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row>
    <row r="4" spans="1:99" ht="15" customHeight="1" x14ac:dyDescent="0.25">
      <c r="A4" s="80"/>
      <c r="B4" s="354"/>
      <c r="C4" s="354"/>
      <c r="D4" s="354"/>
      <c r="E4" s="354"/>
      <c r="F4" s="354"/>
      <c r="G4" s="354"/>
      <c r="H4" s="354"/>
      <c r="I4" s="354"/>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row>
    <row r="5" spans="1:99"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row>
    <row r="6" spans="1:99" ht="15" customHeight="1" x14ac:dyDescent="0.25">
      <c r="A6" s="80"/>
      <c r="B6" s="402" t="s">
        <v>137</v>
      </c>
      <c r="C6" s="402"/>
      <c r="D6" s="403"/>
      <c r="E6" s="392" t="s">
        <v>138</v>
      </c>
      <c r="F6" s="393"/>
      <c r="G6" s="393"/>
      <c r="H6" s="393"/>
      <c r="I6" s="394"/>
      <c r="J6" s="388" t="str">
        <f>IF(AND('Mapa final'!$L$11="Muy Alta",'Mapa final'!$P$11="Leve"),CONCATENATE("R",'Mapa final'!$A$11),"")</f>
        <v/>
      </c>
      <c r="K6" s="389"/>
      <c r="L6" s="389" t="str">
        <f>IF(AND('Mapa final'!$L$12="Muy Alta",'Mapa final'!$P$12="Leve"),CONCATENATE("R",'Mapa final'!$A$12),"")</f>
        <v/>
      </c>
      <c r="M6" s="389"/>
      <c r="N6" s="389" t="str">
        <f>IF(AND('Mapa final'!$L$14="Muy Alta",'Mapa final'!$P$14="Leve"),CONCATENATE("R",'Mapa final'!$A$14),"")</f>
        <v/>
      </c>
      <c r="O6" s="390"/>
      <c r="P6" s="388" t="str">
        <f>IF(AND('Mapa final'!$L$11="Muy Alta",'Mapa final'!$P$11="Menor"),CONCATENATE("R",'Mapa final'!$A$11),"")</f>
        <v/>
      </c>
      <c r="Q6" s="389"/>
      <c r="R6" s="389" t="str">
        <f>IF(AND('Mapa final'!$L$12="Muy Alta",'Mapa final'!$P$12="Menor"),CONCATENATE("R",'Mapa final'!$A$12),"")</f>
        <v/>
      </c>
      <c r="S6" s="389"/>
      <c r="T6" s="389" t="str">
        <f>IF(AND('Mapa final'!$L$14="Muy Alta",'Mapa final'!$P$14="Menor"),CONCATENATE("R",'Mapa final'!$A$14),"")</f>
        <v/>
      </c>
      <c r="U6" s="390"/>
      <c r="V6" s="388" t="str">
        <f>IF(AND('Mapa final'!$L$11="Muy Alta",'Mapa final'!$P$11="Moderado"),CONCATENATE("R",'Mapa final'!$A$11),"")</f>
        <v/>
      </c>
      <c r="W6" s="389"/>
      <c r="X6" s="389" t="str">
        <f>IF(AND('Mapa final'!$L$12="Muy Alta",'Mapa final'!$P$12="Moderado"),CONCATENATE("R",'Mapa final'!$A$12),"")</f>
        <v/>
      </c>
      <c r="Y6" s="389"/>
      <c r="Z6" s="389" t="str">
        <f>IF(AND('Mapa final'!$L$14="Muy Alta",'Mapa final'!$P$14="Moderado"),CONCATENATE("R",'Mapa final'!$A$14),"")</f>
        <v/>
      </c>
      <c r="AA6" s="390"/>
      <c r="AB6" s="388" t="str">
        <f>IF(AND('Mapa final'!$L$11="Muy Alta",'Mapa final'!$P$11="Mayor"),CONCATENATE("R",'Mapa final'!$A$11),"")</f>
        <v/>
      </c>
      <c r="AC6" s="389"/>
      <c r="AD6" s="389" t="str">
        <f>IF(AND('Mapa final'!$L$12="Muy Alta",'Mapa final'!$P$12="Mayor"),CONCATENATE("R",'Mapa final'!$A$12),"")</f>
        <v/>
      </c>
      <c r="AE6" s="389"/>
      <c r="AF6" s="389" t="str">
        <f>IF(AND('Mapa final'!$L$14="Muy Alta",'Mapa final'!$P$14="Mayor"),CONCATENATE("R",'Mapa final'!$A$14),"")</f>
        <v/>
      </c>
      <c r="AG6" s="390"/>
      <c r="AH6" s="379" t="str">
        <f>IF(AND('Mapa final'!$L$11="Muy Alta",'Mapa final'!$P$11="Catastrófico"),CONCATENATE("R",'Mapa final'!$A$11),"")</f>
        <v/>
      </c>
      <c r="AI6" s="380"/>
      <c r="AJ6" s="380" t="str">
        <f>IF(AND('Mapa final'!$L$12="Muy Alta",'Mapa final'!$P$12="Catastrófico"),CONCATENATE("R",'Mapa final'!$A$12),"")</f>
        <v/>
      </c>
      <c r="AK6" s="380"/>
      <c r="AL6" s="380" t="str">
        <f>IF(AND('Mapa final'!$L$14="Muy Alta",'Mapa final'!$P$14="Catastrófico"),CONCATENATE("R",'Mapa final'!$A$14),"")</f>
        <v/>
      </c>
      <c r="AM6" s="381"/>
      <c r="AO6" s="404" t="s">
        <v>139</v>
      </c>
      <c r="AP6" s="405"/>
      <c r="AQ6" s="405"/>
      <c r="AR6" s="405"/>
      <c r="AS6" s="405"/>
      <c r="AT6" s="406"/>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row>
    <row r="7" spans="1:99" ht="15" customHeight="1" x14ac:dyDescent="0.25">
      <c r="A7" s="80"/>
      <c r="B7" s="402"/>
      <c r="C7" s="402"/>
      <c r="D7" s="403"/>
      <c r="E7" s="395"/>
      <c r="F7" s="396"/>
      <c r="G7" s="396"/>
      <c r="H7" s="396"/>
      <c r="I7" s="397"/>
      <c r="J7" s="382"/>
      <c r="K7" s="383"/>
      <c r="L7" s="383"/>
      <c r="M7" s="383"/>
      <c r="N7" s="383"/>
      <c r="O7" s="384"/>
      <c r="P7" s="382"/>
      <c r="Q7" s="383"/>
      <c r="R7" s="383"/>
      <c r="S7" s="383"/>
      <c r="T7" s="383"/>
      <c r="U7" s="384"/>
      <c r="V7" s="382"/>
      <c r="W7" s="383"/>
      <c r="X7" s="383"/>
      <c r="Y7" s="383"/>
      <c r="Z7" s="383"/>
      <c r="AA7" s="384"/>
      <c r="AB7" s="382"/>
      <c r="AC7" s="383"/>
      <c r="AD7" s="383"/>
      <c r="AE7" s="383"/>
      <c r="AF7" s="383"/>
      <c r="AG7" s="384"/>
      <c r="AH7" s="373"/>
      <c r="AI7" s="374"/>
      <c r="AJ7" s="374"/>
      <c r="AK7" s="374"/>
      <c r="AL7" s="374"/>
      <c r="AM7" s="375"/>
      <c r="AN7" s="80"/>
      <c r="AO7" s="407"/>
      <c r="AP7" s="408"/>
      <c r="AQ7" s="408"/>
      <c r="AR7" s="408"/>
      <c r="AS7" s="408"/>
      <c r="AT7" s="409"/>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c r="BY7" s="80"/>
      <c r="BZ7" s="80"/>
      <c r="CA7" s="80"/>
      <c r="CB7" s="80"/>
    </row>
    <row r="8" spans="1:99" ht="15" customHeight="1" x14ac:dyDescent="0.25">
      <c r="A8" s="80"/>
      <c r="B8" s="402"/>
      <c r="C8" s="402"/>
      <c r="D8" s="403"/>
      <c r="E8" s="395"/>
      <c r="F8" s="396"/>
      <c r="G8" s="396"/>
      <c r="H8" s="396"/>
      <c r="I8" s="397"/>
      <c r="J8" s="382" t="str">
        <f>IF(AND('Mapa final'!$L$16="Muy Alta",'Mapa final'!$P$16="Leve"),CONCATENATE("R",'Mapa final'!$A$16),"")</f>
        <v/>
      </c>
      <c r="K8" s="383"/>
      <c r="L8" s="383" t="str">
        <f>IF(AND('Mapa final'!$L$19="Muy Alta",'Mapa final'!$P$19="Leve"),CONCATENATE("R",'Mapa final'!$A$19),"")</f>
        <v/>
      </c>
      <c r="M8" s="383"/>
      <c r="N8" s="383" t="str">
        <f>IF(AND('Mapa final'!$L$25="Muy Alta",'Mapa final'!$P$25="Leve"),CONCATENATE("R",'Mapa final'!$A$25),"")</f>
        <v/>
      </c>
      <c r="O8" s="384"/>
      <c r="P8" s="382" t="str">
        <f>IF(AND('Mapa final'!$L$16="Muy Alta",'Mapa final'!$P$16="Menor"),CONCATENATE("R",'Mapa final'!$A$16),"")</f>
        <v/>
      </c>
      <c r="Q8" s="383"/>
      <c r="R8" s="383" t="str">
        <f>IF(AND('Mapa final'!$L$19="Muy Alta",'Mapa final'!$P$19="Menor"),CONCATENATE("R",'Mapa final'!$A$19),"")</f>
        <v/>
      </c>
      <c r="S8" s="383"/>
      <c r="T8" s="383" t="str">
        <f>IF(AND('Mapa final'!$L$25="Muy Alta",'Mapa final'!$P$25="Menor"),CONCATENATE("R",'Mapa final'!$A$25),"")</f>
        <v/>
      </c>
      <c r="U8" s="384"/>
      <c r="V8" s="382" t="str">
        <f>IF(AND('Mapa final'!$L$16="Muy Alta",'Mapa final'!$P$16="Moderado"),CONCATENATE("R",'Mapa final'!$A$16),"")</f>
        <v/>
      </c>
      <c r="W8" s="383"/>
      <c r="X8" s="383" t="str">
        <f>IF(AND('Mapa final'!$L$19="Muy Alta",'Mapa final'!$P$19="Moderado"),CONCATENATE("R",'Mapa final'!$A$19),"")</f>
        <v/>
      </c>
      <c r="Y8" s="383"/>
      <c r="Z8" s="383" t="str">
        <f>IF(AND('Mapa final'!$L$25="Muy Alta",'Mapa final'!$P$25="Moderado"),CONCATENATE("R",'Mapa final'!$A$25),"")</f>
        <v/>
      </c>
      <c r="AA8" s="384"/>
      <c r="AB8" s="382" t="str">
        <f>IF(AND('Mapa final'!$L$16="Muy Alta",'Mapa final'!$P$16="Mayor"),CONCATENATE("R",'Mapa final'!$A$16),"")</f>
        <v/>
      </c>
      <c r="AC8" s="383"/>
      <c r="AD8" s="383" t="str">
        <f>IF(AND('Mapa final'!$L$19="Muy Alta",'Mapa final'!$P$19="Mayor"),CONCATENATE("R",'Mapa final'!$A$19),"")</f>
        <v/>
      </c>
      <c r="AE8" s="383"/>
      <c r="AF8" s="383" t="str">
        <f>IF(AND('Mapa final'!$L$25="Muy Alta",'Mapa final'!$P$25="Mayor"),CONCATENATE("R",'Mapa final'!$A$25),"")</f>
        <v/>
      </c>
      <c r="AG8" s="384"/>
      <c r="AH8" s="373" t="str">
        <f>IF(AND('Mapa final'!$L$16="Muy Alta",'Mapa final'!$P$16="Catastrófico"),CONCATENATE("R",'Mapa final'!$A$16),"")</f>
        <v/>
      </c>
      <c r="AI8" s="374"/>
      <c r="AJ8" s="374" t="str">
        <f>IF(AND('Mapa final'!$L$19="Muy Alta",'Mapa final'!$P$19="Catastrófico"),CONCATENATE("R",'Mapa final'!$A$19),"")</f>
        <v/>
      </c>
      <c r="AK8" s="374"/>
      <c r="AL8" s="374" t="str">
        <f>IF(AND('Mapa final'!$L$25="Muy Alta",'Mapa final'!$P$25="Catastrófico"),CONCATENATE("R",'Mapa final'!$A$25),"")</f>
        <v/>
      </c>
      <c r="AM8" s="375"/>
      <c r="AN8" s="80"/>
      <c r="AO8" s="407"/>
      <c r="AP8" s="408"/>
      <c r="AQ8" s="408"/>
      <c r="AR8" s="408"/>
      <c r="AS8" s="408"/>
      <c r="AT8" s="409"/>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row>
    <row r="9" spans="1:99" ht="15" customHeight="1" x14ac:dyDescent="0.25">
      <c r="A9" s="80"/>
      <c r="B9" s="402"/>
      <c r="C9" s="402"/>
      <c r="D9" s="403"/>
      <c r="E9" s="395"/>
      <c r="F9" s="396"/>
      <c r="G9" s="396"/>
      <c r="H9" s="396"/>
      <c r="I9" s="397"/>
      <c r="J9" s="382"/>
      <c r="K9" s="383"/>
      <c r="L9" s="383"/>
      <c r="M9" s="383"/>
      <c r="N9" s="383"/>
      <c r="O9" s="384"/>
      <c r="P9" s="382"/>
      <c r="Q9" s="383"/>
      <c r="R9" s="383"/>
      <c r="S9" s="383"/>
      <c r="T9" s="383"/>
      <c r="U9" s="384"/>
      <c r="V9" s="382"/>
      <c r="W9" s="383"/>
      <c r="X9" s="383"/>
      <c r="Y9" s="383"/>
      <c r="Z9" s="383"/>
      <c r="AA9" s="384"/>
      <c r="AB9" s="382"/>
      <c r="AC9" s="383"/>
      <c r="AD9" s="383"/>
      <c r="AE9" s="383"/>
      <c r="AF9" s="383"/>
      <c r="AG9" s="384"/>
      <c r="AH9" s="373"/>
      <c r="AI9" s="374"/>
      <c r="AJ9" s="374"/>
      <c r="AK9" s="374"/>
      <c r="AL9" s="374"/>
      <c r="AM9" s="375"/>
      <c r="AN9" s="80"/>
      <c r="AO9" s="407"/>
      <c r="AP9" s="408"/>
      <c r="AQ9" s="408"/>
      <c r="AR9" s="408"/>
      <c r="AS9" s="408"/>
      <c r="AT9" s="409"/>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row>
    <row r="10" spans="1:99" ht="15" customHeight="1" x14ac:dyDescent="0.25">
      <c r="A10" s="80"/>
      <c r="B10" s="402"/>
      <c r="C10" s="402"/>
      <c r="D10" s="403"/>
      <c r="E10" s="395"/>
      <c r="F10" s="396"/>
      <c r="G10" s="396"/>
      <c r="H10" s="396"/>
      <c r="I10" s="397"/>
      <c r="J10" s="382" t="str">
        <f>IF(AND('Mapa final'!$L$31="Muy Alta",'Mapa final'!$P$31="Leve"),CONCATENATE("R",'Mapa final'!$A$31),"")</f>
        <v/>
      </c>
      <c r="K10" s="383"/>
      <c r="L10" s="383" t="str">
        <f>IF(AND('Mapa final'!$L$37="Muy Alta",'Mapa final'!$P$37="Leve"),CONCATENATE("R",'Mapa final'!$A$37),"")</f>
        <v/>
      </c>
      <c r="M10" s="383"/>
      <c r="N10" s="383" t="str">
        <f>IF(AND('Mapa final'!$L$43="Muy Alta",'Mapa final'!$P$43="Leve"),CONCATENATE("R",'Mapa final'!$A$43),"")</f>
        <v/>
      </c>
      <c r="O10" s="384"/>
      <c r="P10" s="382" t="str">
        <f>IF(AND('Mapa final'!$L$31="Muy Alta",'Mapa final'!$P$31="Menor"),CONCATENATE("R",'Mapa final'!$A$31),"")</f>
        <v/>
      </c>
      <c r="Q10" s="383"/>
      <c r="R10" s="383" t="str">
        <f>IF(AND('Mapa final'!$L$37="Muy Alta",'Mapa final'!$P$37="Menor"),CONCATENATE("R",'Mapa final'!$A$37),"")</f>
        <v/>
      </c>
      <c r="S10" s="383"/>
      <c r="T10" s="383" t="str">
        <f>IF(AND('Mapa final'!$L$43="Muy Alta",'Mapa final'!$P$43="Menor"),CONCATENATE("R",'Mapa final'!$A$43),"")</f>
        <v/>
      </c>
      <c r="U10" s="384"/>
      <c r="V10" s="382" t="str">
        <f>IF(AND('Mapa final'!$L$31="Muy Alta",'Mapa final'!$P$31="Moderado"),CONCATENATE("R",'Mapa final'!$A$31),"")</f>
        <v/>
      </c>
      <c r="W10" s="383"/>
      <c r="X10" s="383" t="str">
        <f>IF(AND('Mapa final'!$L$37="Muy Alta",'Mapa final'!$P$37="Moderado"),CONCATENATE("R",'Mapa final'!$A$37),"")</f>
        <v/>
      </c>
      <c r="Y10" s="383"/>
      <c r="Z10" s="383" t="str">
        <f>IF(AND('Mapa final'!$L$43="Muy Alta",'Mapa final'!$P$43="Moderado"),CONCATENATE("R",'Mapa final'!$A$43),"")</f>
        <v/>
      </c>
      <c r="AA10" s="384"/>
      <c r="AB10" s="382" t="str">
        <f>IF(AND('Mapa final'!$L$31="Muy Alta",'Mapa final'!$P$31="Mayor"),CONCATENATE("R",'Mapa final'!$A$31),"")</f>
        <v/>
      </c>
      <c r="AC10" s="383"/>
      <c r="AD10" s="383" t="str">
        <f>IF(AND('Mapa final'!$L$37="Muy Alta",'Mapa final'!$P$37="Mayor"),CONCATENATE("R",'Mapa final'!$A$37),"")</f>
        <v/>
      </c>
      <c r="AE10" s="383"/>
      <c r="AF10" s="383" t="str">
        <f>IF(AND('Mapa final'!$L$43="Muy Alta",'Mapa final'!$P$43="Mayor"),CONCATENATE("R",'Mapa final'!$A$43),"")</f>
        <v/>
      </c>
      <c r="AG10" s="384"/>
      <c r="AH10" s="373" t="str">
        <f>IF(AND('Mapa final'!$L$31="Muy Alta",'Mapa final'!$P$31="Catastrófico"),CONCATENATE("R",'Mapa final'!$A$31),"")</f>
        <v/>
      </c>
      <c r="AI10" s="374"/>
      <c r="AJ10" s="374" t="str">
        <f>IF(AND('Mapa final'!$L$37="Muy Alta",'Mapa final'!$P$37="Catastrófico"),CONCATENATE("R",'Mapa final'!$A$37),"")</f>
        <v/>
      </c>
      <c r="AK10" s="374"/>
      <c r="AL10" s="374" t="str">
        <f>IF(AND('Mapa final'!$L$43="Muy Alta",'Mapa final'!$P$43="Catastrófico"),CONCATENATE("R",'Mapa final'!$A$43),"")</f>
        <v/>
      </c>
      <c r="AM10" s="375"/>
      <c r="AN10" s="80"/>
      <c r="AO10" s="407"/>
      <c r="AP10" s="408"/>
      <c r="AQ10" s="408"/>
      <c r="AR10" s="408"/>
      <c r="AS10" s="408"/>
      <c r="AT10" s="409"/>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row>
    <row r="11" spans="1:99" ht="15" customHeight="1" x14ac:dyDescent="0.25">
      <c r="A11" s="80"/>
      <c r="B11" s="402"/>
      <c r="C11" s="402"/>
      <c r="D11" s="403"/>
      <c r="E11" s="395"/>
      <c r="F11" s="396"/>
      <c r="G11" s="396"/>
      <c r="H11" s="396"/>
      <c r="I11" s="397"/>
      <c r="J11" s="382"/>
      <c r="K11" s="383"/>
      <c r="L11" s="383"/>
      <c r="M11" s="383"/>
      <c r="N11" s="383"/>
      <c r="O11" s="384"/>
      <c r="P11" s="382"/>
      <c r="Q11" s="383"/>
      <c r="R11" s="383"/>
      <c r="S11" s="383"/>
      <c r="T11" s="383"/>
      <c r="U11" s="384"/>
      <c r="V11" s="382"/>
      <c r="W11" s="383"/>
      <c r="X11" s="383"/>
      <c r="Y11" s="383"/>
      <c r="Z11" s="383"/>
      <c r="AA11" s="384"/>
      <c r="AB11" s="382"/>
      <c r="AC11" s="383"/>
      <c r="AD11" s="383"/>
      <c r="AE11" s="383"/>
      <c r="AF11" s="383"/>
      <c r="AG11" s="384"/>
      <c r="AH11" s="373"/>
      <c r="AI11" s="374"/>
      <c r="AJ11" s="374"/>
      <c r="AK11" s="374"/>
      <c r="AL11" s="374"/>
      <c r="AM11" s="375"/>
      <c r="AN11" s="80"/>
      <c r="AO11" s="407"/>
      <c r="AP11" s="408"/>
      <c r="AQ11" s="408"/>
      <c r="AR11" s="408"/>
      <c r="AS11" s="408"/>
      <c r="AT11" s="409"/>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row>
    <row r="12" spans="1:99" ht="15" customHeight="1" x14ac:dyDescent="0.25">
      <c r="A12" s="80"/>
      <c r="B12" s="402"/>
      <c r="C12" s="402"/>
      <c r="D12" s="403"/>
      <c r="E12" s="395"/>
      <c r="F12" s="396"/>
      <c r="G12" s="396"/>
      <c r="H12" s="396"/>
      <c r="I12" s="397"/>
      <c r="J12" s="382" t="str">
        <f>IF(AND('Mapa final'!$L$49="Muy Alta",'Mapa final'!$P$49="Leve"),CONCATENATE("R",'Mapa final'!$A$49),"")</f>
        <v/>
      </c>
      <c r="K12" s="383"/>
      <c r="L12" s="383" t="str">
        <f>IF(AND('Mapa final'!$L$55="Muy Alta",'Mapa final'!$P$55="Leve"),CONCATENATE("R",'Mapa final'!$A$55),"")</f>
        <v/>
      </c>
      <c r="M12" s="383"/>
      <c r="N12" s="383" t="str">
        <f>IF(AND('Mapa final'!$L$61="Muy Alta",'Mapa final'!$P$61="Leve"),CONCATENATE("R",'Mapa final'!$A$61),"")</f>
        <v/>
      </c>
      <c r="O12" s="384"/>
      <c r="P12" s="382" t="str">
        <f>IF(AND('Mapa final'!$L$49="Muy Alta",'Mapa final'!$P$49="Menor"),CONCATENATE("R",'Mapa final'!$A$49),"")</f>
        <v/>
      </c>
      <c r="Q12" s="383"/>
      <c r="R12" s="383" t="str">
        <f>IF(AND('Mapa final'!$L$55="Muy Alta",'Mapa final'!$P$55="Menor"),CONCATENATE("R",'Mapa final'!$A$55),"")</f>
        <v/>
      </c>
      <c r="S12" s="383"/>
      <c r="T12" s="383" t="str">
        <f>IF(AND('Mapa final'!$L$61="Muy Alta",'Mapa final'!$P$61="Menor"),CONCATENATE("R",'Mapa final'!$A$61),"")</f>
        <v/>
      </c>
      <c r="U12" s="384"/>
      <c r="V12" s="382" t="str">
        <f>IF(AND('Mapa final'!$L$49="Muy Alta",'Mapa final'!$P$49="Moderado"),CONCATENATE("R",'Mapa final'!$A$49),"")</f>
        <v/>
      </c>
      <c r="W12" s="383"/>
      <c r="X12" s="383" t="str">
        <f>IF(AND('Mapa final'!$L$55="Muy Alta",'Mapa final'!$P$55="Moderado"),CONCATENATE("R",'Mapa final'!$A$55),"")</f>
        <v/>
      </c>
      <c r="Y12" s="383"/>
      <c r="Z12" s="383" t="str">
        <f>IF(AND('Mapa final'!$L$61="Muy Alta",'Mapa final'!$P$61="Moderado"),CONCATENATE("R",'Mapa final'!$A$61),"")</f>
        <v/>
      </c>
      <c r="AA12" s="384"/>
      <c r="AB12" s="382" t="str">
        <f>IF(AND('Mapa final'!$L$49="Muy Alta",'Mapa final'!$P$49="Mayor"),CONCATENATE("R",'Mapa final'!$A$49),"")</f>
        <v/>
      </c>
      <c r="AC12" s="383"/>
      <c r="AD12" s="383" t="str">
        <f>IF(AND('Mapa final'!$L$55="Muy Alta",'Mapa final'!$P$55="Mayor"),CONCATENATE("R",'Mapa final'!$A$55),"")</f>
        <v/>
      </c>
      <c r="AE12" s="383"/>
      <c r="AF12" s="383" t="str">
        <f>IF(AND('Mapa final'!$L$61="Muy Alta",'Mapa final'!$P$61="Mayor"),CONCATENATE("R",'Mapa final'!$A$61),"")</f>
        <v/>
      </c>
      <c r="AG12" s="384"/>
      <c r="AH12" s="373" t="str">
        <f>IF(AND('Mapa final'!$L$49="Muy Alta",'Mapa final'!$P$49="Catastrófico"),CONCATENATE("R",'Mapa final'!$A$49),"")</f>
        <v/>
      </c>
      <c r="AI12" s="374"/>
      <c r="AJ12" s="374" t="str">
        <f>IF(AND('Mapa final'!$L$55="Muy Alta",'Mapa final'!$P$55="Catastrófico"),CONCATENATE("R",'Mapa final'!$A$55),"")</f>
        <v/>
      </c>
      <c r="AK12" s="374"/>
      <c r="AL12" s="374" t="str">
        <f>IF(AND('Mapa final'!$L$61="Muy Alta",'Mapa final'!$P$61="Catastrófico"),CONCATENATE("R",'Mapa final'!$A$61),"")</f>
        <v/>
      </c>
      <c r="AM12" s="375"/>
      <c r="AN12" s="80"/>
      <c r="AO12" s="407"/>
      <c r="AP12" s="408"/>
      <c r="AQ12" s="408"/>
      <c r="AR12" s="408"/>
      <c r="AS12" s="408"/>
      <c r="AT12" s="409"/>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row>
    <row r="13" spans="1:99" ht="15.75" customHeight="1" thickBot="1" x14ac:dyDescent="0.3">
      <c r="A13" s="80"/>
      <c r="B13" s="402"/>
      <c r="C13" s="402"/>
      <c r="D13" s="403"/>
      <c r="E13" s="398"/>
      <c r="F13" s="399"/>
      <c r="G13" s="399"/>
      <c r="H13" s="399"/>
      <c r="I13" s="400"/>
      <c r="J13" s="382"/>
      <c r="K13" s="383"/>
      <c r="L13" s="383"/>
      <c r="M13" s="383"/>
      <c r="N13" s="383"/>
      <c r="O13" s="384"/>
      <c r="P13" s="382"/>
      <c r="Q13" s="383"/>
      <c r="R13" s="383"/>
      <c r="S13" s="383"/>
      <c r="T13" s="383"/>
      <c r="U13" s="384"/>
      <c r="V13" s="382"/>
      <c r="W13" s="383"/>
      <c r="X13" s="383"/>
      <c r="Y13" s="383"/>
      <c r="Z13" s="383"/>
      <c r="AA13" s="384"/>
      <c r="AB13" s="382"/>
      <c r="AC13" s="383"/>
      <c r="AD13" s="383"/>
      <c r="AE13" s="383"/>
      <c r="AF13" s="383"/>
      <c r="AG13" s="384"/>
      <c r="AH13" s="376"/>
      <c r="AI13" s="377"/>
      <c r="AJ13" s="377"/>
      <c r="AK13" s="377"/>
      <c r="AL13" s="377"/>
      <c r="AM13" s="378"/>
      <c r="AN13" s="80"/>
      <c r="AO13" s="410"/>
      <c r="AP13" s="411"/>
      <c r="AQ13" s="411"/>
      <c r="AR13" s="411"/>
      <c r="AS13" s="411"/>
      <c r="AT13" s="412"/>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c r="BY13" s="80"/>
      <c r="BZ13" s="80"/>
      <c r="CA13" s="80"/>
      <c r="CB13" s="80"/>
    </row>
    <row r="14" spans="1:99" ht="15" customHeight="1" x14ac:dyDescent="0.25">
      <c r="A14" s="80"/>
      <c r="B14" s="402"/>
      <c r="C14" s="402"/>
      <c r="D14" s="403"/>
      <c r="E14" s="392" t="s">
        <v>140</v>
      </c>
      <c r="F14" s="393"/>
      <c r="G14" s="393"/>
      <c r="H14" s="393"/>
      <c r="I14" s="393"/>
      <c r="J14" s="370" t="str">
        <f>IF(AND('Mapa final'!$L$11="Alta",'Mapa final'!$P$11="Leve"),CONCATENATE("R",'Mapa final'!$A$11),"")</f>
        <v/>
      </c>
      <c r="K14" s="371"/>
      <c r="L14" s="371" t="str">
        <f>IF(AND('Mapa final'!$L$12="Alta",'Mapa final'!$P$12="Leve"),CONCATENATE("R",'Mapa final'!$A$12),"")</f>
        <v/>
      </c>
      <c r="M14" s="371"/>
      <c r="N14" s="371" t="str">
        <f>IF(AND('Mapa final'!$L$14="Alta",'Mapa final'!$P$14="Leve"),CONCATENATE("R",'Mapa final'!$A$14),"")</f>
        <v/>
      </c>
      <c r="O14" s="372"/>
      <c r="P14" s="370" t="str">
        <f>IF(AND('Mapa final'!$L$11="Alta",'Mapa final'!$P$11="Menor"),CONCATENATE("R",'Mapa final'!$A$11),"")</f>
        <v/>
      </c>
      <c r="Q14" s="371"/>
      <c r="R14" s="371" t="str">
        <f>IF(AND('Mapa final'!$L$12="Alta",'Mapa final'!$P$12="Menor"),CONCATENATE("R",'Mapa final'!$A$12),"")</f>
        <v/>
      </c>
      <c r="S14" s="371"/>
      <c r="T14" s="371" t="str">
        <f>IF(AND('Mapa final'!$L$14="Alta",'Mapa final'!$P$14="Menor"),CONCATENATE("R",'Mapa final'!$A$14),"")</f>
        <v/>
      </c>
      <c r="U14" s="372"/>
      <c r="V14" s="388" t="str">
        <f>IF(AND('Mapa final'!$L$11="Alta",'Mapa final'!$P$11="Moderado"),CONCATENATE("R",'Mapa final'!$A$11),"")</f>
        <v/>
      </c>
      <c r="W14" s="389"/>
      <c r="X14" s="389" t="str">
        <f>IF(AND('Mapa final'!$L$12="Alta",'Mapa final'!$P$12="Moderado"),CONCATENATE("R",'Mapa final'!$A$12),"")</f>
        <v/>
      </c>
      <c r="Y14" s="389"/>
      <c r="Z14" s="389" t="str">
        <f>IF(AND('Mapa final'!$L$14="Alta",'Mapa final'!$P$14="Moderado"),CONCATENATE("R",'Mapa final'!$A$14),"")</f>
        <v/>
      </c>
      <c r="AA14" s="390"/>
      <c r="AB14" s="388" t="str">
        <f>IF(AND('Mapa final'!$L$11="Alta",'Mapa final'!$P$11="Mayor"),CONCATENATE("R",'Mapa final'!$A$11),"")</f>
        <v/>
      </c>
      <c r="AC14" s="389"/>
      <c r="AD14" s="389" t="str">
        <f>IF(AND('Mapa final'!$L$12="Alta",'Mapa final'!$P$12="Mayor"),CONCATENATE("R",'Mapa final'!$A$12),"")</f>
        <v/>
      </c>
      <c r="AE14" s="389"/>
      <c r="AF14" s="389" t="str">
        <f>IF(AND('Mapa final'!$L$14="Alta",'Mapa final'!$P$14="Mayor"),CONCATENATE("R",'Mapa final'!$A$14),"")</f>
        <v/>
      </c>
      <c r="AG14" s="390"/>
      <c r="AH14" s="379" t="str">
        <f>IF(AND('Mapa final'!$L$11="Alta",'Mapa final'!$P$11="Catastrófico"),CONCATENATE("R",'Mapa final'!$A$11),"")</f>
        <v/>
      </c>
      <c r="AI14" s="380"/>
      <c r="AJ14" s="380" t="str">
        <f>IF(AND('Mapa final'!$L$12="Alta",'Mapa final'!$P$12="Catastrófico"),CONCATENATE("R",'Mapa final'!$A$12),"")</f>
        <v/>
      </c>
      <c r="AK14" s="380"/>
      <c r="AL14" s="380" t="str">
        <f>IF(AND('Mapa final'!$L$14="Alta",'Mapa final'!$P$14="Catastrófico"),CONCATENATE("R",'Mapa final'!$A$14),"")</f>
        <v/>
      </c>
      <c r="AM14" s="381"/>
      <c r="AN14" s="80"/>
      <c r="AO14" s="413" t="s">
        <v>141</v>
      </c>
      <c r="AP14" s="414"/>
      <c r="AQ14" s="414"/>
      <c r="AR14" s="414"/>
      <c r="AS14" s="414"/>
      <c r="AT14" s="415"/>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row>
    <row r="15" spans="1:99" ht="15" customHeight="1" x14ac:dyDescent="0.25">
      <c r="A15" s="80"/>
      <c r="B15" s="402"/>
      <c r="C15" s="402"/>
      <c r="D15" s="403"/>
      <c r="E15" s="395"/>
      <c r="F15" s="396"/>
      <c r="G15" s="396"/>
      <c r="H15" s="396"/>
      <c r="I15" s="396"/>
      <c r="J15" s="364"/>
      <c r="K15" s="365"/>
      <c r="L15" s="365"/>
      <c r="M15" s="365"/>
      <c r="N15" s="365"/>
      <c r="O15" s="366"/>
      <c r="P15" s="364"/>
      <c r="Q15" s="365"/>
      <c r="R15" s="365"/>
      <c r="S15" s="365"/>
      <c r="T15" s="365"/>
      <c r="U15" s="366"/>
      <c r="V15" s="382"/>
      <c r="W15" s="383"/>
      <c r="X15" s="383"/>
      <c r="Y15" s="383"/>
      <c r="Z15" s="383"/>
      <c r="AA15" s="384"/>
      <c r="AB15" s="382"/>
      <c r="AC15" s="383"/>
      <c r="AD15" s="383"/>
      <c r="AE15" s="383"/>
      <c r="AF15" s="383"/>
      <c r="AG15" s="384"/>
      <c r="AH15" s="373"/>
      <c r="AI15" s="374"/>
      <c r="AJ15" s="374"/>
      <c r="AK15" s="374"/>
      <c r="AL15" s="374"/>
      <c r="AM15" s="375"/>
      <c r="AN15" s="80"/>
      <c r="AO15" s="416"/>
      <c r="AP15" s="417"/>
      <c r="AQ15" s="417"/>
      <c r="AR15" s="417"/>
      <c r="AS15" s="417"/>
      <c r="AT15" s="418"/>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c r="BY15" s="80"/>
      <c r="BZ15" s="80"/>
      <c r="CA15" s="80"/>
      <c r="CB15" s="80"/>
    </row>
    <row r="16" spans="1:99" ht="15" customHeight="1" x14ac:dyDescent="0.25">
      <c r="A16" s="80"/>
      <c r="B16" s="402"/>
      <c r="C16" s="402"/>
      <c r="D16" s="403"/>
      <c r="E16" s="395"/>
      <c r="F16" s="396"/>
      <c r="G16" s="396"/>
      <c r="H16" s="396"/>
      <c r="I16" s="396"/>
      <c r="J16" s="364" t="str">
        <f>IF(AND('Mapa final'!$L$16="Alta",'Mapa final'!$P$16="Leve"),CONCATENATE("R",'Mapa final'!$A$16),"")</f>
        <v/>
      </c>
      <c r="K16" s="365"/>
      <c r="L16" s="365" t="str">
        <f>IF(AND('Mapa final'!$L$19="Alta",'Mapa final'!$P$19="Leve"),CONCATENATE("R",'Mapa final'!$A$19),"")</f>
        <v/>
      </c>
      <c r="M16" s="365"/>
      <c r="N16" s="365" t="str">
        <f>IF(AND('Mapa final'!$L$25="Alta",'Mapa final'!$P$25="Leve"),CONCATENATE("R",'Mapa final'!$A$25),"")</f>
        <v/>
      </c>
      <c r="O16" s="366"/>
      <c r="P16" s="364" t="str">
        <f>IF(AND('Mapa final'!$L$16="Alta",'Mapa final'!$P$16="Menor"),CONCATENATE("R",'Mapa final'!$A$16),"")</f>
        <v/>
      </c>
      <c r="Q16" s="365"/>
      <c r="R16" s="365" t="str">
        <f>IF(AND('Mapa final'!$L$19="Alta",'Mapa final'!$P$19="Menor"),CONCATENATE("R",'Mapa final'!$A$19),"")</f>
        <v/>
      </c>
      <c r="S16" s="365"/>
      <c r="T16" s="365" t="str">
        <f>IF(AND('Mapa final'!$L$25="Alta",'Mapa final'!$P$25="Menor"),CONCATENATE("R",'Mapa final'!$A$25),"")</f>
        <v/>
      </c>
      <c r="U16" s="366"/>
      <c r="V16" s="382" t="str">
        <f>IF(AND('Mapa final'!$L$16="Alta",'Mapa final'!$P$16="Moderado"),CONCATENATE("R",'Mapa final'!$A$16),"")</f>
        <v/>
      </c>
      <c r="W16" s="383"/>
      <c r="X16" s="383" t="str">
        <f>IF(AND('Mapa final'!$L$19="Alta",'Mapa final'!$P$19="Moderado"),CONCATENATE("R",'Mapa final'!$A$19),"")</f>
        <v/>
      </c>
      <c r="Y16" s="383"/>
      <c r="Z16" s="383" t="str">
        <f>IF(AND('Mapa final'!$L$25="Alta",'Mapa final'!$P$25="Moderado"),CONCATENATE("R",'Mapa final'!$A$25),"")</f>
        <v/>
      </c>
      <c r="AA16" s="384"/>
      <c r="AB16" s="382" t="str">
        <f>IF(AND('Mapa final'!$L$16="Alta",'Mapa final'!$P$16="Mayor"),CONCATENATE("R",'Mapa final'!$A$16),"")</f>
        <v/>
      </c>
      <c r="AC16" s="383"/>
      <c r="AD16" s="383" t="str">
        <f>IF(AND('Mapa final'!$L$19="Alta",'Mapa final'!$P$19="Mayor"),CONCATENATE("R",'Mapa final'!$A$19),"")</f>
        <v/>
      </c>
      <c r="AE16" s="383"/>
      <c r="AF16" s="383" t="str">
        <f>IF(AND('Mapa final'!$L$25="Alta",'Mapa final'!$P$25="Mayor"),CONCATENATE("R",'Mapa final'!$A$25),"")</f>
        <v/>
      </c>
      <c r="AG16" s="384"/>
      <c r="AH16" s="373" t="str">
        <f>IF(AND('Mapa final'!$L$16="Alta",'Mapa final'!$P$16="Catastrófico"),CONCATENATE("R",'Mapa final'!$A$16),"")</f>
        <v/>
      </c>
      <c r="AI16" s="374"/>
      <c r="AJ16" s="374" t="str">
        <f>IF(AND('Mapa final'!$L$19="Alta",'Mapa final'!$P$19="Catastrófico"),CONCATENATE("R",'Mapa final'!$A$19),"")</f>
        <v/>
      </c>
      <c r="AK16" s="374"/>
      <c r="AL16" s="374" t="str">
        <f>IF(AND('Mapa final'!$L$25="Alta",'Mapa final'!$P$25="Catastrófico"),CONCATENATE("R",'Mapa final'!$A$25),"")</f>
        <v/>
      </c>
      <c r="AM16" s="375"/>
      <c r="AN16" s="80"/>
      <c r="AO16" s="416"/>
      <c r="AP16" s="417"/>
      <c r="AQ16" s="417"/>
      <c r="AR16" s="417"/>
      <c r="AS16" s="417"/>
      <c r="AT16" s="418"/>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c r="BY16" s="80"/>
      <c r="BZ16" s="80"/>
      <c r="CA16" s="80"/>
      <c r="CB16" s="80"/>
    </row>
    <row r="17" spans="1:80" ht="15" customHeight="1" x14ac:dyDescent="0.25">
      <c r="A17" s="80"/>
      <c r="B17" s="402"/>
      <c r="C17" s="402"/>
      <c r="D17" s="403"/>
      <c r="E17" s="395"/>
      <c r="F17" s="396"/>
      <c r="G17" s="396"/>
      <c r="H17" s="396"/>
      <c r="I17" s="396"/>
      <c r="J17" s="364"/>
      <c r="K17" s="365"/>
      <c r="L17" s="365"/>
      <c r="M17" s="365"/>
      <c r="N17" s="365"/>
      <c r="O17" s="366"/>
      <c r="P17" s="364"/>
      <c r="Q17" s="365"/>
      <c r="R17" s="365"/>
      <c r="S17" s="365"/>
      <c r="T17" s="365"/>
      <c r="U17" s="366"/>
      <c r="V17" s="382"/>
      <c r="W17" s="383"/>
      <c r="X17" s="383"/>
      <c r="Y17" s="383"/>
      <c r="Z17" s="383"/>
      <c r="AA17" s="384"/>
      <c r="AB17" s="382"/>
      <c r="AC17" s="383"/>
      <c r="AD17" s="383"/>
      <c r="AE17" s="383"/>
      <c r="AF17" s="383"/>
      <c r="AG17" s="384"/>
      <c r="AH17" s="373"/>
      <c r="AI17" s="374"/>
      <c r="AJ17" s="374"/>
      <c r="AK17" s="374"/>
      <c r="AL17" s="374"/>
      <c r="AM17" s="375"/>
      <c r="AN17" s="80"/>
      <c r="AO17" s="416"/>
      <c r="AP17" s="417"/>
      <c r="AQ17" s="417"/>
      <c r="AR17" s="417"/>
      <c r="AS17" s="417"/>
      <c r="AT17" s="418"/>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row>
    <row r="18" spans="1:80" ht="15" customHeight="1" x14ac:dyDescent="0.25">
      <c r="A18" s="80"/>
      <c r="B18" s="402"/>
      <c r="C18" s="402"/>
      <c r="D18" s="403"/>
      <c r="E18" s="395"/>
      <c r="F18" s="396"/>
      <c r="G18" s="396"/>
      <c r="H18" s="396"/>
      <c r="I18" s="396"/>
      <c r="J18" s="364" t="str">
        <f>IF(AND('Mapa final'!$L$31="Alta",'Mapa final'!$P$31="Leve"),CONCATENATE("R",'Mapa final'!$A$31),"")</f>
        <v/>
      </c>
      <c r="K18" s="365"/>
      <c r="L18" s="365" t="str">
        <f>IF(AND('Mapa final'!$L$37="Alta",'Mapa final'!$P$37="Leve"),CONCATENATE("R",'Mapa final'!$A$37),"")</f>
        <v/>
      </c>
      <c r="M18" s="365"/>
      <c r="N18" s="365" t="str">
        <f>IF(AND('Mapa final'!$L$43="Alta",'Mapa final'!$P$43="Leve"),CONCATENATE("R",'Mapa final'!$A$43),"")</f>
        <v/>
      </c>
      <c r="O18" s="366"/>
      <c r="P18" s="364" t="str">
        <f>IF(AND('Mapa final'!$L$31="Alta",'Mapa final'!$P$31="Menor"),CONCATENATE("R",'Mapa final'!$A$31),"")</f>
        <v/>
      </c>
      <c r="Q18" s="365"/>
      <c r="R18" s="365" t="str">
        <f>IF(AND('Mapa final'!$L$37="Alta",'Mapa final'!$P$37="Menor"),CONCATENATE("R",'Mapa final'!$A$37),"")</f>
        <v/>
      </c>
      <c r="S18" s="365"/>
      <c r="T18" s="365" t="str">
        <f>IF(AND('Mapa final'!$L$43="Alta",'Mapa final'!$P$43="Menor"),CONCATENATE("R",'Mapa final'!$A$43),"")</f>
        <v/>
      </c>
      <c r="U18" s="366"/>
      <c r="V18" s="382" t="str">
        <f>IF(AND('Mapa final'!$L$31="Alta",'Mapa final'!$P$31="Moderado"),CONCATENATE("R",'Mapa final'!$A$31),"")</f>
        <v/>
      </c>
      <c r="W18" s="383"/>
      <c r="X18" s="383" t="str">
        <f>IF(AND('Mapa final'!$L$37="Alta",'Mapa final'!$P$37="Moderado"),CONCATENATE("R",'Mapa final'!$A$37),"")</f>
        <v/>
      </c>
      <c r="Y18" s="383"/>
      <c r="Z18" s="383" t="str">
        <f>IF(AND('Mapa final'!$L$43="Alta",'Mapa final'!$P$43="Moderado"),CONCATENATE("R",'Mapa final'!$A$43),"")</f>
        <v/>
      </c>
      <c r="AA18" s="384"/>
      <c r="AB18" s="382" t="str">
        <f>IF(AND('Mapa final'!$L$31="Alta",'Mapa final'!$P$31="Mayor"),CONCATENATE("R",'Mapa final'!$A$31),"")</f>
        <v/>
      </c>
      <c r="AC18" s="383"/>
      <c r="AD18" s="383" t="str">
        <f>IF(AND('Mapa final'!$L$37="Alta",'Mapa final'!$P$37="Mayor"),CONCATENATE("R",'Mapa final'!$A$37),"")</f>
        <v/>
      </c>
      <c r="AE18" s="383"/>
      <c r="AF18" s="383" t="str">
        <f>IF(AND('Mapa final'!$L$43="Alta",'Mapa final'!$P$43="Mayor"),CONCATENATE("R",'Mapa final'!$A$43),"")</f>
        <v/>
      </c>
      <c r="AG18" s="384"/>
      <c r="AH18" s="373" t="str">
        <f>IF(AND('Mapa final'!$L$31="Alta",'Mapa final'!$P$31="Catastrófico"),CONCATENATE("R",'Mapa final'!$A$31),"")</f>
        <v/>
      </c>
      <c r="AI18" s="374"/>
      <c r="AJ18" s="374" t="str">
        <f>IF(AND('Mapa final'!$L$37="Alta",'Mapa final'!$P$37="Catastrófico"),CONCATENATE("R",'Mapa final'!$A$37),"")</f>
        <v/>
      </c>
      <c r="AK18" s="374"/>
      <c r="AL18" s="374" t="str">
        <f>IF(AND('Mapa final'!$L$43="Alta",'Mapa final'!$P$43="Catastrófico"),CONCATENATE("R",'Mapa final'!$A$43),"")</f>
        <v/>
      </c>
      <c r="AM18" s="375"/>
      <c r="AN18" s="80"/>
      <c r="AO18" s="416"/>
      <c r="AP18" s="417"/>
      <c r="AQ18" s="417"/>
      <c r="AR18" s="417"/>
      <c r="AS18" s="417"/>
      <c r="AT18" s="418"/>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row>
    <row r="19" spans="1:80" ht="15" customHeight="1" x14ac:dyDescent="0.25">
      <c r="A19" s="80"/>
      <c r="B19" s="402"/>
      <c r="C19" s="402"/>
      <c r="D19" s="403"/>
      <c r="E19" s="395"/>
      <c r="F19" s="396"/>
      <c r="G19" s="396"/>
      <c r="H19" s="396"/>
      <c r="I19" s="396"/>
      <c r="J19" s="364"/>
      <c r="K19" s="365"/>
      <c r="L19" s="365"/>
      <c r="M19" s="365"/>
      <c r="N19" s="365"/>
      <c r="O19" s="366"/>
      <c r="P19" s="364"/>
      <c r="Q19" s="365"/>
      <c r="R19" s="365"/>
      <c r="S19" s="365"/>
      <c r="T19" s="365"/>
      <c r="U19" s="366"/>
      <c r="V19" s="382"/>
      <c r="W19" s="383"/>
      <c r="X19" s="383"/>
      <c r="Y19" s="383"/>
      <c r="Z19" s="383"/>
      <c r="AA19" s="384"/>
      <c r="AB19" s="382"/>
      <c r="AC19" s="383"/>
      <c r="AD19" s="383"/>
      <c r="AE19" s="383"/>
      <c r="AF19" s="383"/>
      <c r="AG19" s="384"/>
      <c r="AH19" s="373"/>
      <c r="AI19" s="374"/>
      <c r="AJ19" s="374"/>
      <c r="AK19" s="374"/>
      <c r="AL19" s="374"/>
      <c r="AM19" s="375"/>
      <c r="AN19" s="80"/>
      <c r="AO19" s="416"/>
      <c r="AP19" s="417"/>
      <c r="AQ19" s="417"/>
      <c r="AR19" s="417"/>
      <c r="AS19" s="417"/>
      <c r="AT19" s="418"/>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c r="BY19" s="80"/>
      <c r="BZ19" s="80"/>
      <c r="CA19" s="80"/>
      <c r="CB19" s="80"/>
    </row>
    <row r="20" spans="1:80" ht="15" customHeight="1" x14ac:dyDescent="0.25">
      <c r="A20" s="80"/>
      <c r="B20" s="402"/>
      <c r="C20" s="402"/>
      <c r="D20" s="403"/>
      <c r="E20" s="395"/>
      <c r="F20" s="396"/>
      <c r="G20" s="396"/>
      <c r="H20" s="396"/>
      <c r="I20" s="396"/>
      <c r="J20" s="364" t="str">
        <f>IF(AND('Mapa final'!$L$49="Alta",'Mapa final'!$P$49="Leve"),CONCATENATE("R",'Mapa final'!$A$49),"")</f>
        <v/>
      </c>
      <c r="K20" s="365"/>
      <c r="L20" s="365" t="str">
        <f>IF(AND('Mapa final'!$L$55="Alta",'Mapa final'!$P$55="Leve"),CONCATENATE("R",'Mapa final'!$A$55),"")</f>
        <v/>
      </c>
      <c r="M20" s="365"/>
      <c r="N20" s="365" t="str">
        <f>IF(AND('Mapa final'!$L$61="Alta",'Mapa final'!$P$61="Leve"),CONCATENATE("R",'Mapa final'!$A$61),"")</f>
        <v/>
      </c>
      <c r="O20" s="366"/>
      <c r="P20" s="364" t="str">
        <f>IF(AND('Mapa final'!$L$49="Alta",'Mapa final'!$P$49="Menor"),CONCATENATE("R",'Mapa final'!$A$49),"")</f>
        <v/>
      </c>
      <c r="Q20" s="365"/>
      <c r="R20" s="365" t="str">
        <f>IF(AND('Mapa final'!$L$55="Alta",'Mapa final'!$P$55="Menor"),CONCATENATE("R",'Mapa final'!$A$55),"")</f>
        <v/>
      </c>
      <c r="S20" s="365"/>
      <c r="T20" s="365" t="str">
        <f>IF(AND('Mapa final'!$L$61="Alta",'Mapa final'!$P$61="Menor"),CONCATENATE("R",'Mapa final'!$A$61),"")</f>
        <v/>
      </c>
      <c r="U20" s="366"/>
      <c r="V20" s="382" t="str">
        <f>IF(AND('Mapa final'!$L$49="Alta",'Mapa final'!$P$49="Moderado"),CONCATENATE("R",'Mapa final'!$A$49),"")</f>
        <v/>
      </c>
      <c r="W20" s="383"/>
      <c r="X20" s="383" t="str">
        <f>IF(AND('Mapa final'!$L$55="Alta",'Mapa final'!$P$55="Moderado"),CONCATENATE("R",'Mapa final'!$A$55),"")</f>
        <v/>
      </c>
      <c r="Y20" s="383"/>
      <c r="Z20" s="383" t="str">
        <f>IF(AND('Mapa final'!$L$61="Alta",'Mapa final'!$P$61="Moderado"),CONCATENATE("R",'Mapa final'!$A$61),"")</f>
        <v/>
      </c>
      <c r="AA20" s="384"/>
      <c r="AB20" s="382" t="str">
        <f>IF(AND('Mapa final'!$L$49="Alta",'Mapa final'!$P$49="Mayor"),CONCATENATE("R",'Mapa final'!$A$49),"")</f>
        <v/>
      </c>
      <c r="AC20" s="383"/>
      <c r="AD20" s="383" t="str">
        <f>IF(AND('Mapa final'!$L$55="Alta",'Mapa final'!$P$55="Mayor"),CONCATENATE("R",'Mapa final'!$A$55),"")</f>
        <v/>
      </c>
      <c r="AE20" s="383"/>
      <c r="AF20" s="383" t="str">
        <f>IF(AND('Mapa final'!$L$61="Alta",'Mapa final'!$P$61="Mayor"),CONCATENATE("R",'Mapa final'!$A$61),"")</f>
        <v/>
      </c>
      <c r="AG20" s="384"/>
      <c r="AH20" s="373" t="str">
        <f>IF(AND('Mapa final'!$L$49="Alta",'Mapa final'!$P$49="Catastrófico"),CONCATENATE("R",'Mapa final'!$A$49),"")</f>
        <v/>
      </c>
      <c r="AI20" s="374"/>
      <c r="AJ20" s="374" t="str">
        <f>IF(AND('Mapa final'!$L$55="Alta",'Mapa final'!$P$55="Catastrófico"),CONCATENATE("R",'Mapa final'!$A$55),"")</f>
        <v/>
      </c>
      <c r="AK20" s="374"/>
      <c r="AL20" s="374" t="str">
        <f>IF(AND('Mapa final'!$L$61="Alta",'Mapa final'!$P$61="Catastrófico"),CONCATENATE("R",'Mapa final'!$A$61),"")</f>
        <v/>
      </c>
      <c r="AM20" s="375"/>
      <c r="AN20" s="80"/>
      <c r="AO20" s="416"/>
      <c r="AP20" s="417"/>
      <c r="AQ20" s="417"/>
      <c r="AR20" s="417"/>
      <c r="AS20" s="417"/>
      <c r="AT20" s="418"/>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c r="BY20" s="80"/>
      <c r="BZ20" s="80"/>
      <c r="CA20" s="80"/>
      <c r="CB20" s="80"/>
    </row>
    <row r="21" spans="1:80" ht="15.75" customHeight="1" thickBot="1" x14ac:dyDescent="0.3">
      <c r="A21" s="80"/>
      <c r="B21" s="402"/>
      <c r="C21" s="402"/>
      <c r="D21" s="403"/>
      <c r="E21" s="398"/>
      <c r="F21" s="399"/>
      <c r="G21" s="399"/>
      <c r="H21" s="399"/>
      <c r="I21" s="399"/>
      <c r="J21" s="367"/>
      <c r="K21" s="368"/>
      <c r="L21" s="368"/>
      <c r="M21" s="368"/>
      <c r="N21" s="368"/>
      <c r="O21" s="369"/>
      <c r="P21" s="367"/>
      <c r="Q21" s="368"/>
      <c r="R21" s="368"/>
      <c r="S21" s="368"/>
      <c r="T21" s="368"/>
      <c r="U21" s="369"/>
      <c r="V21" s="385"/>
      <c r="W21" s="386"/>
      <c r="X21" s="386"/>
      <c r="Y21" s="386"/>
      <c r="Z21" s="386"/>
      <c r="AA21" s="387"/>
      <c r="AB21" s="385"/>
      <c r="AC21" s="386"/>
      <c r="AD21" s="386"/>
      <c r="AE21" s="386"/>
      <c r="AF21" s="386"/>
      <c r="AG21" s="387"/>
      <c r="AH21" s="376"/>
      <c r="AI21" s="377"/>
      <c r="AJ21" s="377"/>
      <c r="AK21" s="377"/>
      <c r="AL21" s="377"/>
      <c r="AM21" s="378"/>
      <c r="AN21" s="80"/>
      <c r="AO21" s="419"/>
      <c r="AP21" s="420"/>
      <c r="AQ21" s="420"/>
      <c r="AR21" s="420"/>
      <c r="AS21" s="420"/>
      <c r="AT21" s="421"/>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c r="BY21" s="80"/>
      <c r="BZ21" s="80"/>
      <c r="CA21" s="80"/>
      <c r="CB21" s="80"/>
    </row>
    <row r="22" spans="1:80" x14ac:dyDescent="0.25">
      <c r="A22" s="80"/>
      <c r="B22" s="402"/>
      <c r="C22" s="402"/>
      <c r="D22" s="403"/>
      <c r="E22" s="392" t="s">
        <v>142</v>
      </c>
      <c r="F22" s="393"/>
      <c r="G22" s="393"/>
      <c r="H22" s="393"/>
      <c r="I22" s="394"/>
      <c r="J22" s="370" t="str">
        <f>IF(AND('Mapa final'!$L$11="Media",'Mapa final'!$P$11="Leve"),CONCATENATE("R",'Mapa final'!$A$11),"")</f>
        <v/>
      </c>
      <c r="K22" s="371"/>
      <c r="L22" s="371" t="str">
        <f>IF(AND('Mapa final'!$L$12="Media",'Mapa final'!$P$12="Leve"),CONCATENATE("R",'Mapa final'!$A$12),"")</f>
        <v/>
      </c>
      <c r="M22" s="371"/>
      <c r="N22" s="371" t="str">
        <f>IF(AND('Mapa final'!$L$14="Media",'Mapa final'!$P$14="Leve"),CONCATENATE("R",'Mapa final'!$A$14),"")</f>
        <v/>
      </c>
      <c r="O22" s="372"/>
      <c r="P22" s="370" t="str">
        <f>IF(AND('Mapa final'!$L$11="Media",'Mapa final'!$P$11="Menor"),CONCATENATE("R",'Mapa final'!$A$11),"")</f>
        <v/>
      </c>
      <c r="Q22" s="371"/>
      <c r="R22" s="371" t="str">
        <f>IF(AND('Mapa final'!$L$12="Media",'Mapa final'!$P$12="Menor"),CONCATENATE("R",'Mapa final'!$A$12),"")</f>
        <v/>
      </c>
      <c r="S22" s="371"/>
      <c r="T22" s="371" t="str">
        <f>IF(AND('Mapa final'!$L$14="Media",'Mapa final'!$P$14="Menor"),CONCATENATE("R",'Mapa final'!$A$14),"")</f>
        <v/>
      </c>
      <c r="U22" s="372"/>
      <c r="V22" s="370" t="str">
        <f>IF(AND('Mapa final'!$L$11="Media",'Mapa final'!$P$11="Moderado"),CONCATENATE("R",'Mapa final'!$A$11),"")</f>
        <v/>
      </c>
      <c r="W22" s="371"/>
      <c r="X22" s="371" t="str">
        <f>IF(AND('Mapa final'!$L$12="Media",'Mapa final'!$P$12="Moderado"),CONCATENATE("R",'Mapa final'!$A$12),"")</f>
        <v/>
      </c>
      <c r="Y22" s="371"/>
      <c r="Z22" s="371" t="str">
        <f>IF(AND('Mapa final'!$L$14="Media",'Mapa final'!$P$14="Moderado"),CONCATENATE("R",'Mapa final'!$A$14),"")</f>
        <v/>
      </c>
      <c r="AA22" s="372"/>
      <c r="AB22" s="388" t="str">
        <f>IF(AND('Mapa final'!$L$11="Media",'Mapa final'!$P$11="Mayor"),CONCATENATE("R",'Mapa final'!$A$11),"")</f>
        <v/>
      </c>
      <c r="AC22" s="389"/>
      <c r="AD22" s="389" t="str">
        <f>IF(AND('Mapa final'!$L$12="Media",'Mapa final'!$P$12="Mayor"),CONCATENATE("R",'Mapa final'!$A$12),"")</f>
        <v/>
      </c>
      <c r="AE22" s="389"/>
      <c r="AF22" s="389" t="str">
        <f>IF(AND('Mapa final'!$L$14="Media",'Mapa final'!$P$14="Mayor"),CONCATENATE("R",'Mapa final'!$A$14),"")</f>
        <v/>
      </c>
      <c r="AG22" s="390"/>
      <c r="AH22" s="379" t="str">
        <f>IF(AND('Mapa final'!$L$11="Media",'Mapa final'!$P$11="Catastrófico"),CONCATENATE("R",'Mapa final'!$A$11),"")</f>
        <v/>
      </c>
      <c r="AI22" s="380"/>
      <c r="AJ22" s="380" t="str">
        <f>IF(AND('Mapa final'!$L$12="Media",'Mapa final'!$P$12="Catastrófico"),CONCATENATE("R",'Mapa final'!$A$12),"")</f>
        <v/>
      </c>
      <c r="AK22" s="380"/>
      <c r="AL22" s="380" t="str">
        <f>IF(AND('Mapa final'!$L$14="Media",'Mapa final'!$P$14="Catastrófico"),CONCATENATE("R",'Mapa final'!$A$14),"")</f>
        <v/>
      </c>
      <c r="AM22" s="381"/>
      <c r="AN22" s="80"/>
      <c r="AO22" s="422" t="s">
        <v>143</v>
      </c>
      <c r="AP22" s="423"/>
      <c r="AQ22" s="423"/>
      <c r="AR22" s="423"/>
      <c r="AS22" s="423"/>
      <c r="AT22" s="424"/>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row>
    <row r="23" spans="1:80" x14ac:dyDescent="0.25">
      <c r="A23" s="80"/>
      <c r="B23" s="402"/>
      <c r="C23" s="402"/>
      <c r="D23" s="403"/>
      <c r="E23" s="395"/>
      <c r="F23" s="396"/>
      <c r="G23" s="396"/>
      <c r="H23" s="396"/>
      <c r="I23" s="397"/>
      <c r="J23" s="364"/>
      <c r="K23" s="365"/>
      <c r="L23" s="365"/>
      <c r="M23" s="365"/>
      <c r="N23" s="365"/>
      <c r="O23" s="366"/>
      <c r="P23" s="364"/>
      <c r="Q23" s="365"/>
      <c r="R23" s="365"/>
      <c r="S23" s="365"/>
      <c r="T23" s="365"/>
      <c r="U23" s="366"/>
      <c r="V23" s="364"/>
      <c r="W23" s="365"/>
      <c r="X23" s="365"/>
      <c r="Y23" s="365"/>
      <c r="Z23" s="365"/>
      <c r="AA23" s="366"/>
      <c r="AB23" s="382"/>
      <c r="AC23" s="383"/>
      <c r="AD23" s="383"/>
      <c r="AE23" s="383"/>
      <c r="AF23" s="383"/>
      <c r="AG23" s="384"/>
      <c r="AH23" s="373"/>
      <c r="AI23" s="374"/>
      <c r="AJ23" s="374"/>
      <c r="AK23" s="374"/>
      <c r="AL23" s="374"/>
      <c r="AM23" s="375"/>
      <c r="AN23" s="80"/>
      <c r="AO23" s="425"/>
      <c r="AP23" s="426"/>
      <c r="AQ23" s="426"/>
      <c r="AR23" s="426"/>
      <c r="AS23" s="426"/>
      <c r="AT23" s="427"/>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c r="BY23" s="80"/>
      <c r="BZ23" s="80"/>
      <c r="CA23" s="80"/>
      <c r="CB23" s="80"/>
    </row>
    <row r="24" spans="1:80" x14ac:dyDescent="0.25">
      <c r="A24" s="80"/>
      <c r="B24" s="402"/>
      <c r="C24" s="402"/>
      <c r="D24" s="403"/>
      <c r="E24" s="395"/>
      <c r="F24" s="396"/>
      <c r="G24" s="396"/>
      <c r="H24" s="396"/>
      <c r="I24" s="397"/>
      <c r="J24" s="364" t="str">
        <f>IF(AND('Mapa final'!$L$16="Media",'Mapa final'!$P$16="Leve"),CONCATENATE("R",'Mapa final'!$A$16),"")</f>
        <v/>
      </c>
      <c r="K24" s="365"/>
      <c r="L24" s="365" t="str">
        <f>IF(AND('Mapa final'!$L$19="Media",'Mapa final'!$P$19="Leve"),CONCATENATE("R",'Mapa final'!$A$19),"")</f>
        <v/>
      </c>
      <c r="M24" s="365"/>
      <c r="N24" s="365" t="str">
        <f>IF(AND('Mapa final'!$L$25="Media",'Mapa final'!$P$25="Leve"),CONCATENATE("R",'Mapa final'!$A$25),"")</f>
        <v/>
      </c>
      <c r="O24" s="366"/>
      <c r="P24" s="364" t="str">
        <f>IF(AND('Mapa final'!$L$16="Media",'Mapa final'!$P$16="Menor"),CONCATENATE("R",'Mapa final'!$A$16),"")</f>
        <v/>
      </c>
      <c r="Q24" s="365"/>
      <c r="R24" s="365" t="str">
        <f>IF(AND('Mapa final'!$L$19="Media",'Mapa final'!$P$19="Menor"),CONCATENATE("R",'Mapa final'!$A$19),"")</f>
        <v/>
      </c>
      <c r="S24" s="365"/>
      <c r="T24" s="365" t="str">
        <f>IF(AND('Mapa final'!$L$25="Media",'Mapa final'!$P$25="Menor"),CONCATENATE("R",'Mapa final'!$A$25),"")</f>
        <v/>
      </c>
      <c r="U24" s="366"/>
      <c r="V24" s="364" t="str">
        <f>IF(AND('Mapa final'!$L$16="Media",'Mapa final'!$P$16="Moderado"),CONCATENATE("R",'Mapa final'!$A$16),"")</f>
        <v/>
      </c>
      <c r="W24" s="365"/>
      <c r="X24" s="365" t="str">
        <f>IF(AND('Mapa final'!$L$19="Media",'Mapa final'!$P$19="Moderado"),CONCATENATE("R",'Mapa final'!$A$19),"")</f>
        <v/>
      </c>
      <c r="Y24" s="365"/>
      <c r="Z24" s="365" t="str">
        <f>IF(AND('Mapa final'!$L$25="Media",'Mapa final'!$P$25="Moderado"),CONCATENATE("R",'Mapa final'!$A$25),"")</f>
        <v/>
      </c>
      <c r="AA24" s="366"/>
      <c r="AB24" s="382" t="str">
        <f>IF(AND('Mapa final'!$L$16="Media",'Mapa final'!$P$16="Mayor"),CONCATENATE("R",'Mapa final'!$A$16),"")</f>
        <v/>
      </c>
      <c r="AC24" s="383"/>
      <c r="AD24" s="383" t="str">
        <f>IF(AND('Mapa final'!$L$19="Media",'Mapa final'!$P$19="Mayor"),CONCATENATE("R",'Mapa final'!$A$19),"")</f>
        <v/>
      </c>
      <c r="AE24" s="383"/>
      <c r="AF24" s="383" t="str">
        <f>IF(AND('Mapa final'!$L$25="Media",'Mapa final'!$P$25="Mayor"),CONCATENATE("R",'Mapa final'!$A$25),"")</f>
        <v/>
      </c>
      <c r="AG24" s="384"/>
      <c r="AH24" s="373" t="str">
        <f>IF(AND('Mapa final'!$L$16="Media",'Mapa final'!$P$16="Catastrófico"),CONCATENATE("R",'Mapa final'!$A$16),"")</f>
        <v/>
      </c>
      <c r="AI24" s="374"/>
      <c r="AJ24" s="374" t="str">
        <f>IF(AND('Mapa final'!$L$19="Media",'Mapa final'!$P$19="Catastrófico"),CONCATENATE("R",'Mapa final'!$A$19),"")</f>
        <v/>
      </c>
      <c r="AK24" s="374"/>
      <c r="AL24" s="374" t="str">
        <f>IF(AND('Mapa final'!$L$25="Media",'Mapa final'!$P$25="Catastrófico"),CONCATENATE("R",'Mapa final'!$A$25),"")</f>
        <v/>
      </c>
      <c r="AM24" s="375"/>
      <c r="AN24" s="80"/>
      <c r="AO24" s="425"/>
      <c r="AP24" s="426"/>
      <c r="AQ24" s="426"/>
      <c r="AR24" s="426"/>
      <c r="AS24" s="426"/>
      <c r="AT24" s="427"/>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c r="BY24" s="80"/>
      <c r="BZ24" s="80"/>
      <c r="CA24" s="80"/>
      <c r="CB24" s="80"/>
    </row>
    <row r="25" spans="1:80" x14ac:dyDescent="0.25">
      <c r="A25" s="80"/>
      <c r="B25" s="402"/>
      <c r="C25" s="402"/>
      <c r="D25" s="403"/>
      <c r="E25" s="395"/>
      <c r="F25" s="396"/>
      <c r="G25" s="396"/>
      <c r="H25" s="396"/>
      <c r="I25" s="397"/>
      <c r="J25" s="364"/>
      <c r="K25" s="365"/>
      <c r="L25" s="365"/>
      <c r="M25" s="365"/>
      <c r="N25" s="365"/>
      <c r="O25" s="366"/>
      <c r="P25" s="364"/>
      <c r="Q25" s="365"/>
      <c r="R25" s="365"/>
      <c r="S25" s="365"/>
      <c r="T25" s="365"/>
      <c r="U25" s="366"/>
      <c r="V25" s="364"/>
      <c r="W25" s="365"/>
      <c r="X25" s="365"/>
      <c r="Y25" s="365"/>
      <c r="Z25" s="365"/>
      <c r="AA25" s="366"/>
      <c r="AB25" s="382"/>
      <c r="AC25" s="383"/>
      <c r="AD25" s="383"/>
      <c r="AE25" s="383"/>
      <c r="AF25" s="383"/>
      <c r="AG25" s="384"/>
      <c r="AH25" s="373"/>
      <c r="AI25" s="374"/>
      <c r="AJ25" s="374"/>
      <c r="AK25" s="374"/>
      <c r="AL25" s="374"/>
      <c r="AM25" s="375"/>
      <c r="AN25" s="80"/>
      <c r="AO25" s="425"/>
      <c r="AP25" s="426"/>
      <c r="AQ25" s="426"/>
      <c r="AR25" s="426"/>
      <c r="AS25" s="426"/>
      <c r="AT25" s="427"/>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c r="BY25" s="80"/>
      <c r="BZ25" s="80"/>
      <c r="CA25" s="80"/>
      <c r="CB25" s="80"/>
    </row>
    <row r="26" spans="1:80" x14ac:dyDescent="0.25">
      <c r="A26" s="80"/>
      <c r="B26" s="402"/>
      <c r="C26" s="402"/>
      <c r="D26" s="403"/>
      <c r="E26" s="395"/>
      <c r="F26" s="396"/>
      <c r="G26" s="396"/>
      <c r="H26" s="396"/>
      <c r="I26" s="397"/>
      <c r="J26" s="364" t="str">
        <f>IF(AND('Mapa final'!$L$31="Media",'Mapa final'!$P$31="Leve"),CONCATENATE("R",'Mapa final'!$A$31),"")</f>
        <v/>
      </c>
      <c r="K26" s="365"/>
      <c r="L26" s="365" t="str">
        <f>IF(AND('Mapa final'!$L$37="Media",'Mapa final'!$P$37="Leve"),CONCATENATE("R",'Mapa final'!$A$37),"")</f>
        <v/>
      </c>
      <c r="M26" s="365"/>
      <c r="N26" s="365" t="str">
        <f>IF(AND('Mapa final'!$L$43="Media",'Mapa final'!$P$43="Leve"),CONCATENATE("R",'Mapa final'!$A$43),"")</f>
        <v/>
      </c>
      <c r="O26" s="366"/>
      <c r="P26" s="364" t="str">
        <f>IF(AND('Mapa final'!$L$31="Media",'Mapa final'!$P$31="Menor"),CONCATENATE("R",'Mapa final'!$A$31),"")</f>
        <v/>
      </c>
      <c r="Q26" s="365"/>
      <c r="R26" s="365" t="str">
        <f>IF(AND('Mapa final'!$L$37="Media",'Mapa final'!$P$37="Menor"),CONCATENATE("R",'Mapa final'!$A$37),"")</f>
        <v/>
      </c>
      <c r="S26" s="365"/>
      <c r="T26" s="365" t="str">
        <f>IF(AND('Mapa final'!$L$43="Media",'Mapa final'!$P$43="Menor"),CONCATENATE("R",'Mapa final'!$A$43),"")</f>
        <v/>
      </c>
      <c r="U26" s="366"/>
      <c r="V26" s="364" t="str">
        <f>IF(AND('Mapa final'!$L$31="Media",'Mapa final'!$P$31="Moderado"),CONCATENATE("R",'Mapa final'!$A$31),"")</f>
        <v/>
      </c>
      <c r="W26" s="365"/>
      <c r="X26" s="365" t="str">
        <f>IF(AND('Mapa final'!$L$37="Media",'Mapa final'!$P$37="Moderado"),CONCATENATE("R",'Mapa final'!$A$37),"")</f>
        <v/>
      </c>
      <c r="Y26" s="365"/>
      <c r="Z26" s="365" t="str">
        <f>IF(AND('Mapa final'!$L$43="Media",'Mapa final'!$P$43="Moderado"),CONCATENATE("R",'Mapa final'!$A$43),"")</f>
        <v/>
      </c>
      <c r="AA26" s="366"/>
      <c r="AB26" s="382" t="str">
        <f>IF(AND('Mapa final'!$L$31="Media",'Mapa final'!$P$31="Mayor"),CONCATENATE("R",'Mapa final'!$A$31),"")</f>
        <v/>
      </c>
      <c r="AC26" s="383"/>
      <c r="AD26" s="383" t="str">
        <f>IF(AND('Mapa final'!$L$37="Media",'Mapa final'!$P$37="Mayor"),CONCATENATE("R",'Mapa final'!$A$37),"")</f>
        <v/>
      </c>
      <c r="AE26" s="383"/>
      <c r="AF26" s="383" t="str">
        <f>IF(AND('Mapa final'!$L$43="Media",'Mapa final'!$P$43="Mayor"),CONCATENATE("R",'Mapa final'!$A$43),"")</f>
        <v/>
      </c>
      <c r="AG26" s="384"/>
      <c r="AH26" s="373" t="str">
        <f>IF(AND('Mapa final'!$L$31="Media",'Mapa final'!$P$31="Catastrófico"),CONCATENATE("R",'Mapa final'!$A$31),"")</f>
        <v/>
      </c>
      <c r="AI26" s="374"/>
      <c r="AJ26" s="374" t="str">
        <f>IF(AND('Mapa final'!$L$37="Media",'Mapa final'!$P$37="Catastrófico"),CONCATENATE("R",'Mapa final'!$A$37),"")</f>
        <v/>
      </c>
      <c r="AK26" s="374"/>
      <c r="AL26" s="374" t="str">
        <f>IF(AND('Mapa final'!$L$43="Media",'Mapa final'!$P$43="Catastrófico"),CONCATENATE("R",'Mapa final'!$A$43),"")</f>
        <v/>
      </c>
      <c r="AM26" s="375"/>
      <c r="AN26" s="80"/>
      <c r="AO26" s="425"/>
      <c r="AP26" s="426"/>
      <c r="AQ26" s="426"/>
      <c r="AR26" s="426"/>
      <c r="AS26" s="426"/>
      <c r="AT26" s="427"/>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0"/>
      <c r="BZ26" s="80"/>
      <c r="CA26" s="80"/>
      <c r="CB26" s="80"/>
    </row>
    <row r="27" spans="1:80" x14ac:dyDescent="0.25">
      <c r="A27" s="80"/>
      <c r="B27" s="402"/>
      <c r="C27" s="402"/>
      <c r="D27" s="403"/>
      <c r="E27" s="395"/>
      <c r="F27" s="396"/>
      <c r="G27" s="396"/>
      <c r="H27" s="396"/>
      <c r="I27" s="397"/>
      <c r="J27" s="364"/>
      <c r="K27" s="365"/>
      <c r="L27" s="365"/>
      <c r="M27" s="365"/>
      <c r="N27" s="365"/>
      <c r="O27" s="366"/>
      <c r="P27" s="364"/>
      <c r="Q27" s="365"/>
      <c r="R27" s="365"/>
      <c r="S27" s="365"/>
      <c r="T27" s="365"/>
      <c r="U27" s="366"/>
      <c r="V27" s="364"/>
      <c r="W27" s="365"/>
      <c r="X27" s="365"/>
      <c r="Y27" s="365"/>
      <c r="Z27" s="365"/>
      <c r="AA27" s="366"/>
      <c r="AB27" s="382"/>
      <c r="AC27" s="383"/>
      <c r="AD27" s="383"/>
      <c r="AE27" s="383"/>
      <c r="AF27" s="383"/>
      <c r="AG27" s="384"/>
      <c r="AH27" s="373"/>
      <c r="AI27" s="374"/>
      <c r="AJ27" s="374"/>
      <c r="AK27" s="374"/>
      <c r="AL27" s="374"/>
      <c r="AM27" s="375"/>
      <c r="AN27" s="80"/>
      <c r="AO27" s="425"/>
      <c r="AP27" s="426"/>
      <c r="AQ27" s="426"/>
      <c r="AR27" s="426"/>
      <c r="AS27" s="426"/>
      <c r="AT27" s="427"/>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c r="BY27" s="80"/>
      <c r="BZ27" s="80"/>
      <c r="CA27" s="80"/>
      <c r="CB27" s="80"/>
    </row>
    <row r="28" spans="1:80" x14ac:dyDescent="0.25">
      <c r="A28" s="80"/>
      <c r="B28" s="402"/>
      <c r="C28" s="402"/>
      <c r="D28" s="403"/>
      <c r="E28" s="395"/>
      <c r="F28" s="396"/>
      <c r="G28" s="396"/>
      <c r="H28" s="396"/>
      <c r="I28" s="397"/>
      <c r="J28" s="364" t="str">
        <f>IF(AND('Mapa final'!$L$49="Media",'Mapa final'!$P$49="Leve"),CONCATENATE("R",'Mapa final'!$A$49),"")</f>
        <v/>
      </c>
      <c r="K28" s="365"/>
      <c r="L28" s="365" t="str">
        <f>IF(AND('Mapa final'!$L$55="Media",'Mapa final'!$P$55="Leve"),CONCATENATE("R",'Mapa final'!$A$55),"")</f>
        <v/>
      </c>
      <c r="M28" s="365"/>
      <c r="N28" s="365" t="str">
        <f>IF(AND('Mapa final'!$L$61="Media",'Mapa final'!$P$61="Leve"),CONCATENATE("R",'Mapa final'!$A$61),"")</f>
        <v/>
      </c>
      <c r="O28" s="366"/>
      <c r="P28" s="364" t="str">
        <f>IF(AND('Mapa final'!$L$49="Media",'Mapa final'!$P$49="Menor"),CONCATENATE("R",'Mapa final'!$A$49),"")</f>
        <v/>
      </c>
      <c r="Q28" s="365"/>
      <c r="R28" s="365" t="str">
        <f>IF(AND('Mapa final'!$L$55="Media",'Mapa final'!$P$55="Menor"),CONCATENATE("R",'Mapa final'!$A$55),"")</f>
        <v/>
      </c>
      <c r="S28" s="365"/>
      <c r="T28" s="365" t="str">
        <f>IF(AND('Mapa final'!$L$61="Media",'Mapa final'!$P$61="Menor"),CONCATENATE("R",'Mapa final'!$A$61),"")</f>
        <v/>
      </c>
      <c r="U28" s="366"/>
      <c r="V28" s="364" t="str">
        <f>IF(AND('Mapa final'!$L$49="Media",'Mapa final'!$P$49="Moderado"),CONCATENATE("R",'Mapa final'!$A$49),"")</f>
        <v/>
      </c>
      <c r="W28" s="365"/>
      <c r="X28" s="365" t="str">
        <f>IF(AND('Mapa final'!$L$55="Media",'Mapa final'!$P$55="Moderado"),CONCATENATE("R",'Mapa final'!$A$55),"")</f>
        <v/>
      </c>
      <c r="Y28" s="365"/>
      <c r="Z28" s="365" t="str">
        <f>IF(AND('Mapa final'!$L$61="Media",'Mapa final'!$P$61="Moderado"),CONCATENATE("R",'Mapa final'!$A$61),"")</f>
        <v/>
      </c>
      <c r="AA28" s="366"/>
      <c r="AB28" s="382" t="str">
        <f>IF(AND('Mapa final'!$L$49="Media",'Mapa final'!$P$49="Mayor"),CONCATENATE("R",'Mapa final'!$A$49),"")</f>
        <v/>
      </c>
      <c r="AC28" s="383"/>
      <c r="AD28" s="383" t="str">
        <f>IF(AND('Mapa final'!$L$55="Media",'Mapa final'!$P$55="Mayor"),CONCATENATE("R",'Mapa final'!$A$55),"")</f>
        <v/>
      </c>
      <c r="AE28" s="383"/>
      <c r="AF28" s="383" t="str">
        <f>IF(AND('Mapa final'!$L$61="Media",'Mapa final'!$P$61="Mayor"),CONCATENATE("R",'Mapa final'!$A$61),"")</f>
        <v/>
      </c>
      <c r="AG28" s="384"/>
      <c r="AH28" s="373" t="str">
        <f>IF(AND('Mapa final'!$L$49="Media",'Mapa final'!$P$49="Catastrófico"),CONCATENATE("R",'Mapa final'!$A$49),"")</f>
        <v/>
      </c>
      <c r="AI28" s="374"/>
      <c r="AJ28" s="374" t="str">
        <f>IF(AND('Mapa final'!$L$55="Media",'Mapa final'!$P$55="Catastrófico"),CONCATENATE("R",'Mapa final'!$A$55),"")</f>
        <v/>
      </c>
      <c r="AK28" s="374"/>
      <c r="AL28" s="374" t="str">
        <f>IF(AND('Mapa final'!$L$61="Media",'Mapa final'!$P$61="Catastrófico"),CONCATENATE("R",'Mapa final'!$A$61),"")</f>
        <v/>
      </c>
      <c r="AM28" s="375"/>
      <c r="AN28" s="80"/>
      <c r="AO28" s="425"/>
      <c r="AP28" s="426"/>
      <c r="AQ28" s="426"/>
      <c r="AR28" s="426"/>
      <c r="AS28" s="426"/>
      <c r="AT28" s="427"/>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c r="BY28" s="80"/>
      <c r="BZ28" s="80"/>
      <c r="CA28" s="80"/>
      <c r="CB28" s="80"/>
    </row>
    <row r="29" spans="1:80" ht="15.75" thickBot="1" x14ac:dyDescent="0.3">
      <c r="A29" s="80"/>
      <c r="B29" s="402"/>
      <c r="C29" s="402"/>
      <c r="D29" s="403"/>
      <c r="E29" s="398"/>
      <c r="F29" s="399"/>
      <c r="G29" s="399"/>
      <c r="H29" s="399"/>
      <c r="I29" s="400"/>
      <c r="J29" s="364"/>
      <c r="K29" s="365"/>
      <c r="L29" s="365"/>
      <c r="M29" s="365"/>
      <c r="N29" s="365"/>
      <c r="O29" s="366"/>
      <c r="P29" s="367"/>
      <c r="Q29" s="368"/>
      <c r="R29" s="368"/>
      <c r="S29" s="368"/>
      <c r="T29" s="368"/>
      <c r="U29" s="369"/>
      <c r="V29" s="367"/>
      <c r="W29" s="368"/>
      <c r="X29" s="368"/>
      <c r="Y29" s="368"/>
      <c r="Z29" s="368"/>
      <c r="AA29" s="369"/>
      <c r="AB29" s="385"/>
      <c r="AC29" s="386"/>
      <c r="AD29" s="386"/>
      <c r="AE29" s="386"/>
      <c r="AF29" s="386"/>
      <c r="AG29" s="387"/>
      <c r="AH29" s="376"/>
      <c r="AI29" s="377"/>
      <c r="AJ29" s="377"/>
      <c r="AK29" s="377"/>
      <c r="AL29" s="377"/>
      <c r="AM29" s="378"/>
      <c r="AN29" s="80"/>
      <c r="AO29" s="428"/>
      <c r="AP29" s="429"/>
      <c r="AQ29" s="429"/>
      <c r="AR29" s="429"/>
      <c r="AS29" s="429"/>
      <c r="AT29" s="43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80"/>
      <c r="CB29" s="80"/>
    </row>
    <row r="30" spans="1:80" x14ac:dyDescent="0.25">
      <c r="A30" s="80"/>
      <c r="B30" s="402"/>
      <c r="C30" s="402"/>
      <c r="D30" s="403"/>
      <c r="E30" s="392" t="s">
        <v>144</v>
      </c>
      <c r="F30" s="393"/>
      <c r="G30" s="393"/>
      <c r="H30" s="393"/>
      <c r="I30" s="393"/>
      <c r="J30" s="361" t="str">
        <f>IF(AND('Mapa final'!$L$11="Baja",'Mapa final'!$P$11="Leve"),CONCATENATE("R",'Mapa final'!$A$11),"")</f>
        <v/>
      </c>
      <c r="K30" s="362"/>
      <c r="L30" s="362" t="str">
        <f>IF(AND('Mapa final'!$L$12="Baja",'Mapa final'!$P$12="Leve"),CONCATENATE("R",'Mapa final'!$A$12),"")</f>
        <v/>
      </c>
      <c r="M30" s="362"/>
      <c r="N30" s="362" t="str">
        <f>IF(AND('Mapa final'!$L$14="Baja",'Mapa final'!$P$14="Leve"),CONCATENATE("R",'Mapa final'!$A$14),"")</f>
        <v/>
      </c>
      <c r="O30" s="363"/>
      <c r="P30" s="371" t="str">
        <f>IF(AND('Mapa final'!$L$11="Baja",'Mapa final'!$P$11="Menor"),CONCATENATE("R",'Mapa final'!$A$11),"")</f>
        <v/>
      </c>
      <c r="Q30" s="371"/>
      <c r="R30" s="371" t="str">
        <f>IF(AND('Mapa final'!$L$12="Baja",'Mapa final'!$P$12="Menor"),CONCATENATE("R",'Mapa final'!$A$12),"")</f>
        <v>R2</v>
      </c>
      <c r="S30" s="371"/>
      <c r="T30" s="371" t="str">
        <f>IF(AND('Mapa final'!$L$14="Baja",'Mapa final'!$P$14="Menor"),CONCATENATE("R",'Mapa final'!$A$14),"")</f>
        <v/>
      </c>
      <c r="U30" s="372"/>
      <c r="V30" s="370" t="str">
        <f>IF(AND('Mapa final'!$L$11="Baja",'Mapa final'!$P$11="Moderado"),CONCATENATE("R",'Mapa final'!$A$11),"")</f>
        <v/>
      </c>
      <c r="W30" s="371"/>
      <c r="X30" s="371" t="str">
        <f>IF(AND('Mapa final'!$L$12="Baja",'Mapa final'!$P$12="Moderado"),CONCATENATE("R",'Mapa final'!$A$12),"")</f>
        <v/>
      </c>
      <c r="Y30" s="371"/>
      <c r="Z30" s="371" t="str">
        <f>IF(AND('Mapa final'!$L$14="Baja",'Mapa final'!$P$14="Moderado"),CONCATENATE("R",'Mapa final'!$A$14),"")</f>
        <v/>
      </c>
      <c r="AA30" s="372"/>
      <c r="AB30" s="388" t="str">
        <f>IF(AND('Mapa final'!$L$11="Baja",'Mapa final'!$P$11="Mayor"),CONCATENATE("R",'Mapa final'!$A$11),"")</f>
        <v/>
      </c>
      <c r="AC30" s="389"/>
      <c r="AD30" s="389" t="str">
        <f>IF(AND('Mapa final'!$L$12="Baja",'Mapa final'!$P$12="Mayor"),CONCATENATE("R",'Mapa final'!$A$12),"")</f>
        <v/>
      </c>
      <c r="AE30" s="389"/>
      <c r="AF30" s="389" t="str">
        <f>IF(AND('Mapa final'!$L$14="Baja",'Mapa final'!$P$14="Mayor"),CONCATENATE("R",'Mapa final'!$A$14),"")</f>
        <v/>
      </c>
      <c r="AG30" s="390"/>
      <c r="AH30" s="379" t="str">
        <f>IF(AND('Mapa final'!$L$11="Baja",'Mapa final'!$P$11="Catastrófico"),CONCATENATE("R",'Mapa final'!$A$11),"")</f>
        <v>R1</v>
      </c>
      <c r="AI30" s="380"/>
      <c r="AJ30" s="380" t="str">
        <f>IF(AND('Mapa final'!$L$12="Baja",'Mapa final'!$P$12="Catastrófico"),CONCATENATE("R",'Mapa final'!$A$12),"")</f>
        <v/>
      </c>
      <c r="AK30" s="380"/>
      <c r="AL30" s="380" t="str">
        <f>IF(AND('Mapa final'!$L$14="Baja",'Mapa final'!$P$14="Catastrófico"),CONCATENATE("R",'Mapa final'!$A$14),"")</f>
        <v>R3</v>
      </c>
      <c r="AM30" s="381"/>
      <c r="AN30" s="80"/>
      <c r="AO30" s="431" t="s">
        <v>145</v>
      </c>
      <c r="AP30" s="432"/>
      <c r="AQ30" s="432"/>
      <c r="AR30" s="432"/>
      <c r="AS30" s="432"/>
      <c r="AT30" s="433"/>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80"/>
      <c r="CB30" s="80"/>
    </row>
    <row r="31" spans="1:80" x14ac:dyDescent="0.25">
      <c r="A31" s="80"/>
      <c r="B31" s="402"/>
      <c r="C31" s="402"/>
      <c r="D31" s="403"/>
      <c r="E31" s="395"/>
      <c r="F31" s="396"/>
      <c r="G31" s="396"/>
      <c r="H31" s="396"/>
      <c r="I31" s="396"/>
      <c r="J31" s="355"/>
      <c r="K31" s="356"/>
      <c r="L31" s="356"/>
      <c r="M31" s="356"/>
      <c r="N31" s="356"/>
      <c r="O31" s="357"/>
      <c r="P31" s="365"/>
      <c r="Q31" s="365"/>
      <c r="R31" s="365"/>
      <c r="S31" s="365"/>
      <c r="T31" s="365"/>
      <c r="U31" s="366"/>
      <c r="V31" s="364"/>
      <c r="W31" s="365"/>
      <c r="X31" s="365"/>
      <c r="Y31" s="365"/>
      <c r="Z31" s="365"/>
      <c r="AA31" s="366"/>
      <c r="AB31" s="382"/>
      <c r="AC31" s="383"/>
      <c r="AD31" s="383"/>
      <c r="AE31" s="383"/>
      <c r="AF31" s="383"/>
      <c r="AG31" s="384"/>
      <c r="AH31" s="373"/>
      <c r="AI31" s="374"/>
      <c r="AJ31" s="374"/>
      <c r="AK31" s="374"/>
      <c r="AL31" s="374"/>
      <c r="AM31" s="375"/>
      <c r="AN31" s="80"/>
      <c r="AO31" s="434"/>
      <c r="AP31" s="435"/>
      <c r="AQ31" s="435"/>
      <c r="AR31" s="435"/>
      <c r="AS31" s="435"/>
      <c r="AT31" s="436"/>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80"/>
      <c r="CB31" s="80"/>
    </row>
    <row r="32" spans="1:80" x14ac:dyDescent="0.25">
      <c r="A32" s="80"/>
      <c r="B32" s="402"/>
      <c r="C32" s="402"/>
      <c r="D32" s="403"/>
      <c r="E32" s="395"/>
      <c r="F32" s="396"/>
      <c r="G32" s="396"/>
      <c r="H32" s="396"/>
      <c r="I32" s="396"/>
      <c r="J32" s="355" t="str">
        <f>IF(AND('Mapa final'!$L$16="Baja",'Mapa final'!$P$16="Leve"),CONCATENATE("R",'Mapa final'!$A$16),"")</f>
        <v/>
      </c>
      <c r="K32" s="356"/>
      <c r="L32" s="356" t="str">
        <f>IF(AND('Mapa final'!$L$19="Baja",'Mapa final'!$P$19="Leve"),CONCATENATE("R",'Mapa final'!$A$19),"")</f>
        <v/>
      </c>
      <c r="M32" s="356"/>
      <c r="N32" s="356" t="str">
        <f>IF(AND('Mapa final'!$L$25="Baja",'Mapa final'!$P$25="Leve"),CONCATENATE("R",'Mapa final'!$A$25),"")</f>
        <v/>
      </c>
      <c r="O32" s="357"/>
      <c r="P32" s="365" t="str">
        <f>IF(AND('Mapa final'!$L$16="Baja",'Mapa final'!$P$16="Menor"),CONCATENATE("R",'Mapa final'!$A$16),"")</f>
        <v>R4</v>
      </c>
      <c r="Q32" s="365"/>
      <c r="R32" s="365" t="str">
        <f>IF(AND('Mapa final'!$L$19="Baja",'Mapa final'!$P$19="Menor"),CONCATENATE("R",'Mapa final'!$A$19),"")</f>
        <v/>
      </c>
      <c r="S32" s="365"/>
      <c r="T32" s="365" t="str">
        <f>IF(AND('Mapa final'!$L$25="Baja",'Mapa final'!$P$25="Menor"),CONCATENATE("R",'Mapa final'!$A$25),"")</f>
        <v/>
      </c>
      <c r="U32" s="366"/>
      <c r="V32" s="364" t="str">
        <f>IF(AND('Mapa final'!$L$16="Baja",'Mapa final'!$P$16="Moderado"),CONCATENATE("R",'Mapa final'!$A$16),"")</f>
        <v/>
      </c>
      <c r="W32" s="365"/>
      <c r="X32" s="365" t="str">
        <f>IF(AND('Mapa final'!$L$19="Baja",'Mapa final'!$P$19="Moderado"),CONCATENATE("R",'Mapa final'!$A$19),"")</f>
        <v/>
      </c>
      <c r="Y32" s="365"/>
      <c r="Z32" s="365" t="str">
        <f>IF(AND('Mapa final'!$L$25="Baja",'Mapa final'!$P$25="Moderado"),CONCATENATE("R",'Mapa final'!$A$25),"")</f>
        <v/>
      </c>
      <c r="AA32" s="366"/>
      <c r="AB32" s="382" t="str">
        <f>IF(AND('Mapa final'!$L$16="Baja",'Mapa final'!$P$16="Mayor"),CONCATENATE("R",'Mapa final'!$A$16),"")</f>
        <v/>
      </c>
      <c r="AC32" s="383"/>
      <c r="AD32" s="383" t="str">
        <f>IF(AND('Mapa final'!$L$19="Baja",'Mapa final'!$P$19="Mayor"),CONCATENATE("R",'Mapa final'!$A$19),"")</f>
        <v/>
      </c>
      <c r="AE32" s="383"/>
      <c r="AF32" s="383" t="str">
        <f>IF(AND('Mapa final'!$L$25="Baja",'Mapa final'!$P$25="Mayor"),CONCATENATE("R",'Mapa final'!$A$25),"")</f>
        <v/>
      </c>
      <c r="AG32" s="384"/>
      <c r="AH32" s="373" t="str">
        <f>IF(AND('Mapa final'!$L$16="Baja",'Mapa final'!$P$16="Catastrófico"),CONCATENATE("R",'Mapa final'!$A$16),"")</f>
        <v/>
      </c>
      <c r="AI32" s="374"/>
      <c r="AJ32" s="374" t="str">
        <f>IF(AND('Mapa final'!$L$19="Baja",'Mapa final'!$P$19="Catastrófico"),CONCATENATE("R",'Mapa final'!$A$19),"")</f>
        <v/>
      </c>
      <c r="AK32" s="374"/>
      <c r="AL32" s="374" t="str">
        <f>IF(AND('Mapa final'!$L$25="Baja",'Mapa final'!$P$25="Catastrófico"),CONCATENATE("R",'Mapa final'!$A$25),"")</f>
        <v/>
      </c>
      <c r="AM32" s="375"/>
      <c r="AN32" s="80"/>
      <c r="AO32" s="434"/>
      <c r="AP32" s="435"/>
      <c r="AQ32" s="435"/>
      <c r="AR32" s="435"/>
      <c r="AS32" s="435"/>
      <c r="AT32" s="436"/>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c r="BY32" s="80"/>
      <c r="BZ32" s="80"/>
      <c r="CA32" s="80"/>
      <c r="CB32" s="80"/>
    </row>
    <row r="33" spans="1:80" x14ac:dyDescent="0.25">
      <c r="A33" s="80"/>
      <c r="B33" s="402"/>
      <c r="C33" s="402"/>
      <c r="D33" s="403"/>
      <c r="E33" s="395"/>
      <c r="F33" s="396"/>
      <c r="G33" s="396"/>
      <c r="H33" s="396"/>
      <c r="I33" s="396"/>
      <c r="J33" s="355"/>
      <c r="K33" s="356"/>
      <c r="L33" s="356"/>
      <c r="M33" s="356"/>
      <c r="N33" s="356"/>
      <c r="O33" s="357"/>
      <c r="P33" s="365"/>
      <c r="Q33" s="365"/>
      <c r="R33" s="365"/>
      <c r="S33" s="365"/>
      <c r="T33" s="365"/>
      <c r="U33" s="366"/>
      <c r="V33" s="364"/>
      <c r="W33" s="365"/>
      <c r="X33" s="365"/>
      <c r="Y33" s="365"/>
      <c r="Z33" s="365"/>
      <c r="AA33" s="366"/>
      <c r="AB33" s="382"/>
      <c r="AC33" s="383"/>
      <c r="AD33" s="383"/>
      <c r="AE33" s="383"/>
      <c r="AF33" s="383"/>
      <c r="AG33" s="384"/>
      <c r="AH33" s="373"/>
      <c r="AI33" s="374"/>
      <c r="AJ33" s="374"/>
      <c r="AK33" s="374"/>
      <c r="AL33" s="374"/>
      <c r="AM33" s="375"/>
      <c r="AN33" s="80"/>
      <c r="AO33" s="434"/>
      <c r="AP33" s="435"/>
      <c r="AQ33" s="435"/>
      <c r="AR33" s="435"/>
      <c r="AS33" s="435"/>
      <c r="AT33" s="436"/>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c r="BY33" s="80"/>
      <c r="BZ33" s="80"/>
      <c r="CA33" s="80"/>
      <c r="CB33" s="80"/>
    </row>
    <row r="34" spans="1:80" x14ac:dyDescent="0.25">
      <c r="A34" s="80"/>
      <c r="B34" s="402"/>
      <c r="C34" s="402"/>
      <c r="D34" s="403"/>
      <c r="E34" s="395"/>
      <c r="F34" s="396"/>
      <c r="G34" s="396"/>
      <c r="H34" s="396"/>
      <c r="I34" s="396"/>
      <c r="J34" s="355" t="str">
        <f>IF(AND('Mapa final'!$L$31="Baja",'Mapa final'!$P$31="Leve"),CONCATENATE("R",'Mapa final'!$A$31),"")</f>
        <v/>
      </c>
      <c r="K34" s="356"/>
      <c r="L34" s="356" t="str">
        <f>IF(AND('Mapa final'!$L$37="Baja",'Mapa final'!$P$37="Leve"),CONCATENATE("R",'Mapa final'!$A$37),"")</f>
        <v/>
      </c>
      <c r="M34" s="356"/>
      <c r="N34" s="356" t="str">
        <f>IF(AND('Mapa final'!$L$43="Baja",'Mapa final'!$P$43="Leve"),CONCATENATE("R",'Mapa final'!$A$43),"")</f>
        <v/>
      </c>
      <c r="O34" s="357"/>
      <c r="P34" s="365" t="str">
        <f>IF(AND('Mapa final'!$L$31="Baja",'Mapa final'!$P$31="Menor"),CONCATENATE("R",'Mapa final'!$A$31),"")</f>
        <v/>
      </c>
      <c r="Q34" s="365"/>
      <c r="R34" s="365" t="str">
        <f>IF(AND('Mapa final'!$L$37="Baja",'Mapa final'!$P$37="Menor"),CONCATENATE("R",'Mapa final'!$A$37),"")</f>
        <v/>
      </c>
      <c r="S34" s="365"/>
      <c r="T34" s="365" t="str">
        <f>IF(AND('Mapa final'!$L$43="Baja",'Mapa final'!$P$43="Menor"),CONCATENATE("R",'Mapa final'!$A$43),"")</f>
        <v/>
      </c>
      <c r="U34" s="366"/>
      <c r="V34" s="364" t="str">
        <f>IF(AND('Mapa final'!$L$31="Baja",'Mapa final'!$P$31="Moderado"),CONCATENATE("R",'Mapa final'!$A$31),"")</f>
        <v/>
      </c>
      <c r="W34" s="365"/>
      <c r="X34" s="365" t="str">
        <f>IF(AND('Mapa final'!$L$37="Baja",'Mapa final'!$P$37="Moderado"),CONCATENATE("R",'Mapa final'!$A$37),"")</f>
        <v/>
      </c>
      <c r="Y34" s="365"/>
      <c r="Z34" s="365" t="str">
        <f>IF(AND('Mapa final'!$L$43="Baja",'Mapa final'!$P$43="Moderado"),CONCATENATE("R",'Mapa final'!$A$43),"")</f>
        <v/>
      </c>
      <c r="AA34" s="366"/>
      <c r="AB34" s="382" t="str">
        <f>IF(AND('Mapa final'!$L$31="Baja",'Mapa final'!$P$31="Mayor"),CONCATENATE("R",'Mapa final'!$A$31),"")</f>
        <v/>
      </c>
      <c r="AC34" s="383"/>
      <c r="AD34" s="383" t="str">
        <f>IF(AND('Mapa final'!$L$37="Baja",'Mapa final'!$P$37="Mayor"),CONCATENATE("R",'Mapa final'!$A$37),"")</f>
        <v/>
      </c>
      <c r="AE34" s="383"/>
      <c r="AF34" s="383" t="str">
        <f>IF(AND('Mapa final'!$L$43="Baja",'Mapa final'!$P$43="Mayor"),CONCATENATE("R",'Mapa final'!$A$43),"")</f>
        <v/>
      </c>
      <c r="AG34" s="384"/>
      <c r="AH34" s="373" t="str">
        <f>IF(AND('Mapa final'!$L$31="Baja",'Mapa final'!$P$31="Catastrófico"),CONCATENATE("R",'Mapa final'!$A$31),"")</f>
        <v/>
      </c>
      <c r="AI34" s="374"/>
      <c r="AJ34" s="374" t="str">
        <f>IF(AND('Mapa final'!$L$37="Baja",'Mapa final'!$P$37="Catastrófico"),CONCATENATE("R",'Mapa final'!$A$37),"")</f>
        <v/>
      </c>
      <c r="AK34" s="374"/>
      <c r="AL34" s="374" t="str">
        <f>IF(AND('Mapa final'!$L$43="Baja",'Mapa final'!$P$43="Catastrófico"),CONCATENATE("R",'Mapa final'!$A$43),"")</f>
        <v/>
      </c>
      <c r="AM34" s="375"/>
      <c r="AN34" s="80"/>
      <c r="AO34" s="434"/>
      <c r="AP34" s="435"/>
      <c r="AQ34" s="435"/>
      <c r="AR34" s="435"/>
      <c r="AS34" s="435"/>
      <c r="AT34" s="436"/>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row>
    <row r="35" spans="1:80" x14ac:dyDescent="0.25">
      <c r="A35" s="80"/>
      <c r="B35" s="402"/>
      <c r="C35" s="402"/>
      <c r="D35" s="403"/>
      <c r="E35" s="395"/>
      <c r="F35" s="396"/>
      <c r="G35" s="396"/>
      <c r="H35" s="396"/>
      <c r="I35" s="396"/>
      <c r="J35" s="355"/>
      <c r="K35" s="356"/>
      <c r="L35" s="356"/>
      <c r="M35" s="356"/>
      <c r="N35" s="356"/>
      <c r="O35" s="357"/>
      <c r="P35" s="365"/>
      <c r="Q35" s="365"/>
      <c r="R35" s="365"/>
      <c r="S35" s="365"/>
      <c r="T35" s="365"/>
      <c r="U35" s="366"/>
      <c r="V35" s="364"/>
      <c r="W35" s="365"/>
      <c r="X35" s="365"/>
      <c r="Y35" s="365"/>
      <c r="Z35" s="365"/>
      <c r="AA35" s="366"/>
      <c r="AB35" s="382"/>
      <c r="AC35" s="383"/>
      <c r="AD35" s="383"/>
      <c r="AE35" s="383"/>
      <c r="AF35" s="383"/>
      <c r="AG35" s="384"/>
      <c r="AH35" s="373"/>
      <c r="AI35" s="374"/>
      <c r="AJ35" s="374"/>
      <c r="AK35" s="374"/>
      <c r="AL35" s="374"/>
      <c r="AM35" s="375"/>
      <c r="AN35" s="80"/>
      <c r="AO35" s="434"/>
      <c r="AP35" s="435"/>
      <c r="AQ35" s="435"/>
      <c r="AR35" s="435"/>
      <c r="AS35" s="435"/>
      <c r="AT35" s="436"/>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row>
    <row r="36" spans="1:80" x14ac:dyDescent="0.25">
      <c r="A36" s="80"/>
      <c r="B36" s="402"/>
      <c r="C36" s="402"/>
      <c r="D36" s="403"/>
      <c r="E36" s="395"/>
      <c r="F36" s="396"/>
      <c r="G36" s="396"/>
      <c r="H36" s="396"/>
      <c r="I36" s="396"/>
      <c r="J36" s="355" t="str">
        <f>IF(AND('Mapa final'!$L$49="Baja",'Mapa final'!$P$49="Leve"),CONCATENATE("R",'Mapa final'!$A$49),"")</f>
        <v/>
      </c>
      <c r="K36" s="356"/>
      <c r="L36" s="356" t="str">
        <f>IF(AND('Mapa final'!$L$55="Baja",'Mapa final'!$P$55="Leve"),CONCATENATE("R",'Mapa final'!$A$55),"")</f>
        <v/>
      </c>
      <c r="M36" s="356"/>
      <c r="N36" s="356" t="str">
        <f>IF(AND('Mapa final'!$L$61="Baja",'Mapa final'!$P$61="Leve"),CONCATENATE("R",'Mapa final'!$A$61),"")</f>
        <v/>
      </c>
      <c r="O36" s="357"/>
      <c r="P36" s="365" t="str">
        <f>IF(AND('Mapa final'!$L$49="Baja",'Mapa final'!$P$49="Menor"),CONCATENATE("R",'Mapa final'!$A$49),"")</f>
        <v/>
      </c>
      <c r="Q36" s="365"/>
      <c r="R36" s="365" t="str">
        <f>IF(AND('Mapa final'!$L$55="Baja",'Mapa final'!$P$55="Menor"),CONCATENATE("R",'Mapa final'!$A$55),"")</f>
        <v/>
      </c>
      <c r="S36" s="365"/>
      <c r="T36" s="365" t="str">
        <f>IF(AND('Mapa final'!$L$61="Baja",'Mapa final'!$P$61="Menor"),CONCATENATE("R",'Mapa final'!$A$61),"")</f>
        <v/>
      </c>
      <c r="U36" s="366"/>
      <c r="V36" s="364" t="str">
        <f>IF(AND('Mapa final'!$L$49="Baja",'Mapa final'!$P$49="Moderado"),CONCATENATE("R",'Mapa final'!$A$49),"")</f>
        <v/>
      </c>
      <c r="W36" s="365"/>
      <c r="X36" s="365" t="str">
        <f>IF(AND('Mapa final'!$L$55="Baja",'Mapa final'!$P$55="Moderado"),CONCATENATE("R",'Mapa final'!$A$55),"")</f>
        <v/>
      </c>
      <c r="Y36" s="365"/>
      <c r="Z36" s="365" t="str">
        <f>IF(AND('Mapa final'!$L$61="Baja",'Mapa final'!$P$61="Moderado"),CONCATENATE("R",'Mapa final'!$A$61),"")</f>
        <v/>
      </c>
      <c r="AA36" s="366"/>
      <c r="AB36" s="382" t="str">
        <f>IF(AND('Mapa final'!$L$49="Baja",'Mapa final'!$P$49="Mayor"),CONCATENATE("R",'Mapa final'!$A$49),"")</f>
        <v/>
      </c>
      <c r="AC36" s="383"/>
      <c r="AD36" s="383" t="str">
        <f>IF(AND('Mapa final'!$L$55="Baja",'Mapa final'!$P$55="Mayor"),CONCATENATE("R",'Mapa final'!$A$55),"")</f>
        <v/>
      </c>
      <c r="AE36" s="383"/>
      <c r="AF36" s="383" t="str">
        <f>IF(AND('Mapa final'!$L$61="Baja",'Mapa final'!$P$61="Mayor"),CONCATENATE("R",'Mapa final'!$A$61),"")</f>
        <v/>
      </c>
      <c r="AG36" s="384"/>
      <c r="AH36" s="373" t="str">
        <f>IF(AND('Mapa final'!$L$49="Baja",'Mapa final'!$P$49="Catastrófico"),CONCATENATE("R",'Mapa final'!$A$49),"")</f>
        <v/>
      </c>
      <c r="AI36" s="374"/>
      <c r="AJ36" s="374" t="str">
        <f>IF(AND('Mapa final'!$L$55="Baja",'Mapa final'!$P$55="Catastrófico"),CONCATENATE("R",'Mapa final'!$A$55),"")</f>
        <v/>
      </c>
      <c r="AK36" s="374"/>
      <c r="AL36" s="374" t="str">
        <f>IF(AND('Mapa final'!$L$61="Baja",'Mapa final'!$P$61="Catastrófico"),CONCATENATE("R",'Mapa final'!$A$61),"")</f>
        <v/>
      </c>
      <c r="AM36" s="375"/>
      <c r="AN36" s="80"/>
      <c r="AO36" s="434"/>
      <c r="AP36" s="435"/>
      <c r="AQ36" s="435"/>
      <c r="AR36" s="435"/>
      <c r="AS36" s="435"/>
      <c r="AT36" s="436"/>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row>
    <row r="37" spans="1:80" ht="15.75" thickBot="1" x14ac:dyDescent="0.3">
      <c r="A37" s="80"/>
      <c r="B37" s="402"/>
      <c r="C37" s="402"/>
      <c r="D37" s="403"/>
      <c r="E37" s="398"/>
      <c r="F37" s="399"/>
      <c r="G37" s="399"/>
      <c r="H37" s="399"/>
      <c r="I37" s="399"/>
      <c r="J37" s="358"/>
      <c r="K37" s="359"/>
      <c r="L37" s="359"/>
      <c r="M37" s="359"/>
      <c r="N37" s="359"/>
      <c r="O37" s="360"/>
      <c r="P37" s="368"/>
      <c r="Q37" s="368"/>
      <c r="R37" s="368"/>
      <c r="S37" s="368"/>
      <c r="T37" s="368"/>
      <c r="U37" s="369"/>
      <c r="V37" s="367"/>
      <c r="W37" s="368"/>
      <c r="X37" s="368"/>
      <c r="Y37" s="368"/>
      <c r="Z37" s="368"/>
      <c r="AA37" s="369"/>
      <c r="AB37" s="385"/>
      <c r="AC37" s="386"/>
      <c r="AD37" s="386"/>
      <c r="AE37" s="386"/>
      <c r="AF37" s="386"/>
      <c r="AG37" s="387"/>
      <c r="AH37" s="376"/>
      <c r="AI37" s="377"/>
      <c r="AJ37" s="377"/>
      <c r="AK37" s="377"/>
      <c r="AL37" s="377"/>
      <c r="AM37" s="378"/>
      <c r="AN37" s="80"/>
      <c r="AO37" s="437"/>
      <c r="AP37" s="438"/>
      <c r="AQ37" s="438"/>
      <c r="AR37" s="438"/>
      <c r="AS37" s="438"/>
      <c r="AT37" s="439"/>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c r="BY37" s="80"/>
      <c r="BZ37" s="80"/>
      <c r="CA37" s="80"/>
      <c r="CB37" s="80"/>
    </row>
    <row r="38" spans="1:80" x14ac:dyDescent="0.25">
      <c r="A38" s="80"/>
      <c r="B38" s="402"/>
      <c r="C38" s="402"/>
      <c r="D38" s="403"/>
      <c r="E38" s="392" t="s">
        <v>146</v>
      </c>
      <c r="F38" s="393"/>
      <c r="G38" s="393"/>
      <c r="H38" s="393"/>
      <c r="I38" s="394"/>
      <c r="J38" s="361" t="str">
        <f>IF(AND('Mapa final'!$L$11="Muy Baja",'Mapa final'!$P$11="Leve"),CONCATENATE("R",'Mapa final'!$A$11),"")</f>
        <v/>
      </c>
      <c r="K38" s="362"/>
      <c r="L38" s="362" t="str">
        <f>IF(AND('Mapa final'!$L$12="Muy Baja",'Mapa final'!$P$12="Leve"),CONCATENATE("R",'Mapa final'!$A$12),"")</f>
        <v/>
      </c>
      <c r="M38" s="362"/>
      <c r="N38" s="362" t="str">
        <f>IF(AND('Mapa final'!$L$14="Muy Baja",'Mapa final'!$P$14="Leve"),CONCATENATE("R",'Mapa final'!$A$14),"")</f>
        <v/>
      </c>
      <c r="O38" s="363"/>
      <c r="P38" s="361" t="str">
        <f>IF(AND('Mapa final'!$L$11="Muy Baja",'Mapa final'!$P$11="Menor"),CONCATENATE("R",'Mapa final'!$A$11),"")</f>
        <v/>
      </c>
      <c r="Q38" s="362"/>
      <c r="R38" s="362" t="str">
        <f>IF(AND('Mapa final'!$L$12="Muy Baja",'Mapa final'!$P$12="Menor"),CONCATENATE("R",'Mapa final'!$A$12),"")</f>
        <v/>
      </c>
      <c r="S38" s="362"/>
      <c r="T38" s="362" t="str">
        <f>IF(AND('Mapa final'!$L$14="Muy Baja",'Mapa final'!$P$14="Menor"),CONCATENATE("R",'Mapa final'!$A$14),"")</f>
        <v/>
      </c>
      <c r="U38" s="363"/>
      <c r="V38" s="370" t="str">
        <f>IF(AND('Mapa final'!$L$11="Muy Baja",'Mapa final'!$P$11="Moderado"),CONCATENATE("R",'Mapa final'!$A$11),"")</f>
        <v/>
      </c>
      <c r="W38" s="371"/>
      <c r="X38" s="371" t="str">
        <f>IF(AND('Mapa final'!$L$12="Muy Baja",'Mapa final'!$P$12="Moderado"),CONCATENATE("R",'Mapa final'!$A$12),"")</f>
        <v/>
      </c>
      <c r="Y38" s="371"/>
      <c r="Z38" s="371" t="str">
        <f>IF(AND('Mapa final'!$L$14="Muy Baja",'Mapa final'!$P$14="Moderado"),CONCATENATE("R",'Mapa final'!$A$14),"")</f>
        <v/>
      </c>
      <c r="AA38" s="372"/>
      <c r="AB38" s="388" t="str">
        <f>IF(AND('Mapa final'!$L$11="Muy Baja",'Mapa final'!$P$11="Mayor"),CONCATENATE("R",'Mapa final'!$A$11),"")</f>
        <v/>
      </c>
      <c r="AC38" s="389"/>
      <c r="AD38" s="389" t="str">
        <f>IF(AND('Mapa final'!$L$12="Muy Baja",'Mapa final'!$P$12="Mayor"),CONCATENATE("R",'Mapa final'!$A$12),"")</f>
        <v/>
      </c>
      <c r="AE38" s="389"/>
      <c r="AF38" s="389" t="str">
        <f>IF(AND('Mapa final'!$L$14="Muy Baja",'Mapa final'!$P$14="Mayor"),CONCATENATE("R",'Mapa final'!$A$14),"")</f>
        <v/>
      </c>
      <c r="AG38" s="390"/>
      <c r="AH38" s="379" t="str">
        <f>IF(AND('Mapa final'!$L$11="Muy Baja",'Mapa final'!$P$11="Catastrófico"),CONCATENATE("R",'Mapa final'!$A$11),"")</f>
        <v/>
      </c>
      <c r="AI38" s="380"/>
      <c r="AJ38" s="380" t="str">
        <f>IF(AND('Mapa final'!$L$12="Muy Baja",'Mapa final'!$P$12="Catastrófico"),CONCATENATE("R",'Mapa final'!$A$12),"")</f>
        <v/>
      </c>
      <c r="AK38" s="380"/>
      <c r="AL38" s="380" t="str">
        <f>IF(AND('Mapa final'!$L$14="Muy Baja",'Mapa final'!$P$14="Catastrófico"),CONCATENATE("R",'Mapa final'!$A$14),"")</f>
        <v/>
      </c>
      <c r="AM38" s="381"/>
      <c r="AN38" s="80"/>
      <c r="AO38" s="80"/>
      <c r="AP38" s="80"/>
      <c r="AQ38" s="80"/>
      <c r="AR38" s="80"/>
      <c r="AS38" s="80"/>
      <c r="AT38" s="80"/>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c r="BY38" s="80"/>
      <c r="BZ38" s="80"/>
      <c r="CA38" s="80"/>
      <c r="CB38" s="80"/>
    </row>
    <row r="39" spans="1:80" x14ac:dyDescent="0.25">
      <c r="A39" s="80"/>
      <c r="B39" s="402"/>
      <c r="C39" s="402"/>
      <c r="D39" s="403"/>
      <c r="E39" s="395"/>
      <c r="F39" s="396"/>
      <c r="G39" s="396"/>
      <c r="H39" s="396"/>
      <c r="I39" s="397"/>
      <c r="J39" s="355"/>
      <c r="K39" s="356"/>
      <c r="L39" s="356"/>
      <c r="M39" s="356"/>
      <c r="N39" s="356"/>
      <c r="O39" s="357"/>
      <c r="P39" s="355"/>
      <c r="Q39" s="356"/>
      <c r="R39" s="356"/>
      <c r="S39" s="356"/>
      <c r="T39" s="356"/>
      <c r="U39" s="357"/>
      <c r="V39" s="364"/>
      <c r="W39" s="365"/>
      <c r="X39" s="365"/>
      <c r="Y39" s="365"/>
      <c r="Z39" s="365"/>
      <c r="AA39" s="366"/>
      <c r="AB39" s="382"/>
      <c r="AC39" s="383"/>
      <c r="AD39" s="383"/>
      <c r="AE39" s="383"/>
      <c r="AF39" s="383"/>
      <c r="AG39" s="384"/>
      <c r="AH39" s="373"/>
      <c r="AI39" s="374"/>
      <c r="AJ39" s="374"/>
      <c r="AK39" s="374"/>
      <c r="AL39" s="374"/>
      <c r="AM39" s="375"/>
      <c r="AN39" s="80"/>
      <c r="AO39" s="80"/>
      <c r="AP39" s="80"/>
      <c r="AQ39" s="80"/>
      <c r="AR39" s="80"/>
      <c r="AS39" s="80"/>
      <c r="AT39" s="80"/>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c r="BY39" s="80"/>
      <c r="BZ39" s="80"/>
      <c r="CA39" s="80"/>
      <c r="CB39" s="80"/>
    </row>
    <row r="40" spans="1:80" x14ac:dyDescent="0.25">
      <c r="A40" s="80"/>
      <c r="B40" s="402"/>
      <c r="C40" s="402"/>
      <c r="D40" s="403"/>
      <c r="E40" s="395"/>
      <c r="F40" s="396"/>
      <c r="G40" s="396"/>
      <c r="H40" s="396"/>
      <c r="I40" s="397"/>
      <c r="J40" s="355" t="str">
        <f>IF(AND('Mapa final'!$L$16="Muy Baja",'Mapa final'!$P$16="Leve"),CONCATENATE("R",'Mapa final'!$A$16),"")</f>
        <v/>
      </c>
      <c r="K40" s="356"/>
      <c r="L40" s="356" t="str">
        <f>IF(AND('Mapa final'!$L$19="Muy Baja",'Mapa final'!$P$19="Leve"),CONCATENATE("R",'Mapa final'!$A$19),"")</f>
        <v/>
      </c>
      <c r="M40" s="356"/>
      <c r="N40" s="356" t="str">
        <f>IF(AND('Mapa final'!$L$25="Muy Baja",'Mapa final'!$P$25="Leve"),CONCATENATE("R",'Mapa final'!$A$25),"")</f>
        <v/>
      </c>
      <c r="O40" s="357"/>
      <c r="P40" s="355" t="str">
        <f>IF(AND('Mapa final'!$L$16="Muy Baja",'Mapa final'!$P$16="Menor"),CONCATENATE("R",'Mapa final'!$A$16),"")</f>
        <v/>
      </c>
      <c r="Q40" s="356"/>
      <c r="R40" s="356" t="str">
        <f>IF(AND('Mapa final'!$L$19="Muy Baja",'Mapa final'!$P$19="Menor"),CONCATENATE("R",'Mapa final'!$A$19),"")</f>
        <v/>
      </c>
      <c r="S40" s="356"/>
      <c r="T40" s="356" t="str">
        <f>IF(AND('Mapa final'!$L$25="Muy Baja",'Mapa final'!$P$25="Menor"),CONCATENATE("R",'Mapa final'!$A$25),"")</f>
        <v/>
      </c>
      <c r="U40" s="357"/>
      <c r="V40" s="364" t="str">
        <f>IF(AND('Mapa final'!$L$16="Muy Baja",'Mapa final'!$P$16="Moderado"),CONCATENATE("R",'Mapa final'!$A$16),"")</f>
        <v/>
      </c>
      <c r="W40" s="365"/>
      <c r="X40" s="365" t="str">
        <f>IF(AND('Mapa final'!$L$19="Muy Baja",'Mapa final'!$P$19="Moderado"),CONCATENATE("R",'Mapa final'!$A$19),"")</f>
        <v>R5</v>
      </c>
      <c r="Y40" s="365"/>
      <c r="Z40" s="365" t="str">
        <f>IF(AND('Mapa final'!$L$25="Muy Baja",'Mapa final'!$P$25="Moderado"),CONCATENATE("R",'Mapa final'!$A$25),"")</f>
        <v/>
      </c>
      <c r="AA40" s="366"/>
      <c r="AB40" s="382" t="str">
        <f>IF(AND('Mapa final'!$L$16="Muy Baja",'Mapa final'!$P$16="Mayor"),CONCATENATE("R",'Mapa final'!$A$16),"")</f>
        <v/>
      </c>
      <c r="AC40" s="383"/>
      <c r="AD40" s="383" t="str">
        <f>IF(AND('Mapa final'!$L$19="Muy Baja",'Mapa final'!$P$19="Mayor"),CONCATENATE("R",'Mapa final'!$A$19),"")</f>
        <v/>
      </c>
      <c r="AE40" s="383"/>
      <c r="AF40" s="383" t="str">
        <f>IF(AND('Mapa final'!$L$25="Muy Baja",'Mapa final'!$P$25="Mayor"),CONCATENATE("R",'Mapa final'!$A$25),"")</f>
        <v/>
      </c>
      <c r="AG40" s="384"/>
      <c r="AH40" s="373" t="str">
        <f>IF(AND('Mapa final'!$L$16="Muy Baja",'Mapa final'!$P$16="Catastrófico"),CONCATENATE("R",'Mapa final'!$A$16),"")</f>
        <v/>
      </c>
      <c r="AI40" s="374"/>
      <c r="AJ40" s="374" t="str">
        <f>IF(AND('Mapa final'!$L$19="Muy Baja",'Mapa final'!$P$19="Catastrófico"),CONCATENATE("R",'Mapa final'!$A$19),"")</f>
        <v/>
      </c>
      <c r="AK40" s="374"/>
      <c r="AL40" s="374" t="str">
        <f>IF(AND('Mapa final'!$L$25="Muy Baja",'Mapa final'!$P$25="Catastrófico"),CONCATENATE("R",'Mapa final'!$A$25),"")</f>
        <v/>
      </c>
      <c r="AM40" s="375"/>
      <c r="AN40" s="80"/>
      <c r="AO40" s="80"/>
      <c r="AP40" s="80"/>
      <c r="AQ40" s="80"/>
      <c r="AR40" s="80"/>
      <c r="AS40" s="80"/>
      <c r="AT40" s="80"/>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c r="BY40" s="80"/>
      <c r="BZ40" s="80"/>
      <c r="CA40" s="80"/>
      <c r="CB40" s="80"/>
    </row>
    <row r="41" spans="1:80" x14ac:dyDescent="0.25">
      <c r="A41" s="80"/>
      <c r="B41" s="402"/>
      <c r="C41" s="402"/>
      <c r="D41" s="403"/>
      <c r="E41" s="395"/>
      <c r="F41" s="396"/>
      <c r="G41" s="396"/>
      <c r="H41" s="396"/>
      <c r="I41" s="397"/>
      <c r="J41" s="355"/>
      <c r="K41" s="356"/>
      <c r="L41" s="356"/>
      <c r="M41" s="356"/>
      <c r="N41" s="356"/>
      <c r="O41" s="357"/>
      <c r="P41" s="355"/>
      <c r="Q41" s="356"/>
      <c r="R41" s="356"/>
      <c r="S41" s="356"/>
      <c r="T41" s="356"/>
      <c r="U41" s="357"/>
      <c r="V41" s="364"/>
      <c r="W41" s="365"/>
      <c r="X41" s="365"/>
      <c r="Y41" s="365"/>
      <c r="Z41" s="365"/>
      <c r="AA41" s="366"/>
      <c r="AB41" s="382"/>
      <c r="AC41" s="383"/>
      <c r="AD41" s="383"/>
      <c r="AE41" s="383"/>
      <c r="AF41" s="383"/>
      <c r="AG41" s="384"/>
      <c r="AH41" s="373"/>
      <c r="AI41" s="374"/>
      <c r="AJ41" s="374"/>
      <c r="AK41" s="374"/>
      <c r="AL41" s="374"/>
      <c r="AM41" s="375"/>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c r="BY41" s="80"/>
      <c r="BZ41" s="80"/>
      <c r="CA41" s="80"/>
      <c r="CB41" s="80"/>
    </row>
    <row r="42" spans="1:80" x14ac:dyDescent="0.25">
      <c r="A42" s="80"/>
      <c r="B42" s="402"/>
      <c r="C42" s="402"/>
      <c r="D42" s="403"/>
      <c r="E42" s="395"/>
      <c r="F42" s="396"/>
      <c r="G42" s="396"/>
      <c r="H42" s="396"/>
      <c r="I42" s="397"/>
      <c r="J42" s="355" t="str">
        <f>IF(AND('Mapa final'!$L$31="Muy Baja",'Mapa final'!$P$31="Leve"),CONCATENATE("R",'Mapa final'!$A$31),"")</f>
        <v/>
      </c>
      <c r="K42" s="356"/>
      <c r="L42" s="356" t="str">
        <f>IF(AND('Mapa final'!$L$37="Muy Baja",'Mapa final'!$P$37="Leve"),CONCATENATE("R",'Mapa final'!$A$37),"")</f>
        <v/>
      </c>
      <c r="M42" s="356"/>
      <c r="N42" s="356" t="str">
        <f>IF(AND('Mapa final'!$L$43="Muy Baja",'Mapa final'!$P$43="Leve"),CONCATENATE("R",'Mapa final'!$A$43),"")</f>
        <v/>
      </c>
      <c r="O42" s="357"/>
      <c r="P42" s="355" t="str">
        <f>IF(AND('Mapa final'!$L$31="Muy Baja",'Mapa final'!$P$31="Menor"),CONCATENATE("R",'Mapa final'!$A$31),"")</f>
        <v/>
      </c>
      <c r="Q42" s="356"/>
      <c r="R42" s="356" t="str">
        <f>IF(AND('Mapa final'!$L$37="Muy Baja",'Mapa final'!$P$37="Menor"),CONCATENATE("R",'Mapa final'!$A$37),"")</f>
        <v/>
      </c>
      <c r="S42" s="356"/>
      <c r="T42" s="356" t="str">
        <f>IF(AND('Mapa final'!$L$43="Muy Baja",'Mapa final'!$P$43="Menor"),CONCATENATE("R",'Mapa final'!$A$43),"")</f>
        <v/>
      </c>
      <c r="U42" s="357"/>
      <c r="V42" s="364" t="str">
        <f>IF(AND('Mapa final'!$L$31="Muy Baja",'Mapa final'!$P$31="Moderado"),CONCATENATE("R",'Mapa final'!$A$31),"")</f>
        <v/>
      </c>
      <c r="W42" s="365"/>
      <c r="X42" s="365" t="str">
        <f>IF(AND('Mapa final'!$L$37="Muy Baja",'Mapa final'!$P$37="Moderado"),CONCATENATE("R",'Mapa final'!$A$37),"")</f>
        <v/>
      </c>
      <c r="Y42" s="365"/>
      <c r="Z42" s="365" t="str">
        <f>IF(AND('Mapa final'!$L$43="Muy Baja",'Mapa final'!$P$43="Moderado"),CONCATENATE("R",'Mapa final'!$A$43),"")</f>
        <v/>
      </c>
      <c r="AA42" s="366"/>
      <c r="AB42" s="382" t="str">
        <f>IF(AND('Mapa final'!$L$31="Muy Baja",'Mapa final'!$P$31="Mayor"),CONCATENATE("R",'Mapa final'!$A$31),"")</f>
        <v/>
      </c>
      <c r="AC42" s="383"/>
      <c r="AD42" s="383" t="str">
        <f>IF(AND('Mapa final'!$L$37="Muy Baja",'Mapa final'!$P$37="Mayor"),CONCATENATE("R",'Mapa final'!$A$37),"")</f>
        <v/>
      </c>
      <c r="AE42" s="383"/>
      <c r="AF42" s="383" t="str">
        <f>IF(AND('Mapa final'!$L$43="Muy Baja",'Mapa final'!$P$43="Mayor"),CONCATENATE("R",'Mapa final'!$A$43),"")</f>
        <v/>
      </c>
      <c r="AG42" s="384"/>
      <c r="AH42" s="373" t="str">
        <f>IF(AND('Mapa final'!$L$31="Muy Baja",'Mapa final'!$P$31="Catastrófico"),CONCATENATE("R",'Mapa final'!$A$31),"")</f>
        <v/>
      </c>
      <c r="AI42" s="374"/>
      <c r="AJ42" s="374" t="str">
        <f>IF(AND('Mapa final'!$L$37="Muy Baja",'Mapa final'!$P$37="Catastrófico"),CONCATENATE("R",'Mapa final'!$A$37),"")</f>
        <v/>
      </c>
      <c r="AK42" s="374"/>
      <c r="AL42" s="374" t="str">
        <f>IF(AND('Mapa final'!$L$43="Muy Baja",'Mapa final'!$P$43="Catastrófico"),CONCATENATE("R",'Mapa final'!$A$43),"")</f>
        <v/>
      </c>
      <c r="AM42" s="375"/>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row>
    <row r="43" spans="1:80" x14ac:dyDescent="0.25">
      <c r="A43" s="80"/>
      <c r="B43" s="402"/>
      <c r="C43" s="402"/>
      <c r="D43" s="403"/>
      <c r="E43" s="395"/>
      <c r="F43" s="396"/>
      <c r="G43" s="396"/>
      <c r="H43" s="396"/>
      <c r="I43" s="397"/>
      <c r="J43" s="355"/>
      <c r="K43" s="356"/>
      <c r="L43" s="356"/>
      <c r="M43" s="356"/>
      <c r="N43" s="356"/>
      <c r="O43" s="357"/>
      <c r="P43" s="355"/>
      <c r="Q43" s="356"/>
      <c r="R43" s="356"/>
      <c r="S43" s="356"/>
      <c r="T43" s="356"/>
      <c r="U43" s="357"/>
      <c r="V43" s="364"/>
      <c r="W43" s="365"/>
      <c r="X43" s="365"/>
      <c r="Y43" s="365"/>
      <c r="Z43" s="365"/>
      <c r="AA43" s="366"/>
      <c r="AB43" s="382"/>
      <c r="AC43" s="383"/>
      <c r="AD43" s="383"/>
      <c r="AE43" s="383"/>
      <c r="AF43" s="383"/>
      <c r="AG43" s="384"/>
      <c r="AH43" s="373"/>
      <c r="AI43" s="374"/>
      <c r="AJ43" s="374"/>
      <c r="AK43" s="374"/>
      <c r="AL43" s="374"/>
      <c r="AM43" s="375"/>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row>
    <row r="44" spans="1:80" x14ac:dyDescent="0.25">
      <c r="A44" s="80"/>
      <c r="B44" s="402"/>
      <c r="C44" s="402"/>
      <c r="D44" s="403"/>
      <c r="E44" s="395"/>
      <c r="F44" s="396"/>
      <c r="G44" s="396"/>
      <c r="H44" s="396"/>
      <c r="I44" s="397"/>
      <c r="J44" s="355" t="str">
        <f>IF(AND('Mapa final'!$L$49="Muy Baja",'Mapa final'!$P$49="Leve"),CONCATENATE("R",'Mapa final'!$A$49),"")</f>
        <v/>
      </c>
      <c r="K44" s="356"/>
      <c r="L44" s="356" t="str">
        <f>IF(AND('Mapa final'!$L$55="Muy Baja",'Mapa final'!$P$55="Leve"),CONCATENATE("R",'Mapa final'!$A$55),"")</f>
        <v/>
      </c>
      <c r="M44" s="356"/>
      <c r="N44" s="356" t="str">
        <f>IF(AND('Mapa final'!$L$61="Muy Baja",'Mapa final'!$P$61="Leve"),CONCATENATE("R",'Mapa final'!$A$61),"")</f>
        <v/>
      </c>
      <c r="O44" s="357"/>
      <c r="P44" s="355" t="str">
        <f>IF(AND('Mapa final'!$L$49="Muy Baja",'Mapa final'!$P$49="Menor"),CONCATENATE("R",'Mapa final'!$A$49),"")</f>
        <v/>
      </c>
      <c r="Q44" s="356"/>
      <c r="R44" s="356" t="str">
        <f>IF(AND('Mapa final'!$L$55="Muy Baja",'Mapa final'!$P$55="Menor"),CONCATENATE("R",'Mapa final'!$A$55),"")</f>
        <v/>
      </c>
      <c r="S44" s="356"/>
      <c r="T44" s="356" t="str">
        <f>IF(AND('Mapa final'!$L$61="Muy Baja",'Mapa final'!$P$61="Menor"),CONCATENATE("R",'Mapa final'!$A$61),"")</f>
        <v/>
      </c>
      <c r="U44" s="357"/>
      <c r="V44" s="364" t="str">
        <f>IF(AND('Mapa final'!$L$49="Muy Baja",'Mapa final'!$P$49="Moderado"),CONCATENATE("R",'Mapa final'!$A$49),"")</f>
        <v/>
      </c>
      <c r="W44" s="365"/>
      <c r="X44" s="365" t="str">
        <f>IF(AND('Mapa final'!$L$55="Muy Baja",'Mapa final'!$P$55="Moderado"),CONCATENATE("R",'Mapa final'!$A$55),"")</f>
        <v/>
      </c>
      <c r="Y44" s="365"/>
      <c r="Z44" s="365" t="str">
        <f>IF(AND('Mapa final'!$L$61="Muy Baja",'Mapa final'!$P$61="Moderado"),CONCATENATE("R",'Mapa final'!$A$61),"")</f>
        <v/>
      </c>
      <c r="AA44" s="366"/>
      <c r="AB44" s="382" t="str">
        <f>IF(AND('Mapa final'!$L$49="Muy Baja",'Mapa final'!$P$49="Mayor"),CONCATENATE("R",'Mapa final'!$A$49),"")</f>
        <v/>
      </c>
      <c r="AC44" s="383"/>
      <c r="AD44" s="383" t="str">
        <f>IF(AND('Mapa final'!$L$55="Muy Baja",'Mapa final'!$P$55="Mayor"),CONCATENATE("R",'Mapa final'!$A$55),"")</f>
        <v/>
      </c>
      <c r="AE44" s="383"/>
      <c r="AF44" s="383" t="str">
        <f>IF(AND('Mapa final'!$L$61="Muy Baja",'Mapa final'!$P$61="Mayor"),CONCATENATE("R",'Mapa final'!$A$61),"")</f>
        <v/>
      </c>
      <c r="AG44" s="384"/>
      <c r="AH44" s="373" t="str">
        <f>IF(AND('Mapa final'!$L$49="Muy Baja",'Mapa final'!$P$49="Catastrófico"),CONCATENATE("R",'Mapa final'!$A$49),"")</f>
        <v/>
      </c>
      <c r="AI44" s="374"/>
      <c r="AJ44" s="374" t="str">
        <f>IF(AND('Mapa final'!$L$55="Muy Baja",'Mapa final'!$P$55="Catastrófico"),CONCATENATE("R",'Mapa final'!$A$55),"")</f>
        <v/>
      </c>
      <c r="AK44" s="374"/>
      <c r="AL44" s="374" t="str">
        <f>IF(AND('Mapa final'!$L$61="Muy Baja",'Mapa final'!$P$61="Catastrófico"),CONCATENATE("R",'Mapa final'!$A$61),"")</f>
        <v/>
      </c>
      <c r="AM44" s="375"/>
      <c r="AN44" s="80"/>
      <c r="AO44" s="80"/>
      <c r="AP44" s="80"/>
      <c r="AQ44" s="80"/>
      <c r="AR44" s="80"/>
      <c r="AS44" s="80"/>
      <c r="AT44" s="80"/>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c r="BY44" s="80"/>
      <c r="BZ44" s="80"/>
      <c r="CA44" s="80"/>
      <c r="CB44" s="80"/>
    </row>
    <row r="45" spans="1:80" ht="15.75" thickBot="1" x14ac:dyDescent="0.3">
      <c r="A45" s="80"/>
      <c r="B45" s="402"/>
      <c r="C45" s="402"/>
      <c r="D45" s="403"/>
      <c r="E45" s="398"/>
      <c r="F45" s="399"/>
      <c r="G45" s="399"/>
      <c r="H45" s="399"/>
      <c r="I45" s="400"/>
      <c r="J45" s="358"/>
      <c r="K45" s="359"/>
      <c r="L45" s="359"/>
      <c r="M45" s="359"/>
      <c r="N45" s="359"/>
      <c r="O45" s="360"/>
      <c r="P45" s="358"/>
      <c r="Q45" s="359"/>
      <c r="R45" s="359"/>
      <c r="S45" s="359"/>
      <c r="T45" s="359"/>
      <c r="U45" s="360"/>
      <c r="V45" s="367"/>
      <c r="W45" s="368"/>
      <c r="X45" s="368"/>
      <c r="Y45" s="368"/>
      <c r="Z45" s="368"/>
      <c r="AA45" s="369"/>
      <c r="AB45" s="385"/>
      <c r="AC45" s="386"/>
      <c r="AD45" s="386"/>
      <c r="AE45" s="386"/>
      <c r="AF45" s="386"/>
      <c r="AG45" s="387"/>
      <c r="AH45" s="376"/>
      <c r="AI45" s="377"/>
      <c r="AJ45" s="377"/>
      <c r="AK45" s="377"/>
      <c r="AL45" s="377"/>
      <c r="AM45" s="378"/>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row>
    <row r="46" spans="1:80" x14ac:dyDescent="0.25">
      <c r="A46" s="80"/>
      <c r="B46" s="80"/>
      <c r="C46" s="80"/>
      <c r="D46" s="80"/>
      <c r="E46" s="80"/>
      <c r="F46" s="80"/>
      <c r="G46" s="80"/>
      <c r="H46" s="80"/>
      <c r="I46" s="80"/>
      <c r="J46" s="392" t="s">
        <v>147</v>
      </c>
      <c r="K46" s="393"/>
      <c r="L46" s="393"/>
      <c r="M46" s="393"/>
      <c r="N46" s="393"/>
      <c r="O46" s="394"/>
      <c r="P46" s="392" t="s">
        <v>148</v>
      </c>
      <c r="Q46" s="393"/>
      <c r="R46" s="393"/>
      <c r="S46" s="393"/>
      <c r="T46" s="393"/>
      <c r="U46" s="394"/>
      <c r="V46" s="392" t="s">
        <v>149</v>
      </c>
      <c r="W46" s="393"/>
      <c r="X46" s="393"/>
      <c r="Y46" s="393"/>
      <c r="Z46" s="393"/>
      <c r="AA46" s="394"/>
      <c r="AB46" s="392" t="s">
        <v>150</v>
      </c>
      <c r="AC46" s="401"/>
      <c r="AD46" s="393"/>
      <c r="AE46" s="393"/>
      <c r="AF46" s="393"/>
      <c r="AG46" s="394"/>
      <c r="AH46" s="392" t="s">
        <v>151</v>
      </c>
      <c r="AI46" s="393"/>
      <c r="AJ46" s="393"/>
      <c r="AK46" s="393"/>
      <c r="AL46" s="393"/>
      <c r="AM46" s="394"/>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x14ac:dyDescent="0.25">
      <c r="A47" s="80"/>
      <c r="B47" s="80"/>
      <c r="C47" s="80"/>
      <c r="D47" s="80"/>
      <c r="E47" s="80"/>
      <c r="F47" s="80"/>
      <c r="G47" s="80"/>
      <c r="H47" s="80"/>
      <c r="I47" s="80"/>
      <c r="J47" s="395"/>
      <c r="K47" s="396"/>
      <c r="L47" s="396"/>
      <c r="M47" s="396"/>
      <c r="N47" s="396"/>
      <c r="O47" s="397"/>
      <c r="P47" s="395"/>
      <c r="Q47" s="396"/>
      <c r="R47" s="396"/>
      <c r="S47" s="396"/>
      <c r="T47" s="396"/>
      <c r="U47" s="397"/>
      <c r="V47" s="395"/>
      <c r="W47" s="396"/>
      <c r="X47" s="396"/>
      <c r="Y47" s="396"/>
      <c r="Z47" s="396"/>
      <c r="AA47" s="397"/>
      <c r="AB47" s="395"/>
      <c r="AC47" s="396"/>
      <c r="AD47" s="396"/>
      <c r="AE47" s="396"/>
      <c r="AF47" s="396"/>
      <c r="AG47" s="397"/>
      <c r="AH47" s="395"/>
      <c r="AI47" s="396"/>
      <c r="AJ47" s="396"/>
      <c r="AK47" s="396"/>
      <c r="AL47" s="396"/>
      <c r="AM47" s="397"/>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x14ac:dyDescent="0.25">
      <c r="A48" s="80"/>
      <c r="B48" s="80"/>
      <c r="C48" s="80"/>
      <c r="D48" s="80"/>
      <c r="E48" s="80"/>
      <c r="F48" s="80"/>
      <c r="G48" s="80"/>
      <c r="H48" s="80"/>
      <c r="I48" s="80"/>
      <c r="J48" s="395"/>
      <c r="K48" s="396"/>
      <c r="L48" s="396"/>
      <c r="M48" s="396"/>
      <c r="N48" s="396"/>
      <c r="O48" s="397"/>
      <c r="P48" s="395"/>
      <c r="Q48" s="396"/>
      <c r="R48" s="396"/>
      <c r="S48" s="396"/>
      <c r="T48" s="396"/>
      <c r="U48" s="397"/>
      <c r="V48" s="395"/>
      <c r="W48" s="396"/>
      <c r="X48" s="396"/>
      <c r="Y48" s="396"/>
      <c r="Z48" s="396"/>
      <c r="AA48" s="397"/>
      <c r="AB48" s="395"/>
      <c r="AC48" s="396"/>
      <c r="AD48" s="396"/>
      <c r="AE48" s="396"/>
      <c r="AF48" s="396"/>
      <c r="AG48" s="397"/>
      <c r="AH48" s="395"/>
      <c r="AI48" s="396"/>
      <c r="AJ48" s="396"/>
      <c r="AK48" s="396"/>
      <c r="AL48" s="396"/>
      <c r="AM48" s="397"/>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x14ac:dyDescent="0.25">
      <c r="A49" s="80"/>
      <c r="B49" s="80"/>
      <c r="C49" s="80"/>
      <c r="D49" s="80"/>
      <c r="E49" s="80"/>
      <c r="F49" s="80"/>
      <c r="G49" s="80"/>
      <c r="H49" s="80"/>
      <c r="I49" s="80"/>
      <c r="J49" s="395"/>
      <c r="K49" s="396"/>
      <c r="L49" s="396"/>
      <c r="M49" s="396"/>
      <c r="N49" s="396"/>
      <c r="O49" s="397"/>
      <c r="P49" s="395"/>
      <c r="Q49" s="396"/>
      <c r="R49" s="396"/>
      <c r="S49" s="396"/>
      <c r="T49" s="396"/>
      <c r="U49" s="397"/>
      <c r="V49" s="395"/>
      <c r="W49" s="396"/>
      <c r="X49" s="396"/>
      <c r="Y49" s="396"/>
      <c r="Z49" s="396"/>
      <c r="AA49" s="397"/>
      <c r="AB49" s="395"/>
      <c r="AC49" s="396"/>
      <c r="AD49" s="396"/>
      <c r="AE49" s="396"/>
      <c r="AF49" s="396"/>
      <c r="AG49" s="397"/>
      <c r="AH49" s="395"/>
      <c r="AI49" s="396"/>
      <c r="AJ49" s="396"/>
      <c r="AK49" s="396"/>
      <c r="AL49" s="396"/>
      <c r="AM49" s="397"/>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x14ac:dyDescent="0.25">
      <c r="A50" s="80"/>
      <c r="B50" s="80"/>
      <c r="C50" s="80"/>
      <c r="D50" s="80"/>
      <c r="E50" s="80"/>
      <c r="F50" s="80"/>
      <c r="G50" s="80"/>
      <c r="H50" s="80"/>
      <c r="I50" s="80"/>
      <c r="J50" s="395"/>
      <c r="K50" s="396"/>
      <c r="L50" s="396"/>
      <c r="M50" s="396"/>
      <c r="N50" s="396"/>
      <c r="O50" s="397"/>
      <c r="P50" s="395"/>
      <c r="Q50" s="396"/>
      <c r="R50" s="396"/>
      <c r="S50" s="396"/>
      <c r="T50" s="396"/>
      <c r="U50" s="397"/>
      <c r="V50" s="395"/>
      <c r="W50" s="396"/>
      <c r="X50" s="396"/>
      <c r="Y50" s="396"/>
      <c r="Z50" s="396"/>
      <c r="AA50" s="397"/>
      <c r="AB50" s="395"/>
      <c r="AC50" s="396"/>
      <c r="AD50" s="396"/>
      <c r="AE50" s="396"/>
      <c r="AF50" s="396"/>
      <c r="AG50" s="397"/>
      <c r="AH50" s="395"/>
      <c r="AI50" s="396"/>
      <c r="AJ50" s="396"/>
      <c r="AK50" s="396"/>
      <c r="AL50" s="396"/>
      <c r="AM50" s="397"/>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75" thickBot="1" x14ac:dyDescent="0.3">
      <c r="A51" s="80"/>
      <c r="B51" s="80"/>
      <c r="C51" s="80"/>
      <c r="D51" s="80"/>
      <c r="E51" s="80"/>
      <c r="F51" s="80"/>
      <c r="G51" s="80"/>
      <c r="H51" s="80"/>
      <c r="I51" s="80"/>
      <c r="J51" s="398"/>
      <c r="K51" s="399"/>
      <c r="L51" s="399"/>
      <c r="M51" s="399"/>
      <c r="N51" s="399"/>
      <c r="O51" s="400"/>
      <c r="P51" s="398"/>
      <c r="Q51" s="399"/>
      <c r="R51" s="399"/>
      <c r="S51" s="399"/>
      <c r="T51" s="399"/>
      <c r="U51" s="400"/>
      <c r="V51" s="398"/>
      <c r="W51" s="399"/>
      <c r="X51" s="399"/>
      <c r="Y51" s="399"/>
      <c r="Z51" s="399"/>
      <c r="AA51" s="400"/>
      <c r="AB51" s="398"/>
      <c r="AC51" s="399"/>
      <c r="AD51" s="399"/>
      <c r="AE51" s="399"/>
      <c r="AF51" s="399"/>
      <c r="AG51" s="400"/>
      <c r="AH51" s="398"/>
      <c r="AI51" s="399"/>
      <c r="AJ51" s="399"/>
      <c r="AK51" s="399"/>
      <c r="AL51" s="399"/>
      <c r="AM51" s="40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x14ac:dyDescent="0.25">
      <c r="A52" s="80"/>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c r="AO53" s="84"/>
      <c r="AP53" s="84"/>
      <c r="AQ53" s="84"/>
      <c r="AR53" s="84"/>
      <c r="AS53" s="84"/>
      <c r="AT53" s="84"/>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x14ac:dyDescent="0.25">
      <c r="A55" s="80"/>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x14ac:dyDescent="0.25">
      <c r="A61" s="80"/>
      <c r="B61" s="80"/>
      <c r="C61" s="80"/>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c r="BO62" s="80"/>
      <c r="BP62" s="80"/>
      <c r="BQ62" s="80"/>
      <c r="BR62" s="80"/>
      <c r="BS62" s="80"/>
      <c r="BT62" s="80"/>
      <c r="BU62" s="80"/>
      <c r="BV62" s="80"/>
      <c r="BW62" s="80"/>
      <c r="BX62" s="80"/>
      <c r="BY62" s="80"/>
      <c r="BZ62" s="80"/>
      <c r="CA62" s="80"/>
      <c r="CB62" s="80"/>
    </row>
    <row r="63" spans="1:80" x14ac:dyDescent="0.25">
      <c r="A63" s="80"/>
      <c r="B63" s="80"/>
      <c r="C63" s="80"/>
      <c r="D63" s="80"/>
      <c r="E63" s="80"/>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row>
    <row r="64" spans="1:80" x14ac:dyDescent="0.25">
      <c r="A64" s="80"/>
      <c r="B64" s="80"/>
      <c r="C64" s="80"/>
      <c r="D64" s="80"/>
      <c r="E64" s="80"/>
      <c r="F64" s="80"/>
      <c r="G64" s="80"/>
      <c r="H64" s="80"/>
      <c r="I64" s="80"/>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c r="BO64" s="80"/>
      <c r="BP64" s="80"/>
      <c r="BQ64" s="80"/>
      <c r="BR64" s="80"/>
      <c r="BS64" s="80"/>
      <c r="BT64" s="80"/>
      <c r="BU64" s="80"/>
      <c r="BV64" s="80"/>
      <c r="BW64" s="80"/>
      <c r="BX64" s="80"/>
      <c r="BY64" s="80"/>
      <c r="BZ64" s="80"/>
      <c r="CA64" s="80"/>
      <c r="CB64" s="80"/>
    </row>
    <row r="65" spans="1:8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row>
    <row r="66" spans="1:8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c r="BT66" s="80"/>
      <c r="BU66" s="80"/>
      <c r="BV66" s="80"/>
      <c r="BW66" s="80"/>
      <c r="BX66" s="80"/>
      <c r="BY66" s="80"/>
      <c r="BZ66" s="80"/>
      <c r="CA66" s="80"/>
      <c r="CB66" s="80"/>
    </row>
    <row r="67" spans="1:8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row>
    <row r="68" spans="1:8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row>
    <row r="69" spans="1:8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row>
    <row r="70" spans="1:8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row>
    <row r="71" spans="1:8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row>
    <row r="72" spans="1:8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c r="BO72" s="80"/>
      <c r="BP72" s="80"/>
      <c r="BQ72" s="80"/>
      <c r="BR72" s="80"/>
      <c r="BS72" s="80"/>
      <c r="BT72" s="80"/>
      <c r="BU72" s="80"/>
      <c r="BV72" s="80"/>
      <c r="BW72" s="80"/>
      <c r="BX72" s="80"/>
      <c r="BY72" s="80"/>
      <c r="BZ72" s="80"/>
      <c r="CA72" s="80"/>
      <c r="CB72" s="80"/>
    </row>
    <row r="73" spans="1:8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c r="BO73" s="80"/>
      <c r="BP73" s="80"/>
      <c r="BQ73" s="80"/>
      <c r="BR73" s="80"/>
      <c r="BS73" s="80"/>
      <c r="BT73" s="80"/>
      <c r="BU73" s="80"/>
      <c r="BV73" s="80"/>
      <c r="BW73" s="80"/>
      <c r="BX73" s="80"/>
      <c r="BY73" s="80"/>
      <c r="BZ73" s="80"/>
      <c r="CA73" s="80"/>
      <c r="CB73" s="80"/>
    </row>
    <row r="74" spans="1:8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c r="BO74" s="80"/>
      <c r="BP74" s="80"/>
      <c r="BQ74" s="80"/>
      <c r="BR74" s="80"/>
      <c r="BS74" s="80"/>
      <c r="BT74" s="80"/>
      <c r="BU74" s="80"/>
      <c r="BV74" s="80"/>
      <c r="BW74" s="80"/>
      <c r="BX74" s="80"/>
      <c r="BY74" s="80"/>
      <c r="BZ74" s="80"/>
      <c r="CA74" s="80"/>
      <c r="CB74" s="80"/>
    </row>
    <row r="75" spans="1:8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c r="BI75" s="80"/>
      <c r="BJ75" s="80"/>
      <c r="BK75" s="80"/>
      <c r="BL75" s="80"/>
      <c r="BM75" s="80"/>
      <c r="BN75" s="80"/>
      <c r="BO75" s="80"/>
      <c r="BP75" s="80"/>
      <c r="BQ75" s="80"/>
      <c r="BR75" s="80"/>
      <c r="BS75" s="80"/>
      <c r="BT75" s="80"/>
      <c r="BU75" s="80"/>
      <c r="BV75" s="80"/>
      <c r="BW75" s="80"/>
      <c r="BX75" s="80"/>
      <c r="BY75" s="80"/>
      <c r="BZ75" s="80"/>
      <c r="CA75" s="80"/>
      <c r="CB75" s="80"/>
    </row>
    <row r="76" spans="1:8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c r="BI76" s="80"/>
      <c r="BJ76" s="80"/>
      <c r="BK76" s="80"/>
      <c r="BL76" s="80"/>
      <c r="BM76" s="80"/>
      <c r="BN76" s="80"/>
      <c r="BO76" s="80"/>
      <c r="BP76" s="80"/>
      <c r="BQ76" s="80"/>
      <c r="BR76" s="80"/>
      <c r="BS76" s="80"/>
      <c r="BT76" s="80"/>
      <c r="BU76" s="80"/>
      <c r="BV76" s="80"/>
      <c r="BW76" s="80"/>
      <c r="BX76" s="80"/>
      <c r="BY76" s="80"/>
      <c r="BZ76" s="80"/>
      <c r="CA76" s="80"/>
      <c r="CB76" s="80"/>
    </row>
    <row r="77" spans="1:8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c r="BI77" s="80"/>
      <c r="BJ77" s="80"/>
      <c r="BK77" s="80"/>
      <c r="BL77" s="80"/>
      <c r="BM77" s="80"/>
      <c r="BN77" s="80"/>
      <c r="BO77" s="80"/>
      <c r="BP77" s="80"/>
      <c r="BQ77" s="80"/>
      <c r="BR77" s="80"/>
      <c r="BS77" s="80"/>
      <c r="BT77" s="80"/>
      <c r="BU77" s="80"/>
      <c r="BV77" s="80"/>
      <c r="BW77" s="80"/>
      <c r="BX77" s="80"/>
      <c r="BY77" s="80"/>
      <c r="BZ77" s="80"/>
      <c r="CA77" s="80"/>
      <c r="CB77" s="80"/>
    </row>
    <row r="78" spans="1:8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row>
    <row r="79" spans="1:8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row>
    <row r="80" spans="1:8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row>
    <row r="81" spans="1:63"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row>
    <row r="82" spans="1:63"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row>
    <row r="83" spans="1:63"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row>
    <row r="84" spans="1:63"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row>
    <row r="85" spans="1:63"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row>
    <row r="86" spans="1:63"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row>
    <row r="87" spans="1:63"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row>
    <row r="88" spans="1:63"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c r="BI88" s="80"/>
      <c r="BJ88" s="80"/>
      <c r="BK88" s="80"/>
    </row>
    <row r="89" spans="1:63"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c r="BI89" s="80"/>
      <c r="BJ89" s="80"/>
      <c r="BK89" s="80"/>
    </row>
    <row r="90" spans="1:63"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c r="BI90" s="80"/>
      <c r="BJ90" s="80"/>
      <c r="BK90" s="80"/>
    </row>
    <row r="91" spans="1:63"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c r="BI91" s="80"/>
      <c r="BJ91" s="80"/>
      <c r="BK91" s="80"/>
    </row>
    <row r="92" spans="1:63"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c r="BI92" s="80"/>
      <c r="BJ92" s="80"/>
      <c r="BK92" s="80"/>
    </row>
    <row r="93" spans="1:63"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c r="BI93" s="80"/>
      <c r="BJ93" s="80"/>
      <c r="BK93" s="80"/>
    </row>
    <row r="94" spans="1:63"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c r="BI94" s="80"/>
      <c r="BJ94" s="80"/>
      <c r="BK94" s="80"/>
    </row>
    <row r="95" spans="1:63"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c r="BI95" s="80"/>
      <c r="BJ95" s="80"/>
      <c r="BK95" s="80"/>
    </row>
    <row r="96" spans="1:63"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c r="BI96" s="80"/>
      <c r="BJ96" s="80"/>
      <c r="BK96" s="80"/>
    </row>
    <row r="97" spans="1:63"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c r="BI97" s="80"/>
      <c r="BJ97" s="80"/>
      <c r="BK97" s="80"/>
    </row>
    <row r="98" spans="1:63"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c r="BI98" s="80"/>
      <c r="BJ98" s="80"/>
      <c r="BK98" s="80"/>
    </row>
    <row r="99" spans="1:63"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c r="BI99" s="80"/>
      <c r="BJ99" s="80"/>
      <c r="BK99" s="80"/>
    </row>
    <row r="100" spans="1:63"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row>
    <row r="101" spans="1:63"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row>
    <row r="102" spans="1:63"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row>
    <row r="103" spans="1:63"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row>
    <row r="104" spans="1:63"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row>
    <row r="105" spans="1:63"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row>
    <row r="106" spans="1:63"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c r="BI106" s="80"/>
      <c r="BJ106" s="80"/>
      <c r="BK106" s="80"/>
    </row>
    <row r="107" spans="1:63"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row>
    <row r="108" spans="1:63"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row>
    <row r="109" spans="1:63"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row>
    <row r="110" spans="1:63"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row>
    <row r="111" spans="1:63"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row>
    <row r="112" spans="1:63"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row>
    <row r="113" spans="1:63"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row>
    <row r="114" spans="1:63"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row>
    <row r="115" spans="1:63"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row>
    <row r="116" spans="1:63"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row>
    <row r="117" spans="1:63"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row>
    <row r="118" spans="1:63"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row>
    <row r="119" spans="1:63"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row>
    <row r="120" spans="1:63"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c r="BI120" s="80"/>
      <c r="BJ120" s="80"/>
      <c r="BK120" s="80"/>
    </row>
    <row r="121" spans="1:63"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c r="BI121" s="80"/>
      <c r="BJ121" s="80"/>
      <c r="BK121" s="80"/>
    </row>
    <row r="122" spans="1:63" x14ac:dyDescent="0.25">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c r="BI122" s="80"/>
      <c r="BJ122" s="80"/>
      <c r="BK122" s="80"/>
    </row>
    <row r="123" spans="1:63" x14ac:dyDescent="0.25">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c r="BI123" s="80"/>
      <c r="BJ123" s="80"/>
      <c r="BK123" s="80"/>
    </row>
    <row r="124" spans="1:63" x14ac:dyDescent="0.25">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c r="BI124" s="80"/>
      <c r="BJ124" s="80"/>
      <c r="BK124" s="80"/>
    </row>
    <row r="125" spans="1:63" x14ac:dyDescent="0.25">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c r="BI125" s="80"/>
      <c r="BJ125" s="80"/>
      <c r="BK125" s="80"/>
    </row>
    <row r="126" spans="1:63" x14ac:dyDescent="0.25">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c r="BI126" s="80"/>
      <c r="BJ126" s="80"/>
      <c r="BK126" s="80"/>
    </row>
    <row r="127" spans="1:63" x14ac:dyDescent="0.25">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c r="BI127" s="80"/>
      <c r="BJ127" s="80"/>
      <c r="BK127" s="80"/>
    </row>
    <row r="128" spans="1:63" x14ac:dyDescent="0.25">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c r="BI128" s="80"/>
      <c r="BJ128" s="80"/>
      <c r="BK128" s="80"/>
    </row>
    <row r="129" spans="2:63" x14ac:dyDescent="0.25">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c r="BI129" s="80"/>
      <c r="BJ129" s="80"/>
      <c r="BK129" s="80"/>
    </row>
    <row r="130" spans="2:63" x14ac:dyDescent="0.25">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c r="BI130" s="80"/>
      <c r="BJ130" s="80"/>
      <c r="BK130" s="80"/>
    </row>
    <row r="131" spans="2:63" x14ac:dyDescent="0.25">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c r="BI131" s="80"/>
      <c r="BJ131" s="80"/>
      <c r="BK131" s="80"/>
    </row>
    <row r="132" spans="2:63" x14ac:dyDescent="0.25">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c r="BI132" s="80"/>
      <c r="BJ132" s="80"/>
      <c r="BK132" s="80"/>
    </row>
    <row r="133" spans="2:63" x14ac:dyDescent="0.25">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c r="BI133" s="80"/>
      <c r="BJ133" s="80"/>
      <c r="BK133" s="80"/>
    </row>
    <row r="134" spans="2:63" x14ac:dyDescent="0.25">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c r="BI134" s="80"/>
      <c r="BJ134" s="80"/>
      <c r="BK134" s="80"/>
    </row>
    <row r="135" spans="2:63" x14ac:dyDescent="0.25">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c r="BI135" s="80"/>
      <c r="BJ135" s="80"/>
      <c r="BK135" s="80"/>
    </row>
    <row r="136" spans="2:63" x14ac:dyDescent="0.25">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c r="BI136" s="80"/>
      <c r="BJ136" s="80"/>
      <c r="BK136" s="80"/>
    </row>
    <row r="137" spans="2:63" x14ac:dyDescent="0.25">
      <c r="B137" s="80"/>
      <c r="C137" s="80"/>
      <c r="D137" s="80"/>
      <c r="E137" s="80"/>
      <c r="F137" s="80"/>
      <c r="G137" s="80"/>
      <c r="H137" s="80"/>
      <c r="I137" s="80"/>
    </row>
    <row r="138" spans="2:63" x14ac:dyDescent="0.25">
      <c r="B138" s="80"/>
      <c r="C138" s="80"/>
      <c r="D138" s="80"/>
      <c r="E138" s="80"/>
      <c r="F138" s="80"/>
      <c r="G138" s="80"/>
      <c r="H138" s="80"/>
      <c r="I138" s="80"/>
    </row>
    <row r="139" spans="2:63" x14ac:dyDescent="0.25">
      <c r="B139" s="80"/>
      <c r="C139" s="80"/>
      <c r="D139" s="80"/>
      <c r="E139" s="80"/>
      <c r="F139" s="80"/>
      <c r="G139" s="80"/>
      <c r="H139" s="80"/>
      <c r="I139" s="80"/>
    </row>
    <row r="140" spans="2:63" x14ac:dyDescent="0.25">
      <c r="B140" s="80"/>
      <c r="C140" s="80"/>
      <c r="D140" s="80"/>
      <c r="E140" s="80"/>
      <c r="F140" s="80"/>
      <c r="G140" s="80"/>
      <c r="H140" s="80"/>
      <c r="I140" s="80"/>
    </row>
  </sheetData>
  <sheetProtection algorithmName="SHA-512" hashValue="kpXlidzmWxbP3brn8k4eIEWxhYHkoNV8mMuhH1lPT/xypiCOesm15jiCfvbsOoPDCD8/umcOeC7isQqNzzQXVQ==" saltValue="e8t6+j8RQ+iPDyNDapgnxw==" spinCount="100000" sheet="1" objects="1" scenarios="1"/>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M248"/>
  <sheetViews>
    <sheetView zoomScale="50" zoomScaleNormal="50" workbookViewId="0">
      <selection activeCell="J6" sqref="J6"/>
    </sheetView>
  </sheetViews>
  <sheetFormatPr baseColWidth="10" defaultColWidth="11.42578125" defaultRowHeight="15" x14ac:dyDescent="0.2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5.7109375" customWidth="1"/>
    <col min="29" max="29" width="7.42578125" customWidth="1"/>
    <col min="30" max="33" width="5.7109375" customWidth="1"/>
    <col min="34" max="34" width="8.5703125" customWidth="1"/>
    <col min="35" max="39" width="5.7109375" customWidth="1"/>
    <col min="41" max="46" width="5.7109375" customWidth="1"/>
  </cols>
  <sheetData>
    <row r="1" spans="1:91" x14ac:dyDescent="0.2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row>
    <row r="2" spans="1:91" ht="18" customHeight="1" x14ac:dyDescent="0.25">
      <c r="A2" s="80"/>
      <c r="B2" s="469" t="s">
        <v>152</v>
      </c>
      <c r="C2" s="470"/>
      <c r="D2" s="470"/>
      <c r="E2" s="470"/>
      <c r="F2" s="470"/>
      <c r="G2" s="470"/>
      <c r="H2" s="470"/>
      <c r="I2" s="470"/>
      <c r="J2" s="391" t="s">
        <v>15</v>
      </c>
      <c r="K2" s="391"/>
      <c r="L2" s="391"/>
      <c r="M2" s="391"/>
      <c r="N2" s="391"/>
      <c r="O2" s="391"/>
      <c r="P2" s="391"/>
      <c r="Q2" s="391"/>
      <c r="R2" s="391"/>
      <c r="S2" s="391"/>
      <c r="T2" s="391"/>
      <c r="U2" s="391"/>
      <c r="V2" s="391"/>
      <c r="W2" s="391"/>
      <c r="X2" s="391"/>
      <c r="Y2" s="391"/>
      <c r="Z2" s="391"/>
      <c r="AA2" s="391"/>
      <c r="AB2" s="391"/>
      <c r="AC2" s="391"/>
      <c r="AD2" s="391"/>
      <c r="AE2" s="391"/>
      <c r="AF2" s="391"/>
      <c r="AG2" s="391"/>
      <c r="AH2" s="391"/>
      <c r="AI2" s="391"/>
      <c r="AJ2" s="391"/>
      <c r="AK2" s="391"/>
      <c r="AL2" s="391"/>
      <c r="AM2" s="391"/>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row>
    <row r="3" spans="1:91" ht="18.75" customHeight="1" x14ac:dyDescent="0.25">
      <c r="A3" s="80"/>
      <c r="B3" s="470"/>
      <c r="C3" s="470"/>
      <c r="D3" s="470"/>
      <c r="E3" s="470"/>
      <c r="F3" s="470"/>
      <c r="G3" s="470"/>
      <c r="H3" s="470"/>
      <c r="I3" s="470"/>
      <c r="J3" s="391"/>
      <c r="K3" s="391"/>
      <c r="L3" s="391"/>
      <c r="M3" s="391"/>
      <c r="N3" s="391"/>
      <c r="O3" s="391"/>
      <c r="P3" s="391"/>
      <c r="Q3" s="391"/>
      <c r="R3" s="391"/>
      <c r="S3" s="391"/>
      <c r="T3" s="391"/>
      <c r="U3" s="391"/>
      <c r="V3" s="391"/>
      <c r="W3" s="391"/>
      <c r="X3" s="391"/>
      <c r="Y3" s="391"/>
      <c r="Z3" s="391"/>
      <c r="AA3" s="391"/>
      <c r="AB3" s="391"/>
      <c r="AC3" s="391"/>
      <c r="AD3" s="391"/>
      <c r="AE3" s="391"/>
      <c r="AF3" s="391"/>
      <c r="AG3" s="391"/>
      <c r="AH3" s="391"/>
      <c r="AI3" s="391"/>
      <c r="AJ3" s="391"/>
      <c r="AK3" s="391"/>
      <c r="AL3" s="391"/>
      <c r="AM3" s="391"/>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row>
    <row r="4" spans="1:91" ht="15" customHeight="1" x14ac:dyDescent="0.25">
      <c r="A4" s="80"/>
      <c r="B4" s="470"/>
      <c r="C4" s="470"/>
      <c r="D4" s="470"/>
      <c r="E4" s="470"/>
      <c r="F4" s="470"/>
      <c r="G4" s="470"/>
      <c r="H4" s="470"/>
      <c r="I4" s="470"/>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row>
    <row r="5" spans="1:91" ht="15.75" thickBot="1" x14ac:dyDescent="0.3">
      <c r="A5" s="80"/>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row>
    <row r="6" spans="1:91" ht="15" customHeight="1" x14ac:dyDescent="0.25">
      <c r="A6" s="80"/>
      <c r="B6" s="402" t="s">
        <v>137</v>
      </c>
      <c r="C6" s="402"/>
      <c r="D6" s="403"/>
      <c r="E6" s="440" t="s">
        <v>138</v>
      </c>
      <c r="F6" s="441"/>
      <c r="G6" s="441"/>
      <c r="H6" s="441"/>
      <c r="I6" s="442"/>
      <c r="J6" s="43" t="str">
        <f>IF(AND('Mapa final'!$AI$11="Muy Alta",'Mapa final'!$AK$11="Leve"),CONCATENATE("R1C",'Mapa final'!$Y$11),"")</f>
        <v/>
      </c>
      <c r="K6" s="44" t="e">
        <f>IF(AND('Mapa final'!#REF!="Muy Alta",'Mapa final'!#REF!="Leve"),CONCATENATE("R1C",'Mapa final'!#REF!),"")</f>
        <v>#REF!</v>
      </c>
      <c r="L6" s="44" t="e">
        <f>IF(AND('Mapa final'!#REF!="Muy Alta",'Mapa final'!#REF!="Leve"),CONCATENATE("R1C",'Mapa final'!#REF!),"")</f>
        <v>#REF!</v>
      </c>
      <c r="M6" s="44" t="e">
        <f>IF(AND('Mapa final'!#REF!="Muy Alta",'Mapa final'!#REF!="Leve"),CONCATENATE("R1C",'Mapa final'!#REF!),"")</f>
        <v>#REF!</v>
      </c>
      <c r="N6" s="44" t="e">
        <f>IF(AND('Mapa final'!#REF!="Muy Alta",'Mapa final'!#REF!="Leve"),CONCATENATE("R1C",'Mapa final'!#REF!),"")</f>
        <v>#REF!</v>
      </c>
      <c r="O6" s="45" t="e">
        <f>IF(AND('Mapa final'!#REF!="Muy Alta",'Mapa final'!#REF!="Leve"),CONCATENATE("R1C",'Mapa final'!#REF!),"")</f>
        <v>#REF!</v>
      </c>
      <c r="P6" s="43" t="str">
        <f>IF(AND('Mapa final'!$AI$11="Muy Alta",'Mapa final'!$AK$11="Menor"),CONCATENATE("R1C",'Mapa final'!$Y$11),"")</f>
        <v/>
      </c>
      <c r="Q6" s="44" t="e">
        <f>IF(AND('Mapa final'!#REF!="Muy Alta",'Mapa final'!#REF!="Menor"),CONCATENATE("R1C",'Mapa final'!#REF!),"")</f>
        <v>#REF!</v>
      </c>
      <c r="R6" s="44" t="e">
        <f>IF(AND('Mapa final'!#REF!="Muy Alta",'Mapa final'!#REF!="Menor"),CONCATENATE("R1C",'Mapa final'!#REF!),"")</f>
        <v>#REF!</v>
      </c>
      <c r="S6" s="44" t="e">
        <f>IF(AND('Mapa final'!#REF!="Muy Alta",'Mapa final'!#REF!="Menor"),CONCATENATE("R1C",'Mapa final'!#REF!),"")</f>
        <v>#REF!</v>
      </c>
      <c r="T6" s="44" t="e">
        <f>IF(AND('Mapa final'!#REF!="Muy Alta",'Mapa final'!#REF!="Menor"),CONCATENATE("R1C",'Mapa final'!#REF!),"")</f>
        <v>#REF!</v>
      </c>
      <c r="U6" s="45" t="e">
        <f>IF(AND('Mapa final'!#REF!="Muy Alta",'Mapa final'!#REF!="Menor"),CONCATENATE("R1C",'Mapa final'!#REF!),"")</f>
        <v>#REF!</v>
      </c>
      <c r="V6" s="43" t="str">
        <f>IF(AND('Mapa final'!$AI$11="Muy Alta",'Mapa final'!$AK$11="Moderado"),CONCATENATE("R1C",'Mapa final'!$Y$11),"")</f>
        <v/>
      </c>
      <c r="W6" s="44" t="e">
        <f>IF(AND('Mapa final'!#REF!="Muy Alta",'Mapa final'!#REF!="Moderado"),CONCATENATE("R1C",'Mapa final'!#REF!),"")</f>
        <v>#REF!</v>
      </c>
      <c r="X6" s="44" t="e">
        <f>IF(AND('Mapa final'!#REF!="Muy Alta",'Mapa final'!#REF!="Moderado"),CONCATENATE("R1C",'Mapa final'!#REF!),"")</f>
        <v>#REF!</v>
      </c>
      <c r="Y6" s="44" t="e">
        <f>IF(AND('Mapa final'!#REF!="Muy Alta",'Mapa final'!#REF!="Moderado"),CONCATENATE("R1C",'Mapa final'!#REF!),"")</f>
        <v>#REF!</v>
      </c>
      <c r="Z6" s="44" t="e">
        <f>IF(AND('Mapa final'!#REF!="Muy Alta",'Mapa final'!#REF!="Moderado"),CONCATENATE("R1C",'Mapa final'!#REF!),"")</f>
        <v>#REF!</v>
      </c>
      <c r="AA6" s="45" t="e">
        <f>IF(AND('Mapa final'!#REF!="Muy Alta",'Mapa final'!#REF!="Moderado"),CONCATENATE("R1C",'Mapa final'!#REF!),"")</f>
        <v>#REF!</v>
      </c>
      <c r="AB6" s="43" t="str">
        <f>IF(AND('Mapa final'!$AI$11="Muy Alta",'Mapa final'!$AK$11="Mayor"),CONCATENATE("R1C",'Mapa final'!$Y$11),"")</f>
        <v/>
      </c>
      <c r="AC6" s="44" t="e">
        <f>IF(AND('Mapa final'!#REF!="Muy Alta",'Mapa final'!#REF!="Mayor"),CONCATENATE("R1C",'Mapa final'!#REF!),"")</f>
        <v>#REF!</v>
      </c>
      <c r="AD6" s="44" t="e">
        <f>IF(AND('Mapa final'!#REF!="Muy Alta",'Mapa final'!#REF!="Mayor"),CONCATENATE("R1C",'Mapa final'!#REF!),"")</f>
        <v>#REF!</v>
      </c>
      <c r="AE6" s="44" t="e">
        <f>IF(AND('Mapa final'!#REF!="Muy Alta",'Mapa final'!#REF!="Mayor"),CONCATENATE("R1C",'Mapa final'!#REF!),"")</f>
        <v>#REF!</v>
      </c>
      <c r="AF6" s="44" t="e">
        <f>IF(AND('Mapa final'!#REF!="Muy Alta",'Mapa final'!#REF!="Mayor"),CONCATENATE("R1C",'Mapa final'!#REF!),"")</f>
        <v>#REF!</v>
      </c>
      <c r="AG6" s="45" t="e">
        <f>IF(AND('Mapa final'!#REF!="Muy Alta",'Mapa final'!#REF!="Mayor"),CONCATENATE("R1C",'Mapa final'!#REF!),"")</f>
        <v>#REF!</v>
      </c>
      <c r="AH6" s="46" t="str">
        <f>IF(AND('Mapa final'!$AI$11="Muy Alta",'Mapa final'!$AK$11="Catastrófico"),CONCATENATE("R1C",'Mapa final'!$Y$11),"")</f>
        <v/>
      </c>
      <c r="AI6" s="47" t="e">
        <f>IF(AND('Mapa final'!#REF!="Muy Alta",'Mapa final'!#REF!="Catastrófico"),CONCATENATE("R1C",'Mapa final'!#REF!),"")</f>
        <v>#REF!</v>
      </c>
      <c r="AJ6" s="47" t="e">
        <f>IF(AND('Mapa final'!#REF!="Muy Alta",'Mapa final'!#REF!="Catastrófico"),CONCATENATE("R1C",'Mapa final'!#REF!),"")</f>
        <v>#REF!</v>
      </c>
      <c r="AK6" s="47" t="e">
        <f>IF(AND('Mapa final'!#REF!="Muy Alta",'Mapa final'!#REF!="Catastrófico"),CONCATENATE("R1C",'Mapa final'!#REF!),"")</f>
        <v>#REF!</v>
      </c>
      <c r="AL6" s="47" t="e">
        <f>IF(AND('Mapa final'!#REF!="Muy Alta",'Mapa final'!#REF!="Catastrófico"),CONCATENATE("R1C",'Mapa final'!#REF!),"")</f>
        <v>#REF!</v>
      </c>
      <c r="AM6" s="48" t="e">
        <f>IF(AND('Mapa final'!#REF!="Muy Alta",'Mapa final'!#REF!="Catastrófico"),CONCATENATE("R1C",'Mapa final'!#REF!),"")</f>
        <v>#REF!</v>
      </c>
      <c r="AN6" s="80"/>
      <c r="AO6" s="460" t="s">
        <v>139</v>
      </c>
      <c r="AP6" s="461"/>
      <c r="AQ6" s="461"/>
      <c r="AR6" s="461"/>
      <c r="AS6" s="461"/>
      <c r="AT6" s="462"/>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row>
    <row r="7" spans="1:91" ht="15" customHeight="1" x14ac:dyDescent="0.25">
      <c r="A7" s="80"/>
      <c r="B7" s="402"/>
      <c r="C7" s="402"/>
      <c r="D7" s="403"/>
      <c r="E7" s="443"/>
      <c r="F7" s="444"/>
      <c r="G7" s="444"/>
      <c r="H7" s="444"/>
      <c r="I7" s="445"/>
      <c r="J7" s="49" t="str">
        <f>IF(AND('Mapa final'!$AI$12="Muy Alta",'Mapa final'!$AK$12="Leve"),CONCATENATE("R2C",'Mapa final'!$Y$12),"")</f>
        <v/>
      </c>
      <c r="K7" s="50" t="str">
        <f>IF(AND('Mapa final'!$AI$13="Muy Alta",'Mapa final'!$AK$13="Leve"),CONCATENATE("R2C",'Mapa final'!$Y$13),"")</f>
        <v/>
      </c>
      <c r="L7" s="50" t="e">
        <f>IF(AND('Mapa final'!#REF!="Muy Alta",'Mapa final'!#REF!="Leve"),CONCATENATE("R2C",'Mapa final'!#REF!),"")</f>
        <v>#REF!</v>
      </c>
      <c r="M7" s="50" t="e">
        <f>IF(AND('Mapa final'!#REF!="Muy Alta",'Mapa final'!#REF!="Leve"),CONCATENATE("R2C",'Mapa final'!#REF!),"")</f>
        <v>#REF!</v>
      </c>
      <c r="N7" s="50" t="e">
        <f>IF(AND('Mapa final'!#REF!="Muy Alta",'Mapa final'!#REF!="Leve"),CONCATENATE("R2C",'Mapa final'!#REF!),"")</f>
        <v>#REF!</v>
      </c>
      <c r="O7" s="51" t="e">
        <f>IF(AND('Mapa final'!#REF!="Muy Alta",'Mapa final'!#REF!="Leve"),CONCATENATE("R2C",'Mapa final'!#REF!),"")</f>
        <v>#REF!</v>
      </c>
      <c r="P7" s="49" t="str">
        <f>IF(AND('Mapa final'!$AI$12="Muy Alta",'Mapa final'!$AK$12="Menor"),CONCATENATE("R2C",'Mapa final'!$Y$12),"")</f>
        <v/>
      </c>
      <c r="Q7" s="50" t="str">
        <f>IF(AND('Mapa final'!$AI$13="Muy Alta",'Mapa final'!$AK$13="Menor"),CONCATENATE("R2C",'Mapa final'!$Y$13),"")</f>
        <v/>
      </c>
      <c r="R7" s="50" t="e">
        <f>IF(AND('Mapa final'!#REF!="Muy Alta",'Mapa final'!#REF!="Menor"),CONCATENATE("R2C",'Mapa final'!#REF!),"")</f>
        <v>#REF!</v>
      </c>
      <c r="S7" s="50" t="e">
        <f>IF(AND('Mapa final'!#REF!="Muy Alta",'Mapa final'!#REF!="Menor"),CONCATENATE("R2C",'Mapa final'!#REF!),"")</f>
        <v>#REF!</v>
      </c>
      <c r="T7" s="50" t="e">
        <f>IF(AND('Mapa final'!#REF!="Muy Alta",'Mapa final'!#REF!="Menor"),CONCATENATE("R2C",'Mapa final'!#REF!),"")</f>
        <v>#REF!</v>
      </c>
      <c r="U7" s="51" t="e">
        <f>IF(AND('Mapa final'!#REF!="Muy Alta",'Mapa final'!#REF!="Menor"),CONCATENATE("R2C",'Mapa final'!#REF!),"")</f>
        <v>#REF!</v>
      </c>
      <c r="V7" s="49" t="str">
        <f>IF(AND('Mapa final'!$AI$12="Muy Alta",'Mapa final'!$AK$12="Moderado"),CONCATENATE("R2C",'Mapa final'!$Y$12),"")</f>
        <v/>
      </c>
      <c r="W7" s="50" t="str">
        <f>IF(AND('Mapa final'!$AI$13="Muy Alta",'Mapa final'!$AK$13="Moderado"),CONCATENATE("R2C",'Mapa final'!$Y$13),"")</f>
        <v/>
      </c>
      <c r="X7" s="50" t="e">
        <f>IF(AND('Mapa final'!#REF!="Muy Alta",'Mapa final'!#REF!="Moderado"),CONCATENATE("R2C",'Mapa final'!#REF!),"")</f>
        <v>#REF!</v>
      </c>
      <c r="Y7" s="50" t="e">
        <f>IF(AND('Mapa final'!#REF!="Muy Alta",'Mapa final'!#REF!="Moderado"),CONCATENATE("R2C",'Mapa final'!#REF!),"")</f>
        <v>#REF!</v>
      </c>
      <c r="Z7" s="50" t="e">
        <f>IF(AND('Mapa final'!#REF!="Muy Alta",'Mapa final'!#REF!="Moderado"),CONCATENATE("R2C",'Mapa final'!#REF!),"")</f>
        <v>#REF!</v>
      </c>
      <c r="AA7" s="51" t="e">
        <f>IF(AND('Mapa final'!#REF!="Muy Alta",'Mapa final'!#REF!="Moderado"),CONCATENATE("R2C",'Mapa final'!#REF!),"")</f>
        <v>#REF!</v>
      </c>
      <c r="AB7" s="49" t="str">
        <f>IF(AND('Mapa final'!$AI$12="Muy Alta",'Mapa final'!$AK$12="Mayor"),CONCATENATE("R2C",'Mapa final'!$Y$12),"")</f>
        <v/>
      </c>
      <c r="AC7" s="50" t="str">
        <f>IF(AND('Mapa final'!$AI$13="Muy Alta",'Mapa final'!$AK$13="Mayor"),CONCATENATE("R2C",'Mapa final'!$Y$13),"")</f>
        <v/>
      </c>
      <c r="AD7" s="50" t="e">
        <f>IF(AND('Mapa final'!#REF!="Muy Alta",'Mapa final'!#REF!="Mayor"),CONCATENATE("R2C",'Mapa final'!#REF!),"")</f>
        <v>#REF!</v>
      </c>
      <c r="AE7" s="50" t="e">
        <f>IF(AND('Mapa final'!#REF!="Muy Alta",'Mapa final'!#REF!="Mayor"),CONCATENATE("R2C",'Mapa final'!#REF!),"")</f>
        <v>#REF!</v>
      </c>
      <c r="AF7" s="50" t="e">
        <f>IF(AND('Mapa final'!#REF!="Muy Alta",'Mapa final'!#REF!="Mayor"),CONCATENATE("R2C",'Mapa final'!#REF!),"")</f>
        <v>#REF!</v>
      </c>
      <c r="AG7" s="51" t="e">
        <f>IF(AND('Mapa final'!#REF!="Muy Alta",'Mapa final'!#REF!="Mayor"),CONCATENATE("R2C",'Mapa final'!#REF!),"")</f>
        <v>#REF!</v>
      </c>
      <c r="AH7" s="52" t="str">
        <f>IF(AND('Mapa final'!$AI$12="Muy Alta",'Mapa final'!$AK$12="Catastrófico"),CONCATENATE("R2C",'Mapa final'!$Y$12),"")</f>
        <v/>
      </c>
      <c r="AI7" s="53" t="str">
        <f>IF(AND('Mapa final'!$AI$13="Muy Alta",'Mapa final'!$AK$13="Catastrófico"),CONCATENATE("R2C",'Mapa final'!$Y$13),"")</f>
        <v/>
      </c>
      <c r="AJ7" s="53" t="e">
        <f>IF(AND('Mapa final'!#REF!="Muy Alta",'Mapa final'!#REF!="Catastrófico"),CONCATENATE("R2C",'Mapa final'!#REF!),"")</f>
        <v>#REF!</v>
      </c>
      <c r="AK7" s="53" t="e">
        <f>IF(AND('Mapa final'!#REF!="Muy Alta",'Mapa final'!#REF!="Catastrófico"),CONCATENATE("R2C",'Mapa final'!#REF!),"")</f>
        <v>#REF!</v>
      </c>
      <c r="AL7" s="53" t="e">
        <f>IF(AND('Mapa final'!#REF!="Muy Alta",'Mapa final'!#REF!="Catastrófico"),CONCATENATE("R2C",'Mapa final'!#REF!),"")</f>
        <v>#REF!</v>
      </c>
      <c r="AM7" s="54" t="e">
        <f>IF(AND('Mapa final'!#REF!="Muy Alta",'Mapa final'!#REF!="Catastrófico"),CONCATENATE("R2C",'Mapa final'!#REF!),"")</f>
        <v>#REF!</v>
      </c>
      <c r="AN7" s="80"/>
      <c r="AO7" s="463"/>
      <c r="AP7" s="464"/>
      <c r="AQ7" s="464"/>
      <c r="AR7" s="464"/>
      <c r="AS7" s="464"/>
      <c r="AT7" s="465"/>
      <c r="AU7" s="80"/>
      <c r="AV7" s="80"/>
      <c r="AW7" s="80"/>
      <c r="AX7" s="80"/>
      <c r="AY7" s="80"/>
      <c r="AZ7" s="80"/>
      <c r="BA7" s="80"/>
      <c r="BB7" s="80"/>
      <c r="BC7" s="80"/>
      <c r="BD7" s="80"/>
      <c r="BE7" s="80"/>
      <c r="BF7" s="80"/>
      <c r="BG7" s="80"/>
      <c r="BH7" s="80"/>
      <c r="BI7" s="80"/>
      <c r="BJ7" s="80"/>
      <c r="BK7" s="80"/>
      <c r="BL7" s="80"/>
      <c r="BM7" s="80"/>
      <c r="BN7" s="80"/>
      <c r="BO7" s="80"/>
      <c r="BP7" s="80"/>
      <c r="BQ7" s="80"/>
      <c r="BR7" s="80"/>
      <c r="BS7" s="80"/>
      <c r="BT7" s="80"/>
      <c r="BU7" s="80"/>
      <c r="BV7" s="80"/>
      <c r="BW7" s="80"/>
      <c r="BX7" s="80"/>
    </row>
    <row r="8" spans="1:91" ht="15" customHeight="1" x14ac:dyDescent="0.25">
      <c r="A8" s="80"/>
      <c r="B8" s="402"/>
      <c r="C8" s="402"/>
      <c r="D8" s="403"/>
      <c r="E8" s="443"/>
      <c r="F8" s="444"/>
      <c r="G8" s="444"/>
      <c r="H8" s="444"/>
      <c r="I8" s="445"/>
      <c r="J8" s="49" t="str">
        <f>IF(AND('Mapa final'!$AI$14="Muy Alta",'Mapa final'!$AK$14="Leve"),CONCATENATE("R3C",'Mapa final'!$Y$14),"")</f>
        <v/>
      </c>
      <c r="K8" s="50" t="str">
        <f>IF(AND('Mapa final'!$AI$15="Muy Alta",'Mapa final'!$AK$15="Leve"),CONCATENATE("R3C",'Mapa final'!$Y$15),"")</f>
        <v/>
      </c>
      <c r="L8" s="50" t="e">
        <f>IF(AND('Mapa final'!#REF!="Muy Alta",'Mapa final'!#REF!="Leve"),CONCATENATE("R3C",'Mapa final'!#REF!),"")</f>
        <v>#REF!</v>
      </c>
      <c r="M8" s="50" t="e">
        <f>IF(AND('Mapa final'!#REF!="Muy Alta",'Mapa final'!#REF!="Leve"),CONCATENATE("R3C",'Mapa final'!#REF!),"")</f>
        <v>#REF!</v>
      </c>
      <c r="N8" s="50" t="e">
        <f>IF(AND('Mapa final'!#REF!="Muy Alta",'Mapa final'!#REF!="Leve"),CONCATENATE("R3C",'Mapa final'!#REF!),"")</f>
        <v>#REF!</v>
      </c>
      <c r="O8" s="51" t="e">
        <f>IF(AND('Mapa final'!#REF!="Muy Alta",'Mapa final'!#REF!="Leve"),CONCATENATE("R3C",'Mapa final'!#REF!),"")</f>
        <v>#REF!</v>
      </c>
      <c r="P8" s="49" t="str">
        <f>IF(AND('Mapa final'!$AI$14="Muy Alta",'Mapa final'!$AK$14="Menor"),CONCATENATE("R3C",'Mapa final'!$Y$14),"")</f>
        <v/>
      </c>
      <c r="Q8" s="50" t="str">
        <f>IF(AND('Mapa final'!$AI$15="Muy Alta",'Mapa final'!$AK$15="Menor"),CONCATENATE("R3C",'Mapa final'!$Y$15),"")</f>
        <v/>
      </c>
      <c r="R8" s="50" t="e">
        <f>IF(AND('Mapa final'!#REF!="Muy Alta",'Mapa final'!#REF!="Menor"),CONCATENATE("R3C",'Mapa final'!#REF!),"")</f>
        <v>#REF!</v>
      </c>
      <c r="S8" s="50" t="e">
        <f>IF(AND('Mapa final'!#REF!="Muy Alta",'Mapa final'!#REF!="Menor"),CONCATENATE("R3C",'Mapa final'!#REF!),"")</f>
        <v>#REF!</v>
      </c>
      <c r="T8" s="50" t="e">
        <f>IF(AND('Mapa final'!#REF!="Muy Alta",'Mapa final'!#REF!="Menor"),CONCATENATE("R3C",'Mapa final'!#REF!),"")</f>
        <v>#REF!</v>
      </c>
      <c r="U8" s="51" t="e">
        <f>IF(AND('Mapa final'!#REF!="Muy Alta",'Mapa final'!#REF!="Menor"),CONCATENATE("R3C",'Mapa final'!#REF!),"")</f>
        <v>#REF!</v>
      </c>
      <c r="V8" s="49" t="str">
        <f>IF(AND('Mapa final'!$AI$14="Muy Alta",'Mapa final'!$AK$14="Moderado"),CONCATENATE("R3C",'Mapa final'!$Y$14),"")</f>
        <v/>
      </c>
      <c r="W8" s="50" t="str">
        <f>IF(AND('Mapa final'!$AI$15="Muy Alta",'Mapa final'!$AK$15="Moderado"),CONCATENATE("R3C",'Mapa final'!$Y$15),"")</f>
        <v/>
      </c>
      <c r="X8" s="50" t="e">
        <f>IF(AND('Mapa final'!#REF!="Muy Alta",'Mapa final'!#REF!="Moderado"),CONCATENATE("R3C",'Mapa final'!#REF!),"")</f>
        <v>#REF!</v>
      </c>
      <c r="Y8" s="50" t="e">
        <f>IF(AND('Mapa final'!#REF!="Muy Alta",'Mapa final'!#REF!="Moderado"),CONCATENATE("R3C",'Mapa final'!#REF!),"")</f>
        <v>#REF!</v>
      </c>
      <c r="Z8" s="50" t="e">
        <f>IF(AND('Mapa final'!#REF!="Muy Alta",'Mapa final'!#REF!="Moderado"),CONCATENATE("R3C",'Mapa final'!#REF!),"")</f>
        <v>#REF!</v>
      </c>
      <c r="AA8" s="51" t="e">
        <f>IF(AND('Mapa final'!#REF!="Muy Alta",'Mapa final'!#REF!="Moderado"),CONCATENATE("R3C",'Mapa final'!#REF!),"")</f>
        <v>#REF!</v>
      </c>
      <c r="AB8" s="49" t="str">
        <f>IF(AND('Mapa final'!$AI$14="Muy Alta",'Mapa final'!$AK$14="Mayor"),CONCATENATE("R3C",'Mapa final'!$Y$14),"")</f>
        <v/>
      </c>
      <c r="AC8" s="50" t="str">
        <f>IF(AND('Mapa final'!$AI$15="Muy Alta",'Mapa final'!$AK$15="Mayor"),CONCATENATE("R3C",'Mapa final'!$Y$15),"")</f>
        <v/>
      </c>
      <c r="AD8" s="50" t="e">
        <f>IF(AND('Mapa final'!#REF!="Muy Alta",'Mapa final'!#REF!="Mayor"),CONCATENATE("R3C",'Mapa final'!#REF!),"")</f>
        <v>#REF!</v>
      </c>
      <c r="AE8" s="50" t="e">
        <f>IF(AND('Mapa final'!#REF!="Muy Alta",'Mapa final'!#REF!="Mayor"),CONCATENATE("R3C",'Mapa final'!#REF!),"")</f>
        <v>#REF!</v>
      </c>
      <c r="AF8" s="50" t="e">
        <f>IF(AND('Mapa final'!#REF!="Muy Alta",'Mapa final'!#REF!="Mayor"),CONCATENATE("R3C",'Mapa final'!#REF!),"")</f>
        <v>#REF!</v>
      </c>
      <c r="AG8" s="51" t="e">
        <f>IF(AND('Mapa final'!#REF!="Muy Alta",'Mapa final'!#REF!="Mayor"),CONCATENATE("R3C",'Mapa final'!#REF!),"")</f>
        <v>#REF!</v>
      </c>
      <c r="AH8" s="52" t="str">
        <f>IF(AND('Mapa final'!$AI$14="Muy Alta",'Mapa final'!$AK$14="Catastrófico"),CONCATENATE("R3C",'Mapa final'!$Y$14),"")</f>
        <v/>
      </c>
      <c r="AI8" s="53" t="str">
        <f>IF(AND('Mapa final'!$AI$15="Muy Alta",'Mapa final'!$AK$15="Catastrófico"),CONCATENATE("R3C",'Mapa final'!$Y$15),"")</f>
        <v/>
      </c>
      <c r="AJ8" s="53" t="e">
        <f>IF(AND('Mapa final'!#REF!="Muy Alta",'Mapa final'!#REF!="Catastrófico"),CONCATENATE("R3C",'Mapa final'!#REF!),"")</f>
        <v>#REF!</v>
      </c>
      <c r="AK8" s="53" t="e">
        <f>IF(AND('Mapa final'!#REF!="Muy Alta",'Mapa final'!#REF!="Catastrófico"),CONCATENATE("R3C",'Mapa final'!#REF!),"")</f>
        <v>#REF!</v>
      </c>
      <c r="AL8" s="53" t="e">
        <f>IF(AND('Mapa final'!#REF!="Muy Alta",'Mapa final'!#REF!="Catastrófico"),CONCATENATE("R3C",'Mapa final'!#REF!),"")</f>
        <v>#REF!</v>
      </c>
      <c r="AM8" s="54" t="e">
        <f>IF(AND('Mapa final'!#REF!="Muy Alta",'Mapa final'!#REF!="Catastrófico"),CONCATENATE("R3C",'Mapa final'!#REF!),"")</f>
        <v>#REF!</v>
      </c>
      <c r="AN8" s="80"/>
      <c r="AO8" s="463"/>
      <c r="AP8" s="464"/>
      <c r="AQ8" s="464"/>
      <c r="AR8" s="464"/>
      <c r="AS8" s="464"/>
      <c r="AT8" s="465"/>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row>
    <row r="9" spans="1:91" ht="15" customHeight="1" x14ac:dyDescent="0.25">
      <c r="A9" s="80"/>
      <c r="B9" s="402"/>
      <c r="C9" s="402"/>
      <c r="D9" s="403"/>
      <c r="E9" s="443"/>
      <c r="F9" s="444"/>
      <c r="G9" s="444"/>
      <c r="H9" s="444"/>
      <c r="I9" s="445"/>
      <c r="J9" s="49" t="str">
        <f>IF(AND('Mapa final'!$AI$16="Muy Alta",'Mapa final'!$AK$16="Leve"),CONCATENATE("R4C",'Mapa final'!$Y$16),"")</f>
        <v/>
      </c>
      <c r="K9" s="50" t="str">
        <f>IF(AND('Mapa final'!$AI$17="Muy Alta",'Mapa final'!$AK$17="Leve"),CONCATENATE("R4C",'Mapa final'!$Y$17),"")</f>
        <v/>
      </c>
      <c r="L9" s="50" t="str">
        <f>IF(AND('Mapa final'!$AI$18="Muy Alta",'Mapa final'!$AK$18="Leve"),CONCATENATE("R4C",'Mapa final'!$Y$18),"")</f>
        <v/>
      </c>
      <c r="M9" s="50" t="e">
        <f>IF(AND('Mapa final'!#REF!="Muy Alta",'Mapa final'!#REF!="Leve"),CONCATENATE("R4C",'Mapa final'!#REF!),"")</f>
        <v>#REF!</v>
      </c>
      <c r="N9" s="50" t="e">
        <f>IF(AND('Mapa final'!#REF!="Muy Alta",'Mapa final'!#REF!="Leve"),CONCATENATE("R4C",'Mapa final'!#REF!),"")</f>
        <v>#REF!</v>
      </c>
      <c r="O9" s="51" t="e">
        <f>IF(AND('Mapa final'!#REF!="Muy Alta",'Mapa final'!#REF!="Leve"),CONCATENATE("R4C",'Mapa final'!#REF!),"")</f>
        <v>#REF!</v>
      </c>
      <c r="P9" s="49" t="str">
        <f>IF(AND('Mapa final'!$AI$16="Muy Alta",'Mapa final'!$AK$16="Menor"),CONCATENATE("R4C",'Mapa final'!$Y$16),"")</f>
        <v/>
      </c>
      <c r="Q9" s="50" t="str">
        <f>IF(AND('Mapa final'!$AI$17="Muy Alta",'Mapa final'!$AK$17="Menor"),CONCATENATE("R4C",'Mapa final'!$Y$17),"")</f>
        <v/>
      </c>
      <c r="R9" s="50" t="str">
        <f>IF(AND('Mapa final'!$AI$18="Muy Alta",'Mapa final'!$AK$18="Menor"),CONCATENATE("R4C",'Mapa final'!$Y$18),"")</f>
        <v/>
      </c>
      <c r="S9" s="50" t="e">
        <f>IF(AND('Mapa final'!#REF!="Muy Alta",'Mapa final'!#REF!="Menor"),CONCATENATE("R4C",'Mapa final'!#REF!),"")</f>
        <v>#REF!</v>
      </c>
      <c r="T9" s="50" t="e">
        <f>IF(AND('Mapa final'!#REF!="Muy Alta",'Mapa final'!#REF!="Menor"),CONCATENATE("R4C",'Mapa final'!#REF!),"")</f>
        <v>#REF!</v>
      </c>
      <c r="U9" s="51" t="e">
        <f>IF(AND('Mapa final'!#REF!="Muy Alta",'Mapa final'!#REF!="Menor"),CONCATENATE("R4C",'Mapa final'!#REF!),"")</f>
        <v>#REF!</v>
      </c>
      <c r="V9" s="49" t="str">
        <f>IF(AND('Mapa final'!$AI$16="Muy Alta",'Mapa final'!$AK$16="Moderado"),CONCATENATE("R4C",'Mapa final'!$Y$16),"")</f>
        <v/>
      </c>
      <c r="W9" s="50" t="str">
        <f>IF(AND('Mapa final'!$AI$17="Muy Alta",'Mapa final'!$AK$17="Moderado"),CONCATENATE("R4C",'Mapa final'!$Y$17),"")</f>
        <v/>
      </c>
      <c r="X9" s="50" t="str">
        <f>IF(AND('Mapa final'!$AI$18="Muy Alta",'Mapa final'!$AK$18="Moderado"),CONCATENATE("R4C",'Mapa final'!$Y$18),"")</f>
        <v/>
      </c>
      <c r="Y9" s="50" t="e">
        <f>IF(AND('Mapa final'!#REF!="Muy Alta",'Mapa final'!#REF!="Moderado"),CONCATENATE("R4C",'Mapa final'!#REF!),"")</f>
        <v>#REF!</v>
      </c>
      <c r="Z9" s="50" t="e">
        <f>IF(AND('Mapa final'!#REF!="Muy Alta",'Mapa final'!#REF!="Moderado"),CONCATENATE("R4C",'Mapa final'!#REF!),"")</f>
        <v>#REF!</v>
      </c>
      <c r="AA9" s="51" t="e">
        <f>IF(AND('Mapa final'!#REF!="Muy Alta",'Mapa final'!#REF!="Moderado"),CONCATENATE("R4C",'Mapa final'!#REF!),"")</f>
        <v>#REF!</v>
      </c>
      <c r="AB9" s="49" t="str">
        <f>IF(AND('Mapa final'!$AI$16="Muy Alta",'Mapa final'!$AK$16="Mayor"),CONCATENATE("R4C",'Mapa final'!$Y$16),"")</f>
        <v/>
      </c>
      <c r="AC9" s="50" t="str">
        <f>IF(AND('Mapa final'!$AI$17="Muy Alta",'Mapa final'!$AK$17="Mayor"),CONCATENATE("R4C",'Mapa final'!$Y$17),"")</f>
        <v/>
      </c>
      <c r="AD9" s="50" t="str">
        <f>IF(AND('Mapa final'!$AI$18="Muy Alta",'Mapa final'!$AK$18="Mayor"),CONCATENATE("R4C",'Mapa final'!$Y$18),"")</f>
        <v/>
      </c>
      <c r="AE9" s="50" t="e">
        <f>IF(AND('Mapa final'!#REF!="Muy Alta",'Mapa final'!#REF!="Mayor"),CONCATENATE("R4C",'Mapa final'!#REF!),"")</f>
        <v>#REF!</v>
      </c>
      <c r="AF9" s="50" t="e">
        <f>IF(AND('Mapa final'!#REF!="Muy Alta",'Mapa final'!#REF!="Mayor"),CONCATENATE("R4C",'Mapa final'!#REF!),"")</f>
        <v>#REF!</v>
      </c>
      <c r="AG9" s="51" t="e">
        <f>IF(AND('Mapa final'!#REF!="Muy Alta",'Mapa final'!#REF!="Mayor"),CONCATENATE("R4C",'Mapa final'!#REF!),"")</f>
        <v>#REF!</v>
      </c>
      <c r="AH9" s="52" t="str">
        <f>IF(AND('Mapa final'!$AI$16="Muy Alta",'Mapa final'!$AK$16="Catastrófico"),CONCATENATE("R4C",'Mapa final'!$Y$16),"")</f>
        <v/>
      </c>
      <c r="AI9" s="53" t="str">
        <f>IF(AND('Mapa final'!$AI$17="Muy Alta",'Mapa final'!$AK$17="Catastrófico"),CONCATENATE("R4C",'Mapa final'!$Y$17),"")</f>
        <v/>
      </c>
      <c r="AJ9" s="53" t="str">
        <f>IF(AND('Mapa final'!$AI$18="Muy Alta",'Mapa final'!$AK$18="Catastrófico"),CONCATENATE("R4C",'Mapa final'!$Y$18),"")</f>
        <v/>
      </c>
      <c r="AK9" s="53" t="e">
        <f>IF(AND('Mapa final'!#REF!="Muy Alta",'Mapa final'!#REF!="Catastrófico"),CONCATENATE("R4C",'Mapa final'!#REF!),"")</f>
        <v>#REF!</v>
      </c>
      <c r="AL9" s="53" t="e">
        <f>IF(AND('Mapa final'!#REF!="Muy Alta",'Mapa final'!#REF!="Catastrófico"),CONCATENATE("R4C",'Mapa final'!#REF!),"")</f>
        <v>#REF!</v>
      </c>
      <c r="AM9" s="54" t="e">
        <f>IF(AND('Mapa final'!#REF!="Muy Alta",'Mapa final'!#REF!="Catastrófico"),CONCATENATE("R4C",'Mapa final'!#REF!),"")</f>
        <v>#REF!</v>
      </c>
      <c r="AN9" s="80"/>
      <c r="AO9" s="463"/>
      <c r="AP9" s="464"/>
      <c r="AQ9" s="464"/>
      <c r="AR9" s="464"/>
      <c r="AS9" s="464"/>
      <c r="AT9" s="465"/>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row>
    <row r="10" spans="1:91" ht="15" customHeight="1" x14ac:dyDescent="0.25">
      <c r="A10" s="80"/>
      <c r="B10" s="402"/>
      <c r="C10" s="402"/>
      <c r="D10" s="403"/>
      <c r="E10" s="443"/>
      <c r="F10" s="444"/>
      <c r="G10" s="444"/>
      <c r="H10" s="444"/>
      <c r="I10" s="445"/>
      <c r="J10" s="49" t="str">
        <f>IF(AND('Mapa final'!$AI$19="Muy Alta",'Mapa final'!$AK$19="Leve"),CONCATENATE("R5C",'Mapa final'!$Y$19),"")</f>
        <v/>
      </c>
      <c r="K10" s="50" t="str">
        <f>IF(AND('Mapa final'!$AI$20="Muy Alta",'Mapa final'!$AK$20="Leve"),CONCATENATE("R5C",'Mapa final'!$Y$20),"")</f>
        <v/>
      </c>
      <c r="L10" s="50" t="str">
        <f>IF(AND('Mapa final'!$AI$21="Muy Alta",'Mapa final'!$AK$21="Leve"),CONCATENATE("R5C",'Mapa final'!$Y$21),"")</f>
        <v/>
      </c>
      <c r="M10" s="50" t="str">
        <f>IF(AND('Mapa final'!$AI$22="Muy Alta",'Mapa final'!$AK$22="Leve"),CONCATENATE("R5C",'Mapa final'!$Y$22),"")</f>
        <v/>
      </c>
      <c r="N10" s="50" t="str">
        <f>IF(AND('Mapa final'!$AI$23="Muy Alta",'Mapa final'!$AK$23="Leve"),CONCATENATE("R5C",'Mapa final'!$Y$23),"")</f>
        <v/>
      </c>
      <c r="O10" s="51" t="str">
        <f>IF(AND('Mapa final'!$AI$24="Muy Alta",'Mapa final'!$AK$24="Leve"),CONCATENATE("R5C",'Mapa final'!$Y$24),"")</f>
        <v/>
      </c>
      <c r="P10" s="49" t="str">
        <f>IF(AND('Mapa final'!$AI$19="Muy Alta",'Mapa final'!$AK$19="Menor"),CONCATENATE("R5C",'Mapa final'!$Y$19),"")</f>
        <v/>
      </c>
      <c r="Q10" s="50" t="str">
        <f>IF(AND('Mapa final'!$AI$20="Muy Alta",'Mapa final'!$AK$20="Menor"),CONCATENATE("R5C",'Mapa final'!$Y$20),"")</f>
        <v/>
      </c>
      <c r="R10" s="50" t="str">
        <f>IF(AND('Mapa final'!$AI$21="Muy Alta",'Mapa final'!$AK$21="Menor"),CONCATENATE("R5C",'Mapa final'!$Y$21),"")</f>
        <v/>
      </c>
      <c r="S10" s="50" t="str">
        <f>IF(AND('Mapa final'!$AI$22="Muy Alta",'Mapa final'!$AK$22="Menor"),CONCATENATE("R5C",'Mapa final'!$Y$22),"")</f>
        <v/>
      </c>
      <c r="T10" s="50" t="str">
        <f>IF(AND('Mapa final'!$AI$23="Muy Alta",'Mapa final'!$AK$23="Menor"),CONCATENATE("R5C",'Mapa final'!$Y$23),"")</f>
        <v/>
      </c>
      <c r="U10" s="51" t="str">
        <f>IF(AND('Mapa final'!$AI$24="Muy Alta",'Mapa final'!$AK$24="Menor"),CONCATENATE("R5C",'Mapa final'!$Y$24),"")</f>
        <v/>
      </c>
      <c r="V10" s="49" t="str">
        <f>IF(AND('Mapa final'!$AI$19="Muy Alta",'Mapa final'!$AK$19="Moderado"),CONCATENATE("R5C",'Mapa final'!$Y$19),"")</f>
        <v/>
      </c>
      <c r="W10" s="50" t="str">
        <f>IF(AND('Mapa final'!$AI$20="Muy Alta",'Mapa final'!$AK$20="Moderado"),CONCATENATE("R5C",'Mapa final'!$Y$20),"")</f>
        <v/>
      </c>
      <c r="X10" s="50" t="str">
        <f>IF(AND('Mapa final'!$AI$21="Muy Alta",'Mapa final'!$AK$21="Moderado"),CONCATENATE("R5C",'Mapa final'!$Y$21),"")</f>
        <v/>
      </c>
      <c r="Y10" s="50" t="str">
        <f>IF(AND('Mapa final'!$AI$22="Muy Alta",'Mapa final'!$AK$22="Moderado"),CONCATENATE("R5C",'Mapa final'!$Y$22),"")</f>
        <v/>
      </c>
      <c r="Z10" s="50" t="str">
        <f>IF(AND('Mapa final'!$AI$23="Muy Alta",'Mapa final'!$AK$23="Moderado"),CONCATENATE("R5C",'Mapa final'!$Y$23),"")</f>
        <v/>
      </c>
      <c r="AA10" s="51" t="str">
        <f>IF(AND('Mapa final'!$AI$24="Muy Alta",'Mapa final'!$AK$24="Moderado"),CONCATENATE("R5C",'Mapa final'!$Y$24),"")</f>
        <v/>
      </c>
      <c r="AB10" s="49" t="str">
        <f>IF(AND('Mapa final'!$AI$19="Muy Alta",'Mapa final'!$AK$19="Mayor"),CONCATENATE("R5C",'Mapa final'!$Y$19),"")</f>
        <v/>
      </c>
      <c r="AC10" s="50" t="str">
        <f>IF(AND('Mapa final'!$AI$20="Muy Alta",'Mapa final'!$AK$20="Mayor"),CONCATENATE("R5C",'Mapa final'!$Y$20),"")</f>
        <v/>
      </c>
      <c r="AD10" s="50" t="str">
        <f>IF(AND('Mapa final'!$AI$21="Muy Alta",'Mapa final'!$AK$21="Mayor"),CONCATENATE("R5C",'Mapa final'!$Y$21),"")</f>
        <v/>
      </c>
      <c r="AE10" s="50" t="str">
        <f>IF(AND('Mapa final'!$AI$22="Muy Alta",'Mapa final'!$AK$22="Mayor"),CONCATENATE("R5C",'Mapa final'!$Y$22),"")</f>
        <v/>
      </c>
      <c r="AF10" s="50" t="str">
        <f>IF(AND('Mapa final'!$AI$23="Muy Alta",'Mapa final'!$AK$23="Mayor"),CONCATENATE("R5C",'Mapa final'!$Y$23),"")</f>
        <v/>
      </c>
      <c r="AG10" s="51" t="str">
        <f>IF(AND('Mapa final'!$AI$24="Muy Alta",'Mapa final'!$AK$24="Mayor"),CONCATENATE("R5C",'Mapa final'!$Y$24),"")</f>
        <v/>
      </c>
      <c r="AH10" s="52" t="str">
        <f>IF(AND('Mapa final'!$AI$19="Muy Alta",'Mapa final'!$AK$19="Catastrófico"),CONCATENATE("R5C",'Mapa final'!$Y$19),"")</f>
        <v/>
      </c>
      <c r="AI10" s="53" t="str">
        <f>IF(AND('Mapa final'!$AI$20="Muy Alta",'Mapa final'!$AK$20="Catastrófico"),CONCATENATE("R5C",'Mapa final'!$Y$20),"")</f>
        <v/>
      </c>
      <c r="AJ10" s="53" t="str">
        <f>IF(AND('Mapa final'!$AI$21="Muy Alta",'Mapa final'!$AK$21="Catastrófico"),CONCATENATE("R5C",'Mapa final'!$Y$21),"")</f>
        <v/>
      </c>
      <c r="AK10" s="53" t="str">
        <f>IF(AND('Mapa final'!$AI$22="Muy Alta",'Mapa final'!$AK$22="Catastrófico"),CONCATENATE("R5C",'Mapa final'!$Y$22),"")</f>
        <v/>
      </c>
      <c r="AL10" s="53" t="str">
        <f>IF(AND('Mapa final'!$AI$23="Muy Alta",'Mapa final'!$AK$23="Catastrófico"),CONCATENATE("R5C",'Mapa final'!$Y$23),"")</f>
        <v/>
      </c>
      <c r="AM10" s="54" t="str">
        <f>IF(AND('Mapa final'!$AI$24="Muy Alta",'Mapa final'!$AK$24="Catastrófico"),CONCATENATE("R5C",'Mapa final'!$Y$24),"")</f>
        <v/>
      </c>
      <c r="AN10" s="80"/>
      <c r="AO10" s="463"/>
      <c r="AP10" s="464"/>
      <c r="AQ10" s="464"/>
      <c r="AR10" s="464"/>
      <c r="AS10" s="464"/>
      <c r="AT10" s="465"/>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row>
    <row r="11" spans="1:91" ht="15" customHeight="1" x14ac:dyDescent="0.25">
      <c r="A11" s="80"/>
      <c r="B11" s="402"/>
      <c r="C11" s="402"/>
      <c r="D11" s="403"/>
      <c r="E11" s="443"/>
      <c r="F11" s="444"/>
      <c r="G11" s="444"/>
      <c r="H11" s="444"/>
      <c r="I11" s="445"/>
      <c r="J11" s="49" t="str">
        <f>IF(AND('Mapa final'!$AI$25="Muy Alta",'Mapa final'!$AK$25="Leve"),CONCATENATE("R6C",'Mapa final'!$Y$25),"")</f>
        <v/>
      </c>
      <c r="K11" s="50" t="str">
        <f>IF(AND('Mapa final'!$AI$26="Muy Alta",'Mapa final'!$AK$26="Leve"),CONCATENATE("R6C",'Mapa final'!$Y$26),"")</f>
        <v/>
      </c>
      <c r="L11" s="50" t="str">
        <f>IF(AND('Mapa final'!$AI$27="Muy Alta",'Mapa final'!$AK$27="Leve"),CONCATENATE("R6C",'Mapa final'!$Y$27),"")</f>
        <v/>
      </c>
      <c r="M11" s="50" t="str">
        <f>IF(AND('Mapa final'!$AI$28="Muy Alta",'Mapa final'!$AK$28="Leve"),CONCATENATE("R6C",'Mapa final'!$Y$28),"")</f>
        <v/>
      </c>
      <c r="N11" s="50" t="str">
        <f>IF(AND('Mapa final'!$AI$29="Muy Alta",'Mapa final'!$AK$29="Leve"),CONCATENATE("R6C",'Mapa final'!$Y$29),"")</f>
        <v/>
      </c>
      <c r="O11" s="51" t="str">
        <f>IF(AND('Mapa final'!$AI$30="Muy Alta",'Mapa final'!$AK$30="Leve"),CONCATENATE("R6C",'Mapa final'!$Y$30),"")</f>
        <v/>
      </c>
      <c r="P11" s="49" t="str">
        <f>IF(AND('Mapa final'!$AI$25="Muy Alta",'Mapa final'!$AK$25="Menor"),CONCATENATE("R6C",'Mapa final'!$Y$25),"")</f>
        <v/>
      </c>
      <c r="Q11" s="50" t="str">
        <f>IF(AND('Mapa final'!$AI$26="Muy Alta",'Mapa final'!$AK$26="Menor"),CONCATENATE("R6C",'Mapa final'!$Y$26),"")</f>
        <v/>
      </c>
      <c r="R11" s="50" t="str">
        <f>IF(AND('Mapa final'!$AI$27="Muy Alta",'Mapa final'!$AK$27="Menor"),CONCATENATE("R6C",'Mapa final'!$Y$27),"")</f>
        <v/>
      </c>
      <c r="S11" s="50" t="str">
        <f>IF(AND('Mapa final'!$AI$28="Muy Alta",'Mapa final'!$AK$28="Menor"),CONCATENATE("R6C",'Mapa final'!$Y$28),"")</f>
        <v/>
      </c>
      <c r="T11" s="50" t="str">
        <f>IF(AND('Mapa final'!$AI$29="Muy Alta",'Mapa final'!$AK$29="Menor"),CONCATENATE("R6C",'Mapa final'!$Y$29),"")</f>
        <v/>
      </c>
      <c r="U11" s="51" t="str">
        <f>IF(AND('Mapa final'!$AI$30="Muy Alta",'Mapa final'!$AK$30="Menor"),CONCATENATE("R6C",'Mapa final'!$Y$30),"")</f>
        <v/>
      </c>
      <c r="V11" s="49" t="str">
        <f>IF(AND('Mapa final'!$AI$25="Muy Alta",'Mapa final'!$AK$25="Moderado"),CONCATENATE("R6C",'Mapa final'!$Y$25),"")</f>
        <v/>
      </c>
      <c r="W11" s="50" t="str">
        <f>IF(AND('Mapa final'!$AI$26="Muy Alta",'Mapa final'!$AK$26="Moderado"),CONCATENATE("R6C",'Mapa final'!$Y$26),"")</f>
        <v/>
      </c>
      <c r="X11" s="50" t="str">
        <f>IF(AND('Mapa final'!$AI$27="Muy Alta",'Mapa final'!$AK$27="Moderado"),CONCATENATE("R6C",'Mapa final'!$Y$27),"")</f>
        <v/>
      </c>
      <c r="Y11" s="50" t="str">
        <f>IF(AND('Mapa final'!$AI$28="Muy Alta",'Mapa final'!$AK$28="Moderado"),CONCATENATE("R6C",'Mapa final'!$Y$28),"")</f>
        <v/>
      </c>
      <c r="Z11" s="50" t="str">
        <f>IF(AND('Mapa final'!$AI$29="Muy Alta",'Mapa final'!$AK$29="Moderado"),CONCATENATE("R6C",'Mapa final'!$Y$29),"")</f>
        <v/>
      </c>
      <c r="AA11" s="51" t="str">
        <f>IF(AND('Mapa final'!$AI$30="Muy Alta",'Mapa final'!$AK$30="Moderado"),CONCATENATE("R6C",'Mapa final'!$Y$30),"")</f>
        <v/>
      </c>
      <c r="AB11" s="49" t="str">
        <f>IF(AND('Mapa final'!$AI$25="Muy Alta",'Mapa final'!$AK$25="Mayor"),CONCATENATE("R6C",'Mapa final'!$Y$25),"")</f>
        <v/>
      </c>
      <c r="AC11" s="50" t="str">
        <f>IF(AND('Mapa final'!$AI$26="Muy Alta",'Mapa final'!$AK$26="Mayor"),CONCATENATE("R6C",'Mapa final'!$Y$26),"")</f>
        <v/>
      </c>
      <c r="AD11" s="50" t="str">
        <f>IF(AND('Mapa final'!$AI$27="Muy Alta",'Mapa final'!$AK$27="Mayor"),CONCATENATE("R6C",'Mapa final'!$Y$27),"")</f>
        <v/>
      </c>
      <c r="AE11" s="50" t="str">
        <f>IF(AND('Mapa final'!$AI$28="Muy Alta",'Mapa final'!$AK$28="Mayor"),CONCATENATE("R6C",'Mapa final'!$Y$28),"")</f>
        <v/>
      </c>
      <c r="AF11" s="50" t="str">
        <f>IF(AND('Mapa final'!$AI$29="Muy Alta",'Mapa final'!$AK$29="Mayor"),CONCATENATE("R6C",'Mapa final'!$Y$29),"")</f>
        <v/>
      </c>
      <c r="AG11" s="51" t="str">
        <f>IF(AND('Mapa final'!$AI$30="Muy Alta",'Mapa final'!$AK$30="Mayor"),CONCATENATE("R6C",'Mapa final'!$Y$30),"")</f>
        <v/>
      </c>
      <c r="AH11" s="52" t="str">
        <f>IF(AND('Mapa final'!$AI$25="Muy Alta",'Mapa final'!$AK$25="Catastrófico"),CONCATENATE("R6C",'Mapa final'!$Y$25),"")</f>
        <v/>
      </c>
      <c r="AI11" s="53" t="str">
        <f>IF(AND('Mapa final'!$AI$26="Muy Alta",'Mapa final'!$AK$26="Catastrófico"),CONCATENATE("R6C",'Mapa final'!$Y$26),"")</f>
        <v/>
      </c>
      <c r="AJ11" s="53" t="str">
        <f>IF(AND('Mapa final'!$AI$27="Muy Alta",'Mapa final'!$AK$27="Catastrófico"),CONCATENATE("R6C",'Mapa final'!$Y$27),"")</f>
        <v/>
      </c>
      <c r="AK11" s="53" t="str">
        <f>IF(AND('Mapa final'!$AI$28="Muy Alta",'Mapa final'!$AK$28="Catastrófico"),CONCATENATE("R6C",'Mapa final'!$Y$28),"")</f>
        <v/>
      </c>
      <c r="AL11" s="53" t="str">
        <f>IF(AND('Mapa final'!$AI$29="Muy Alta",'Mapa final'!$AK$29="Catastrófico"),CONCATENATE("R6C",'Mapa final'!$Y$29),"")</f>
        <v/>
      </c>
      <c r="AM11" s="54" t="str">
        <f>IF(AND('Mapa final'!$AI$30="Muy Alta",'Mapa final'!$AK$30="Catastrófico"),CONCATENATE("R6C",'Mapa final'!$Y$30),"")</f>
        <v/>
      </c>
      <c r="AN11" s="80"/>
      <c r="AO11" s="463"/>
      <c r="AP11" s="464"/>
      <c r="AQ11" s="464"/>
      <c r="AR11" s="464"/>
      <c r="AS11" s="464"/>
      <c r="AT11" s="465"/>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row>
    <row r="12" spans="1:91" ht="15" customHeight="1" x14ac:dyDescent="0.25">
      <c r="A12" s="80"/>
      <c r="B12" s="402"/>
      <c r="C12" s="402"/>
      <c r="D12" s="403"/>
      <c r="E12" s="443"/>
      <c r="F12" s="444"/>
      <c r="G12" s="444"/>
      <c r="H12" s="444"/>
      <c r="I12" s="445"/>
      <c r="J12" s="49" t="str">
        <f>IF(AND('Mapa final'!$AI$31="Muy Alta",'Mapa final'!$AK$31="Leve"),CONCATENATE("R7C",'Mapa final'!$Y$31),"")</f>
        <v/>
      </c>
      <c r="K12" s="50" t="str">
        <f>IF(AND('Mapa final'!$AI$32="Muy Alta",'Mapa final'!$AK$32="Leve"),CONCATENATE("R7C",'Mapa final'!$Y$32),"")</f>
        <v/>
      </c>
      <c r="L12" s="50" t="str">
        <f>IF(AND('Mapa final'!$AI$33="Muy Alta",'Mapa final'!$AK$33="Leve"),CONCATENATE("R7C",'Mapa final'!$Y$33),"")</f>
        <v/>
      </c>
      <c r="M12" s="50" t="str">
        <f>IF(AND('Mapa final'!$AI$34="Muy Alta",'Mapa final'!$AK$34="Leve"),CONCATENATE("R7C",'Mapa final'!$Y$34),"")</f>
        <v/>
      </c>
      <c r="N12" s="50" t="str">
        <f>IF(AND('Mapa final'!$AI$35="Muy Alta",'Mapa final'!$AK$35="Leve"),CONCATENATE("R7C",'Mapa final'!$Y$35),"")</f>
        <v/>
      </c>
      <c r="O12" s="51" t="str">
        <f>IF(AND('Mapa final'!$AI$36="Muy Alta",'Mapa final'!$AK$36="Leve"),CONCATENATE("R7C",'Mapa final'!$Y$36),"")</f>
        <v/>
      </c>
      <c r="P12" s="49" t="str">
        <f>IF(AND('Mapa final'!$AI$31="Muy Alta",'Mapa final'!$AK$31="Menor"),CONCATENATE("R7C",'Mapa final'!$Y$31),"")</f>
        <v/>
      </c>
      <c r="Q12" s="50" t="str">
        <f>IF(AND('Mapa final'!$AI$32="Muy Alta",'Mapa final'!$AK$32="Menor"),CONCATENATE("R7C",'Mapa final'!$Y$32),"")</f>
        <v/>
      </c>
      <c r="R12" s="50" t="str">
        <f>IF(AND('Mapa final'!$AI$33="Muy Alta",'Mapa final'!$AK$33="Menor"),CONCATENATE("R7C",'Mapa final'!$Y$33),"")</f>
        <v/>
      </c>
      <c r="S12" s="50" t="str">
        <f>IF(AND('Mapa final'!$AI$34="Muy Alta",'Mapa final'!$AK$34="Menor"),CONCATENATE("R7C",'Mapa final'!$Y$34),"")</f>
        <v/>
      </c>
      <c r="T12" s="50" t="str">
        <f>IF(AND('Mapa final'!$AI$35="Muy Alta",'Mapa final'!$AK$35="Menor"),CONCATENATE("R7C",'Mapa final'!$Y$35),"")</f>
        <v/>
      </c>
      <c r="U12" s="51" t="str">
        <f>IF(AND('Mapa final'!$AI$36="Muy Alta",'Mapa final'!$AK$36="Menor"),CONCATENATE("R7C",'Mapa final'!$Y$36),"")</f>
        <v/>
      </c>
      <c r="V12" s="49" t="str">
        <f>IF(AND('Mapa final'!$AI$31="Muy Alta",'Mapa final'!$AK$31="Moderado"),CONCATENATE("R7C",'Mapa final'!$Y$31),"")</f>
        <v/>
      </c>
      <c r="W12" s="50" t="str">
        <f>IF(AND('Mapa final'!$AI$32="Muy Alta",'Mapa final'!$AK$32="Moderado"),CONCATENATE("R7C",'Mapa final'!$Y$32),"")</f>
        <v/>
      </c>
      <c r="X12" s="50" t="str">
        <f>IF(AND('Mapa final'!$AI$33="Muy Alta",'Mapa final'!$AK$33="Moderado"),CONCATENATE("R7C",'Mapa final'!$Y$33),"")</f>
        <v/>
      </c>
      <c r="Y12" s="50" t="str">
        <f>IF(AND('Mapa final'!$AI$34="Muy Alta",'Mapa final'!$AK$34="Moderado"),CONCATENATE("R7C",'Mapa final'!$Y$34),"")</f>
        <v/>
      </c>
      <c r="Z12" s="50" t="str">
        <f>IF(AND('Mapa final'!$AI$35="Muy Alta",'Mapa final'!$AK$35="Moderado"),CONCATENATE("R7C",'Mapa final'!$Y$35),"")</f>
        <v/>
      </c>
      <c r="AA12" s="51" t="str">
        <f>IF(AND('Mapa final'!$AI$36="Muy Alta",'Mapa final'!$AK$36="Moderado"),CONCATENATE("R7C",'Mapa final'!$Y$36),"")</f>
        <v/>
      </c>
      <c r="AB12" s="49" t="str">
        <f>IF(AND('Mapa final'!$AI$31="Muy Alta",'Mapa final'!$AK$31="Mayor"),CONCATENATE("R7C",'Mapa final'!$Y$31),"")</f>
        <v/>
      </c>
      <c r="AC12" s="50" t="str">
        <f>IF(AND('Mapa final'!$AI$32="Muy Alta",'Mapa final'!$AK$32="Mayor"),CONCATENATE("R7C",'Mapa final'!$Y$32),"")</f>
        <v/>
      </c>
      <c r="AD12" s="50" t="str">
        <f>IF(AND('Mapa final'!$AI$33="Muy Alta",'Mapa final'!$AK$33="Mayor"),CONCATENATE("R7C",'Mapa final'!$Y$33),"")</f>
        <v/>
      </c>
      <c r="AE12" s="50" t="str">
        <f>IF(AND('Mapa final'!$AI$34="Muy Alta",'Mapa final'!$AK$34="Mayor"),CONCATENATE("R7C",'Mapa final'!$Y$34),"")</f>
        <v/>
      </c>
      <c r="AF12" s="50" t="str">
        <f>IF(AND('Mapa final'!$AI$35="Muy Alta",'Mapa final'!$AK$35="Mayor"),CONCATENATE("R7C",'Mapa final'!$Y$35),"")</f>
        <v/>
      </c>
      <c r="AG12" s="51" t="str">
        <f>IF(AND('Mapa final'!$AI$36="Muy Alta",'Mapa final'!$AK$36="Mayor"),CONCATENATE("R7C",'Mapa final'!$Y$36),"")</f>
        <v/>
      </c>
      <c r="AH12" s="52" t="str">
        <f>IF(AND('Mapa final'!$AI$31="Muy Alta",'Mapa final'!$AK$31="Catastrófico"),CONCATENATE("R7C",'Mapa final'!$Y$31),"")</f>
        <v/>
      </c>
      <c r="AI12" s="53" t="str">
        <f>IF(AND('Mapa final'!$AI$32="Muy Alta",'Mapa final'!$AK$32="Catastrófico"),CONCATENATE("R7C",'Mapa final'!$Y$32),"")</f>
        <v/>
      </c>
      <c r="AJ12" s="53" t="str">
        <f>IF(AND('Mapa final'!$AI$33="Muy Alta",'Mapa final'!$AK$33="Catastrófico"),CONCATENATE("R7C",'Mapa final'!$Y$33),"")</f>
        <v/>
      </c>
      <c r="AK12" s="53" t="str">
        <f>IF(AND('Mapa final'!$AI$34="Muy Alta",'Mapa final'!$AK$34="Catastrófico"),CONCATENATE("R7C",'Mapa final'!$Y$34),"")</f>
        <v/>
      </c>
      <c r="AL12" s="53" t="str">
        <f>IF(AND('Mapa final'!$AI$35="Muy Alta",'Mapa final'!$AK$35="Catastrófico"),CONCATENATE("R7C",'Mapa final'!$Y$35),"")</f>
        <v/>
      </c>
      <c r="AM12" s="54" t="str">
        <f>IF(AND('Mapa final'!$AI$36="Muy Alta",'Mapa final'!$AK$36="Catastrófico"),CONCATENATE("R7C",'Mapa final'!$Y$36),"")</f>
        <v/>
      </c>
      <c r="AN12" s="80"/>
      <c r="AO12" s="463"/>
      <c r="AP12" s="464"/>
      <c r="AQ12" s="464"/>
      <c r="AR12" s="464"/>
      <c r="AS12" s="464"/>
      <c r="AT12" s="465"/>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row>
    <row r="13" spans="1:91" ht="15" customHeight="1" x14ac:dyDescent="0.25">
      <c r="A13" s="80"/>
      <c r="B13" s="402"/>
      <c r="C13" s="402"/>
      <c r="D13" s="403"/>
      <c r="E13" s="443"/>
      <c r="F13" s="444"/>
      <c r="G13" s="444"/>
      <c r="H13" s="444"/>
      <c r="I13" s="445"/>
      <c r="J13" s="49" t="str">
        <f>IF(AND('Mapa final'!$AI$37="Muy Alta",'Mapa final'!$AK$37="Leve"),CONCATENATE("R8C",'Mapa final'!$Y$37),"")</f>
        <v/>
      </c>
      <c r="K13" s="50" t="str">
        <f>IF(AND('Mapa final'!$AI$38="Muy Alta",'Mapa final'!$AK$38="Leve"),CONCATENATE("R8C",'Mapa final'!$Y$38),"")</f>
        <v/>
      </c>
      <c r="L13" s="50" t="str">
        <f>IF(AND('Mapa final'!$AI$39="Muy Alta",'Mapa final'!$AK$39="Leve"),CONCATENATE("R8C",'Mapa final'!$Y$39),"")</f>
        <v/>
      </c>
      <c r="M13" s="50" t="str">
        <f>IF(AND('Mapa final'!$AI$40="Muy Alta",'Mapa final'!$AK$40="Leve"),CONCATENATE("R8C",'Mapa final'!$Y$40),"")</f>
        <v/>
      </c>
      <c r="N13" s="50" t="str">
        <f>IF(AND('Mapa final'!$AI$41="Muy Alta",'Mapa final'!$AK$41="Leve"),CONCATENATE("R8C",'Mapa final'!$Y$41),"")</f>
        <v/>
      </c>
      <c r="O13" s="51" t="str">
        <f>IF(AND('Mapa final'!$AI$42="Muy Alta",'Mapa final'!$AK$42="Leve"),CONCATENATE("R8C",'Mapa final'!$Y$42),"")</f>
        <v/>
      </c>
      <c r="P13" s="49" t="str">
        <f>IF(AND('Mapa final'!$AI$37="Muy Alta",'Mapa final'!$AK$37="Menor"),CONCATENATE("R8C",'Mapa final'!$Y$37),"")</f>
        <v/>
      </c>
      <c r="Q13" s="50" t="str">
        <f>IF(AND('Mapa final'!$AI$38="Muy Alta",'Mapa final'!$AK$38="Menor"),CONCATENATE("R8C",'Mapa final'!$Y$38),"")</f>
        <v/>
      </c>
      <c r="R13" s="50" t="str">
        <f>IF(AND('Mapa final'!$AI$39="Muy Alta",'Mapa final'!$AK$39="Menor"),CONCATENATE("R8C",'Mapa final'!$Y$39),"")</f>
        <v/>
      </c>
      <c r="S13" s="50" t="str">
        <f>IF(AND('Mapa final'!$AI$40="Muy Alta",'Mapa final'!$AK$40="Menor"),CONCATENATE("R8C",'Mapa final'!$Y$40),"")</f>
        <v/>
      </c>
      <c r="T13" s="50" t="str">
        <f>IF(AND('Mapa final'!$AI$41="Muy Alta",'Mapa final'!$AK$41="Menor"),CONCATENATE("R8C",'Mapa final'!$Y$41),"")</f>
        <v/>
      </c>
      <c r="U13" s="51" t="str">
        <f>IF(AND('Mapa final'!$AI$42="Muy Alta",'Mapa final'!$AK$42="Menor"),CONCATENATE("R8C",'Mapa final'!$Y$42),"")</f>
        <v/>
      </c>
      <c r="V13" s="49" t="str">
        <f>IF(AND('Mapa final'!$AI$37="Muy Alta",'Mapa final'!$AK$37="Moderado"),CONCATENATE("R8C",'Mapa final'!$Y$37),"")</f>
        <v/>
      </c>
      <c r="W13" s="50" t="str">
        <f>IF(AND('Mapa final'!$AI$38="Muy Alta",'Mapa final'!$AK$38="Moderado"),CONCATENATE("R8C",'Mapa final'!$Y$38),"")</f>
        <v/>
      </c>
      <c r="X13" s="50" t="str">
        <f>IF(AND('Mapa final'!$AI$39="Muy Alta",'Mapa final'!$AK$39="Moderado"),CONCATENATE("R8C",'Mapa final'!$Y$39),"")</f>
        <v/>
      </c>
      <c r="Y13" s="50" t="str">
        <f>IF(AND('Mapa final'!$AI$40="Muy Alta",'Mapa final'!$AK$40="Moderado"),CONCATENATE("R8C",'Mapa final'!$Y$40),"")</f>
        <v/>
      </c>
      <c r="Z13" s="50" t="str">
        <f>IF(AND('Mapa final'!$AI$41="Muy Alta",'Mapa final'!$AK$41="Moderado"),CONCATENATE("R8C",'Mapa final'!$Y$41),"")</f>
        <v/>
      </c>
      <c r="AA13" s="51" t="str">
        <f>IF(AND('Mapa final'!$AI$42="Muy Alta",'Mapa final'!$AK$42="Moderado"),CONCATENATE("R8C",'Mapa final'!$Y$42),"")</f>
        <v/>
      </c>
      <c r="AB13" s="49" t="str">
        <f>IF(AND('Mapa final'!$AI$37="Muy Alta",'Mapa final'!$AK$37="Mayor"),CONCATENATE("R8C",'Mapa final'!$Y$37),"")</f>
        <v/>
      </c>
      <c r="AC13" s="50" t="str">
        <f>IF(AND('Mapa final'!$AI$38="Muy Alta",'Mapa final'!$AK$38="Mayor"),CONCATENATE("R8C",'Mapa final'!$Y$38),"")</f>
        <v/>
      </c>
      <c r="AD13" s="50" t="str">
        <f>IF(AND('Mapa final'!$AI$39="Muy Alta",'Mapa final'!$AK$39="Mayor"),CONCATENATE("R8C",'Mapa final'!$Y$39),"")</f>
        <v/>
      </c>
      <c r="AE13" s="50" t="str">
        <f>IF(AND('Mapa final'!$AI$40="Muy Alta",'Mapa final'!$AK$40="Mayor"),CONCATENATE("R8C",'Mapa final'!$Y$40),"")</f>
        <v/>
      </c>
      <c r="AF13" s="50" t="str">
        <f>IF(AND('Mapa final'!$AI$41="Muy Alta",'Mapa final'!$AK$41="Mayor"),CONCATENATE("R8C",'Mapa final'!$Y$41),"")</f>
        <v/>
      </c>
      <c r="AG13" s="51" t="str">
        <f>IF(AND('Mapa final'!$AI$42="Muy Alta",'Mapa final'!$AK$42="Mayor"),CONCATENATE("R8C",'Mapa final'!$Y$42),"")</f>
        <v/>
      </c>
      <c r="AH13" s="52" t="str">
        <f>IF(AND('Mapa final'!$AI$37="Muy Alta",'Mapa final'!$AK$37="Catastrófico"),CONCATENATE("R8C",'Mapa final'!$Y$37),"")</f>
        <v/>
      </c>
      <c r="AI13" s="53" t="str">
        <f>IF(AND('Mapa final'!$AI$38="Muy Alta",'Mapa final'!$AK$38="Catastrófico"),CONCATENATE("R8C",'Mapa final'!$Y$38),"")</f>
        <v/>
      </c>
      <c r="AJ13" s="53" t="str">
        <f>IF(AND('Mapa final'!$AI$39="Muy Alta",'Mapa final'!$AK$39="Catastrófico"),CONCATENATE("R8C",'Mapa final'!$Y$39),"")</f>
        <v/>
      </c>
      <c r="AK13" s="53" t="str">
        <f>IF(AND('Mapa final'!$AI$40="Muy Alta",'Mapa final'!$AK$40="Catastrófico"),CONCATENATE("R8C",'Mapa final'!$Y$40),"")</f>
        <v/>
      </c>
      <c r="AL13" s="53" t="str">
        <f>IF(AND('Mapa final'!$AI$41="Muy Alta",'Mapa final'!$AK$41="Catastrófico"),CONCATENATE("R8C",'Mapa final'!$Y$41),"")</f>
        <v/>
      </c>
      <c r="AM13" s="54" t="str">
        <f>IF(AND('Mapa final'!$AI$42="Muy Alta",'Mapa final'!$AK$42="Catastrófico"),CONCATENATE("R8C",'Mapa final'!$Y$42),"")</f>
        <v/>
      </c>
      <c r="AN13" s="80"/>
      <c r="AO13" s="463"/>
      <c r="AP13" s="464"/>
      <c r="AQ13" s="464"/>
      <c r="AR13" s="464"/>
      <c r="AS13" s="464"/>
      <c r="AT13" s="465"/>
      <c r="AU13" s="80"/>
      <c r="AV13" s="80"/>
      <c r="AW13" s="80"/>
      <c r="AX13" s="80"/>
      <c r="AY13" s="80"/>
      <c r="AZ13" s="80"/>
      <c r="BA13" s="80"/>
      <c r="BB13" s="80"/>
      <c r="BC13" s="80"/>
      <c r="BD13" s="80"/>
      <c r="BE13" s="80"/>
      <c r="BF13" s="80"/>
      <c r="BG13" s="80"/>
      <c r="BH13" s="80"/>
      <c r="BI13" s="80"/>
      <c r="BJ13" s="80"/>
      <c r="BK13" s="80"/>
      <c r="BL13" s="80"/>
      <c r="BM13" s="80"/>
      <c r="BN13" s="80"/>
      <c r="BO13" s="80"/>
      <c r="BP13" s="80"/>
      <c r="BQ13" s="80"/>
      <c r="BR13" s="80"/>
      <c r="BS13" s="80"/>
      <c r="BT13" s="80"/>
      <c r="BU13" s="80"/>
      <c r="BV13" s="80"/>
      <c r="BW13" s="80"/>
      <c r="BX13" s="80"/>
    </row>
    <row r="14" spans="1:91" ht="15" customHeight="1" x14ac:dyDescent="0.25">
      <c r="A14" s="80"/>
      <c r="B14" s="402"/>
      <c r="C14" s="402"/>
      <c r="D14" s="403"/>
      <c r="E14" s="443"/>
      <c r="F14" s="444"/>
      <c r="G14" s="444"/>
      <c r="H14" s="444"/>
      <c r="I14" s="445"/>
      <c r="J14" s="49" t="str">
        <f>IF(AND('Mapa final'!$AI$43="Muy Alta",'Mapa final'!$AK$43="Leve"),CONCATENATE("R9C",'Mapa final'!$Y$43),"")</f>
        <v/>
      </c>
      <c r="K14" s="50" t="str">
        <f>IF(AND('Mapa final'!$AI$44="Muy Alta",'Mapa final'!$AK$44="Leve"),CONCATENATE("R9C",'Mapa final'!$Y$44),"")</f>
        <v/>
      </c>
      <c r="L14" s="50" t="str">
        <f>IF(AND('Mapa final'!$AI$45="Muy Alta",'Mapa final'!$AK$45="Leve"),CONCATENATE("R9C",'Mapa final'!$Y$45),"")</f>
        <v/>
      </c>
      <c r="M14" s="50" t="str">
        <f>IF(AND('Mapa final'!$AI$46="Muy Alta",'Mapa final'!$AK$46="Leve"),CONCATENATE("R9C",'Mapa final'!$Y$46),"")</f>
        <v/>
      </c>
      <c r="N14" s="50" t="str">
        <f>IF(AND('Mapa final'!$AI$47="Muy Alta",'Mapa final'!$AK$47="Leve"),CONCATENATE("R9C",'Mapa final'!$Y$47),"")</f>
        <v/>
      </c>
      <c r="O14" s="51" t="str">
        <f>IF(AND('Mapa final'!$AI$48="Muy Alta",'Mapa final'!$AK$48="Leve"),CONCATENATE("R9C",'Mapa final'!$Y$48),"")</f>
        <v/>
      </c>
      <c r="P14" s="49" t="str">
        <f>IF(AND('Mapa final'!$AI$43="Muy Alta",'Mapa final'!$AK$43="Menor"),CONCATENATE("R9C",'Mapa final'!$Y$43),"")</f>
        <v/>
      </c>
      <c r="Q14" s="50" t="str">
        <f>IF(AND('Mapa final'!$AI$44="Muy Alta",'Mapa final'!$AK$44="Menor"),CONCATENATE("R9C",'Mapa final'!$Y$44),"")</f>
        <v/>
      </c>
      <c r="R14" s="50" t="str">
        <f>IF(AND('Mapa final'!$AI$45="Muy Alta",'Mapa final'!$AK$45="Menor"),CONCATENATE("R9C",'Mapa final'!$Y$45),"")</f>
        <v/>
      </c>
      <c r="S14" s="50" t="str">
        <f>IF(AND('Mapa final'!$AI$46="Muy Alta",'Mapa final'!$AK$46="Menor"),CONCATENATE("R9C",'Mapa final'!$Y$46),"")</f>
        <v/>
      </c>
      <c r="T14" s="50" t="str">
        <f>IF(AND('Mapa final'!$AI$47="Muy Alta",'Mapa final'!$AK$47="Menor"),CONCATENATE("R9C",'Mapa final'!$Y$47),"")</f>
        <v/>
      </c>
      <c r="U14" s="51" t="str">
        <f>IF(AND('Mapa final'!$AI$48="Muy Alta",'Mapa final'!$AK$48="Menor"),CONCATENATE("R9C",'Mapa final'!$Y$48),"")</f>
        <v/>
      </c>
      <c r="V14" s="49" t="str">
        <f>IF(AND('Mapa final'!$AI$43="Muy Alta",'Mapa final'!$AK$43="Moderado"),CONCATENATE("R9C",'Mapa final'!$Y$43),"")</f>
        <v/>
      </c>
      <c r="W14" s="50" t="str">
        <f>IF(AND('Mapa final'!$AI$44="Muy Alta",'Mapa final'!$AK$44="Moderado"),CONCATENATE("R9C",'Mapa final'!$Y$44),"")</f>
        <v/>
      </c>
      <c r="X14" s="50" t="str">
        <f>IF(AND('Mapa final'!$AI$45="Muy Alta",'Mapa final'!$AK$45="Moderado"),CONCATENATE("R9C",'Mapa final'!$Y$45),"")</f>
        <v/>
      </c>
      <c r="Y14" s="50" t="str">
        <f>IF(AND('Mapa final'!$AI$46="Muy Alta",'Mapa final'!$AK$46="Moderado"),CONCATENATE("R9C",'Mapa final'!$Y$46),"")</f>
        <v/>
      </c>
      <c r="Z14" s="50" t="str">
        <f>IF(AND('Mapa final'!$AI$47="Muy Alta",'Mapa final'!$AK$47="Moderado"),CONCATENATE("R9C",'Mapa final'!$Y$47),"")</f>
        <v/>
      </c>
      <c r="AA14" s="51" t="str">
        <f>IF(AND('Mapa final'!$AI$48="Muy Alta",'Mapa final'!$AK$48="Moderado"),CONCATENATE("R9C",'Mapa final'!$Y$48),"")</f>
        <v/>
      </c>
      <c r="AB14" s="49" t="str">
        <f>IF(AND('Mapa final'!$AI$43="Muy Alta",'Mapa final'!$AK$43="Mayor"),CONCATENATE("R9C",'Mapa final'!$Y$43),"")</f>
        <v/>
      </c>
      <c r="AC14" s="50" t="str">
        <f>IF(AND('Mapa final'!$AI$44="Muy Alta",'Mapa final'!$AK$44="Mayor"),CONCATENATE("R9C",'Mapa final'!$Y$44),"")</f>
        <v/>
      </c>
      <c r="AD14" s="50" t="str">
        <f>IF(AND('Mapa final'!$AI$45="Muy Alta",'Mapa final'!$AK$45="Mayor"),CONCATENATE("R9C",'Mapa final'!$Y$45),"")</f>
        <v/>
      </c>
      <c r="AE14" s="50" t="str">
        <f>IF(AND('Mapa final'!$AI$46="Muy Alta",'Mapa final'!$AK$46="Mayor"),CONCATENATE("R9C",'Mapa final'!$Y$46),"")</f>
        <v/>
      </c>
      <c r="AF14" s="50" t="str">
        <f>IF(AND('Mapa final'!$AI$47="Muy Alta",'Mapa final'!$AK$47="Mayor"),CONCATENATE("R9C",'Mapa final'!$Y$47),"")</f>
        <v/>
      </c>
      <c r="AG14" s="51" t="str">
        <f>IF(AND('Mapa final'!$AI$48="Muy Alta",'Mapa final'!$AK$48="Mayor"),CONCATENATE("R9C",'Mapa final'!$Y$48),"")</f>
        <v/>
      </c>
      <c r="AH14" s="52" t="str">
        <f>IF(AND('Mapa final'!$AI$43="Muy Alta",'Mapa final'!$AK$43="Catastrófico"),CONCATENATE("R9C",'Mapa final'!$Y$43),"")</f>
        <v/>
      </c>
      <c r="AI14" s="53" t="str">
        <f>IF(AND('Mapa final'!$AI$44="Muy Alta",'Mapa final'!$AK$44="Catastrófico"),CONCATENATE("R9C",'Mapa final'!$Y$44),"")</f>
        <v/>
      </c>
      <c r="AJ14" s="53" t="str">
        <f>IF(AND('Mapa final'!$AI$45="Muy Alta",'Mapa final'!$AK$45="Catastrófico"),CONCATENATE("R9C",'Mapa final'!$Y$45),"")</f>
        <v/>
      </c>
      <c r="AK14" s="53" t="str">
        <f>IF(AND('Mapa final'!$AI$46="Muy Alta",'Mapa final'!$AK$46="Catastrófico"),CONCATENATE("R9C",'Mapa final'!$Y$46),"")</f>
        <v/>
      </c>
      <c r="AL14" s="53" t="str">
        <f>IF(AND('Mapa final'!$AI$47="Muy Alta",'Mapa final'!$AK$47="Catastrófico"),CONCATENATE("R9C",'Mapa final'!$Y$47),"")</f>
        <v/>
      </c>
      <c r="AM14" s="54" t="str">
        <f>IF(AND('Mapa final'!$AI$48="Muy Alta",'Mapa final'!$AK$48="Catastrófico"),CONCATENATE("R9C",'Mapa final'!$Y$48),"")</f>
        <v/>
      </c>
      <c r="AN14" s="80"/>
      <c r="AO14" s="463"/>
      <c r="AP14" s="464"/>
      <c r="AQ14" s="464"/>
      <c r="AR14" s="464"/>
      <c r="AS14" s="464"/>
      <c r="AT14" s="465"/>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80"/>
      <c r="BT14" s="80"/>
      <c r="BU14" s="80"/>
      <c r="BV14" s="80"/>
      <c r="BW14" s="80"/>
      <c r="BX14" s="80"/>
    </row>
    <row r="15" spans="1:91" ht="15.75" customHeight="1" thickBot="1" x14ac:dyDescent="0.3">
      <c r="A15" s="80"/>
      <c r="B15" s="402"/>
      <c r="C15" s="402"/>
      <c r="D15" s="403"/>
      <c r="E15" s="446"/>
      <c r="F15" s="447"/>
      <c r="G15" s="447"/>
      <c r="H15" s="447"/>
      <c r="I15" s="448"/>
      <c r="J15" s="55" t="str">
        <f>IF(AND('Mapa final'!$AI$49="Muy Alta",'Mapa final'!$AK$49="Leve"),CONCATENATE("R10C",'Mapa final'!$Y$49),"")</f>
        <v/>
      </c>
      <c r="K15" s="56" t="str">
        <f>IF(AND('Mapa final'!$AI$50="Muy Alta",'Mapa final'!$AK$50="Leve"),CONCATENATE("R10C",'Mapa final'!$Y$50),"")</f>
        <v/>
      </c>
      <c r="L15" s="56" t="str">
        <f>IF(AND('Mapa final'!$AI$51="Muy Alta",'Mapa final'!$AK$51="Leve"),CONCATENATE("R10C",'Mapa final'!$Y$51),"")</f>
        <v/>
      </c>
      <c r="M15" s="56" t="str">
        <f>IF(AND('Mapa final'!$AI$52="Muy Alta",'Mapa final'!$AK$52="Leve"),CONCATENATE("R10C",'Mapa final'!$Y$52),"")</f>
        <v/>
      </c>
      <c r="N15" s="56" t="str">
        <f>IF(AND('Mapa final'!$AI$53="Muy Alta",'Mapa final'!$AK$53="Leve"),CONCATENATE("R10C",'Mapa final'!$Y$53),"")</f>
        <v/>
      </c>
      <c r="O15" s="57" t="str">
        <f>IF(AND('Mapa final'!$AI$54="Muy Alta",'Mapa final'!$AK$54="Leve"),CONCATENATE("R10C",'Mapa final'!$Y$54),"")</f>
        <v/>
      </c>
      <c r="P15" s="49" t="str">
        <f>IF(AND('Mapa final'!$AI$49="Muy Alta",'Mapa final'!$AK$49="Menor"),CONCATENATE("R10C",'Mapa final'!$Y$49),"")</f>
        <v/>
      </c>
      <c r="Q15" s="50" t="str">
        <f>IF(AND('Mapa final'!$AI$50="Muy Alta",'Mapa final'!$AK$50="Menor"),CONCATENATE("R10C",'Mapa final'!$Y$50),"")</f>
        <v/>
      </c>
      <c r="R15" s="50" t="str">
        <f>IF(AND('Mapa final'!$AI$51="Muy Alta",'Mapa final'!$AK$51="Menor"),CONCATENATE("R10C",'Mapa final'!$Y$51),"")</f>
        <v/>
      </c>
      <c r="S15" s="50" t="str">
        <f>IF(AND('Mapa final'!$AI$52="Muy Alta",'Mapa final'!$AK$52="Menor"),CONCATENATE("R10C",'Mapa final'!$Y$52),"")</f>
        <v/>
      </c>
      <c r="T15" s="50" t="str">
        <f>IF(AND('Mapa final'!$AI$53="Muy Alta",'Mapa final'!$AK$53="Menor"),CONCATENATE("R10C",'Mapa final'!$Y$53),"")</f>
        <v/>
      </c>
      <c r="U15" s="51" t="str">
        <f>IF(AND('Mapa final'!$AI$54="Muy Alta",'Mapa final'!$AK$54="Menor"),CONCATENATE("R10C",'Mapa final'!$Y$54),"")</f>
        <v/>
      </c>
      <c r="V15" s="55" t="str">
        <f>IF(AND('Mapa final'!$AI$49="Muy Alta",'Mapa final'!$AK$49="Moderado"),CONCATENATE("R10C",'Mapa final'!$Y$49),"")</f>
        <v/>
      </c>
      <c r="W15" s="56" t="str">
        <f>IF(AND('Mapa final'!$AI$50="Muy Alta",'Mapa final'!$AK$50="Moderado"),CONCATENATE("R10C",'Mapa final'!$Y$50),"")</f>
        <v/>
      </c>
      <c r="X15" s="56" t="str">
        <f>IF(AND('Mapa final'!$AI$51="Muy Alta",'Mapa final'!$AK$51="Moderado"),CONCATENATE("R10C",'Mapa final'!$Y$51),"")</f>
        <v/>
      </c>
      <c r="Y15" s="56" t="str">
        <f>IF(AND('Mapa final'!$AI$52="Muy Alta",'Mapa final'!$AK$52="Moderado"),CONCATENATE("R10C",'Mapa final'!$Y$52),"")</f>
        <v/>
      </c>
      <c r="Z15" s="56" t="str">
        <f>IF(AND('Mapa final'!$AI$53="Muy Alta",'Mapa final'!$AK$53="Moderado"),CONCATENATE("R10C",'Mapa final'!$Y$53),"")</f>
        <v/>
      </c>
      <c r="AA15" s="57" t="str">
        <f>IF(AND('Mapa final'!$AI$54="Muy Alta",'Mapa final'!$AK$54="Moderado"),CONCATENATE("R10C",'Mapa final'!$Y$54),"")</f>
        <v/>
      </c>
      <c r="AB15" s="49" t="str">
        <f>IF(AND('Mapa final'!$AI$49="Muy Alta",'Mapa final'!$AK$49="Mayor"),CONCATENATE("R10C",'Mapa final'!$Y$49),"")</f>
        <v/>
      </c>
      <c r="AC15" s="50" t="str">
        <f>IF(AND('Mapa final'!$AI$50="Muy Alta",'Mapa final'!$AK$50="Mayor"),CONCATENATE("R10C",'Mapa final'!$Y$50),"")</f>
        <v/>
      </c>
      <c r="AD15" s="50" t="str">
        <f>IF(AND('Mapa final'!$AI$51="Muy Alta",'Mapa final'!$AK$51="Mayor"),CONCATENATE("R10C",'Mapa final'!$Y$51),"")</f>
        <v/>
      </c>
      <c r="AE15" s="50" t="str">
        <f>IF(AND('Mapa final'!$AI$52="Muy Alta",'Mapa final'!$AK$52="Mayor"),CONCATENATE("R10C",'Mapa final'!$Y$52),"")</f>
        <v/>
      </c>
      <c r="AF15" s="50" t="str">
        <f>IF(AND('Mapa final'!$AI$53="Muy Alta",'Mapa final'!$AK$53="Mayor"),CONCATENATE("R10C",'Mapa final'!$Y$53),"")</f>
        <v/>
      </c>
      <c r="AG15" s="51" t="str">
        <f>IF(AND('Mapa final'!$AI$54="Muy Alta",'Mapa final'!$AK$54="Mayor"),CONCATENATE("R10C",'Mapa final'!$Y$54),"")</f>
        <v/>
      </c>
      <c r="AH15" s="58" t="str">
        <f>IF(AND('Mapa final'!$AI$49="Muy Alta",'Mapa final'!$AK$49="Catastrófico"),CONCATENATE("R10C",'Mapa final'!$Y$49),"")</f>
        <v/>
      </c>
      <c r="AI15" s="59" t="str">
        <f>IF(AND('Mapa final'!$AI$50="Muy Alta",'Mapa final'!$AK$50="Catastrófico"),CONCATENATE("R10C",'Mapa final'!$Y$50),"")</f>
        <v/>
      </c>
      <c r="AJ15" s="59" t="str">
        <f>IF(AND('Mapa final'!$AI$51="Muy Alta",'Mapa final'!$AK$51="Catastrófico"),CONCATENATE("R10C",'Mapa final'!$Y$51),"")</f>
        <v/>
      </c>
      <c r="AK15" s="59" t="str">
        <f>IF(AND('Mapa final'!$AI$52="Muy Alta",'Mapa final'!$AK$52="Catastrófico"),CONCATENATE("R10C",'Mapa final'!$Y$52),"")</f>
        <v/>
      </c>
      <c r="AL15" s="59" t="str">
        <f>IF(AND('Mapa final'!$AI$53="Muy Alta",'Mapa final'!$AK$53="Catastrófico"),CONCATENATE("R10C",'Mapa final'!$Y$53),"")</f>
        <v/>
      </c>
      <c r="AM15" s="60" t="str">
        <f>IF(AND('Mapa final'!$AI$54="Muy Alta",'Mapa final'!$AK$54="Catastrófico"),CONCATENATE("R10C",'Mapa final'!$Y$54),"")</f>
        <v/>
      </c>
      <c r="AN15" s="80"/>
      <c r="AO15" s="466"/>
      <c r="AP15" s="467"/>
      <c r="AQ15" s="467"/>
      <c r="AR15" s="467"/>
      <c r="AS15" s="467"/>
      <c r="AT15" s="468"/>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80"/>
      <c r="BT15" s="80"/>
      <c r="BU15" s="80"/>
      <c r="BV15" s="80"/>
      <c r="BW15" s="80"/>
      <c r="BX15" s="80"/>
    </row>
    <row r="16" spans="1:91" ht="15" customHeight="1" x14ac:dyDescent="0.25">
      <c r="A16" s="80"/>
      <c r="B16" s="402"/>
      <c r="C16" s="402"/>
      <c r="D16" s="403"/>
      <c r="E16" s="440" t="s">
        <v>140</v>
      </c>
      <c r="F16" s="441"/>
      <c r="G16" s="441"/>
      <c r="H16" s="441"/>
      <c r="I16" s="441"/>
      <c r="J16" s="61" t="str">
        <f>IF(AND('Mapa final'!$AI$11="Alta",'Mapa final'!$AK$11="Leve"),CONCATENATE("R1C",'Mapa final'!$Y$11),"")</f>
        <v/>
      </c>
      <c r="K16" s="62" t="e">
        <f>IF(AND('Mapa final'!#REF!="Alta",'Mapa final'!#REF!="Leve"),CONCATENATE("R1C",'Mapa final'!#REF!),"")</f>
        <v>#REF!</v>
      </c>
      <c r="L16" s="62" t="e">
        <f>IF(AND('Mapa final'!#REF!="Alta",'Mapa final'!#REF!="Leve"),CONCATENATE("R1C",'Mapa final'!#REF!),"")</f>
        <v>#REF!</v>
      </c>
      <c r="M16" s="62" t="e">
        <f>IF(AND('Mapa final'!#REF!="Alta",'Mapa final'!#REF!="Leve"),CONCATENATE("R1C",'Mapa final'!#REF!),"")</f>
        <v>#REF!</v>
      </c>
      <c r="N16" s="62" t="e">
        <f>IF(AND('Mapa final'!#REF!="Alta",'Mapa final'!#REF!="Leve"),CONCATENATE("R1C",'Mapa final'!#REF!),"")</f>
        <v>#REF!</v>
      </c>
      <c r="O16" s="63" t="e">
        <f>IF(AND('Mapa final'!#REF!="Alta",'Mapa final'!#REF!="Leve"),CONCATENATE("R1C",'Mapa final'!#REF!),"")</f>
        <v>#REF!</v>
      </c>
      <c r="P16" s="61" t="str">
        <f>IF(AND('Mapa final'!$AI$11="Alta",'Mapa final'!$AK$11="Menor"),CONCATENATE("R1C",'Mapa final'!$Y$11),"")</f>
        <v/>
      </c>
      <c r="Q16" s="62" t="e">
        <f>IF(AND('Mapa final'!#REF!="Alta",'Mapa final'!#REF!="Menor"),CONCATENATE("R1C",'Mapa final'!#REF!),"")</f>
        <v>#REF!</v>
      </c>
      <c r="R16" s="62" t="e">
        <f>IF(AND('Mapa final'!#REF!="Alta",'Mapa final'!#REF!="Menor"),CONCATENATE("R1C",'Mapa final'!#REF!),"")</f>
        <v>#REF!</v>
      </c>
      <c r="S16" s="62" t="e">
        <f>IF(AND('Mapa final'!#REF!="Alta",'Mapa final'!#REF!="Menor"),CONCATENATE("R1C",'Mapa final'!#REF!),"")</f>
        <v>#REF!</v>
      </c>
      <c r="T16" s="62" t="e">
        <f>IF(AND('Mapa final'!#REF!="Alta",'Mapa final'!#REF!="Menor"),CONCATENATE("R1C",'Mapa final'!#REF!),"")</f>
        <v>#REF!</v>
      </c>
      <c r="U16" s="63" t="e">
        <f>IF(AND('Mapa final'!#REF!="Alta",'Mapa final'!#REF!="Menor"),CONCATENATE("R1C",'Mapa final'!#REF!),"")</f>
        <v>#REF!</v>
      </c>
      <c r="V16" s="43" t="str">
        <f>IF(AND('Mapa final'!$AI$11="Alta",'Mapa final'!$AK$11="Moderado"),CONCATENATE("R1C",'Mapa final'!$Y$11),"")</f>
        <v/>
      </c>
      <c r="W16" s="44" t="e">
        <f>IF(AND('Mapa final'!#REF!="Alta",'Mapa final'!#REF!="Moderado"),CONCATENATE("R1C",'Mapa final'!#REF!),"")</f>
        <v>#REF!</v>
      </c>
      <c r="X16" s="44" t="e">
        <f>IF(AND('Mapa final'!#REF!="Alta",'Mapa final'!#REF!="Moderado"),CONCATENATE("R1C",'Mapa final'!#REF!),"")</f>
        <v>#REF!</v>
      </c>
      <c r="Y16" s="44" t="e">
        <f>IF(AND('Mapa final'!#REF!="Alta",'Mapa final'!#REF!="Moderado"),CONCATENATE("R1C",'Mapa final'!#REF!),"")</f>
        <v>#REF!</v>
      </c>
      <c r="Z16" s="44" t="e">
        <f>IF(AND('Mapa final'!#REF!="Alta",'Mapa final'!#REF!="Moderado"),CONCATENATE("R1C",'Mapa final'!#REF!),"")</f>
        <v>#REF!</v>
      </c>
      <c r="AA16" s="45" t="e">
        <f>IF(AND('Mapa final'!#REF!="Alta",'Mapa final'!#REF!="Moderado"),CONCATENATE("R1C",'Mapa final'!#REF!),"")</f>
        <v>#REF!</v>
      </c>
      <c r="AB16" s="43" t="str">
        <f>IF(AND('Mapa final'!$AI$11="Alta",'Mapa final'!$AK$11="Mayor"),CONCATENATE("R1C",'Mapa final'!$Y$11),"")</f>
        <v/>
      </c>
      <c r="AC16" s="44" t="e">
        <f>IF(AND('Mapa final'!#REF!="Alta",'Mapa final'!#REF!="Mayor"),CONCATENATE("R1C",'Mapa final'!#REF!),"")</f>
        <v>#REF!</v>
      </c>
      <c r="AD16" s="44" t="e">
        <f>IF(AND('Mapa final'!#REF!="Alta",'Mapa final'!#REF!="Mayor"),CONCATENATE("R1C",'Mapa final'!#REF!),"")</f>
        <v>#REF!</v>
      </c>
      <c r="AE16" s="44" t="e">
        <f>IF(AND('Mapa final'!#REF!="Alta",'Mapa final'!#REF!="Mayor"),CONCATENATE("R1C",'Mapa final'!#REF!),"")</f>
        <v>#REF!</v>
      </c>
      <c r="AF16" s="44" t="e">
        <f>IF(AND('Mapa final'!#REF!="Alta",'Mapa final'!#REF!="Mayor"),CONCATENATE("R1C",'Mapa final'!#REF!),"")</f>
        <v>#REF!</v>
      </c>
      <c r="AG16" s="45" t="e">
        <f>IF(AND('Mapa final'!#REF!="Alta",'Mapa final'!#REF!="Mayor"),CONCATENATE("R1C",'Mapa final'!#REF!),"")</f>
        <v>#REF!</v>
      </c>
      <c r="AH16" s="46" t="str">
        <f>IF(AND('Mapa final'!$AI$11="Alta",'Mapa final'!$AK$11="Catastrófico"),CONCATENATE("R1C",'Mapa final'!$Y$11),"")</f>
        <v/>
      </c>
      <c r="AI16" s="47" t="e">
        <f>IF(AND('Mapa final'!#REF!="Alta",'Mapa final'!#REF!="Catastrófico"),CONCATENATE("R1C",'Mapa final'!#REF!),"")</f>
        <v>#REF!</v>
      </c>
      <c r="AJ16" s="47" t="e">
        <f>IF(AND('Mapa final'!#REF!="Alta",'Mapa final'!#REF!="Catastrófico"),CONCATENATE("R1C",'Mapa final'!#REF!),"")</f>
        <v>#REF!</v>
      </c>
      <c r="AK16" s="47" t="e">
        <f>IF(AND('Mapa final'!#REF!="Alta",'Mapa final'!#REF!="Catastrófico"),CONCATENATE("R1C",'Mapa final'!#REF!),"")</f>
        <v>#REF!</v>
      </c>
      <c r="AL16" s="47" t="e">
        <f>IF(AND('Mapa final'!#REF!="Alta",'Mapa final'!#REF!="Catastrófico"),CONCATENATE("R1C",'Mapa final'!#REF!),"")</f>
        <v>#REF!</v>
      </c>
      <c r="AM16" s="48" t="e">
        <f>IF(AND('Mapa final'!#REF!="Alta",'Mapa final'!#REF!="Catastrófico"),CONCATENATE("R1C",'Mapa final'!#REF!),"")</f>
        <v>#REF!</v>
      </c>
      <c r="AN16" s="80"/>
      <c r="AO16" s="450" t="s">
        <v>141</v>
      </c>
      <c r="AP16" s="451"/>
      <c r="AQ16" s="451"/>
      <c r="AR16" s="451"/>
      <c r="AS16" s="451"/>
      <c r="AT16" s="452"/>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80"/>
      <c r="BT16" s="80"/>
      <c r="BU16" s="80"/>
      <c r="BV16" s="80"/>
      <c r="BW16" s="80"/>
      <c r="BX16" s="80"/>
    </row>
    <row r="17" spans="1:76" ht="15" customHeight="1" x14ac:dyDescent="0.25">
      <c r="A17" s="80"/>
      <c r="B17" s="402"/>
      <c r="C17" s="402"/>
      <c r="D17" s="403"/>
      <c r="E17" s="459"/>
      <c r="F17" s="444"/>
      <c r="G17" s="444"/>
      <c r="H17" s="444"/>
      <c r="I17" s="444"/>
      <c r="J17" s="64" t="str">
        <f>IF(AND('Mapa final'!$AI$12="Alta",'Mapa final'!$AK$12="Leve"),CONCATENATE("R2C",'Mapa final'!$Y$12),"")</f>
        <v/>
      </c>
      <c r="K17" s="65" t="str">
        <f>IF(AND('Mapa final'!$AI$13="Alta",'Mapa final'!$AK$13="Leve"),CONCATENATE("R2C",'Mapa final'!$Y$13),"")</f>
        <v/>
      </c>
      <c r="L17" s="65" t="e">
        <f>IF(AND('Mapa final'!#REF!="Alta",'Mapa final'!#REF!="Leve"),CONCATENATE("R2C",'Mapa final'!#REF!),"")</f>
        <v>#REF!</v>
      </c>
      <c r="M17" s="65" t="e">
        <f>IF(AND('Mapa final'!#REF!="Alta",'Mapa final'!#REF!="Leve"),CONCATENATE("R2C",'Mapa final'!#REF!),"")</f>
        <v>#REF!</v>
      </c>
      <c r="N17" s="65" t="e">
        <f>IF(AND('Mapa final'!#REF!="Alta",'Mapa final'!#REF!="Leve"),CONCATENATE("R2C",'Mapa final'!#REF!),"")</f>
        <v>#REF!</v>
      </c>
      <c r="O17" s="66" t="e">
        <f>IF(AND('Mapa final'!#REF!="Alta",'Mapa final'!#REF!="Leve"),CONCATENATE("R2C",'Mapa final'!#REF!),"")</f>
        <v>#REF!</v>
      </c>
      <c r="P17" s="64" t="str">
        <f>IF(AND('Mapa final'!$AI$12="Alta",'Mapa final'!$AK$12="Menor"),CONCATENATE("R2C",'Mapa final'!$Y$12),"")</f>
        <v/>
      </c>
      <c r="Q17" s="65" t="str">
        <f>IF(AND('Mapa final'!$AI$13="Alta",'Mapa final'!$AK$13="Menor"),CONCATENATE("R2C",'Mapa final'!$Y$13),"")</f>
        <v/>
      </c>
      <c r="R17" s="65" t="e">
        <f>IF(AND('Mapa final'!#REF!="Alta",'Mapa final'!#REF!="Menor"),CONCATENATE("R2C",'Mapa final'!#REF!),"")</f>
        <v>#REF!</v>
      </c>
      <c r="S17" s="65" t="e">
        <f>IF(AND('Mapa final'!#REF!="Alta",'Mapa final'!#REF!="Menor"),CONCATENATE("R2C",'Mapa final'!#REF!),"")</f>
        <v>#REF!</v>
      </c>
      <c r="T17" s="65" t="e">
        <f>IF(AND('Mapa final'!#REF!="Alta",'Mapa final'!#REF!="Menor"),CONCATENATE("R2C",'Mapa final'!#REF!),"")</f>
        <v>#REF!</v>
      </c>
      <c r="U17" s="66" t="e">
        <f>IF(AND('Mapa final'!#REF!="Alta",'Mapa final'!#REF!="Menor"),CONCATENATE("R2C",'Mapa final'!#REF!),"")</f>
        <v>#REF!</v>
      </c>
      <c r="V17" s="49" t="str">
        <f>IF(AND('Mapa final'!$AI$12="Alta",'Mapa final'!$AK$12="Moderado"),CONCATENATE("R2C",'Mapa final'!$Y$12),"")</f>
        <v/>
      </c>
      <c r="W17" s="50" t="str">
        <f>IF(AND('Mapa final'!$AI$13="Alta",'Mapa final'!$AK$13="Moderado"),CONCATENATE("R2C",'Mapa final'!$Y$13),"")</f>
        <v/>
      </c>
      <c r="X17" s="50" t="e">
        <f>IF(AND('Mapa final'!#REF!="Alta",'Mapa final'!#REF!="Moderado"),CONCATENATE("R2C",'Mapa final'!#REF!),"")</f>
        <v>#REF!</v>
      </c>
      <c r="Y17" s="50" t="e">
        <f>IF(AND('Mapa final'!#REF!="Alta",'Mapa final'!#REF!="Moderado"),CONCATENATE("R2C",'Mapa final'!#REF!),"")</f>
        <v>#REF!</v>
      </c>
      <c r="Z17" s="50" t="e">
        <f>IF(AND('Mapa final'!#REF!="Alta",'Mapa final'!#REF!="Moderado"),CONCATENATE("R2C",'Mapa final'!#REF!),"")</f>
        <v>#REF!</v>
      </c>
      <c r="AA17" s="51" t="e">
        <f>IF(AND('Mapa final'!#REF!="Alta",'Mapa final'!#REF!="Moderado"),CONCATENATE("R2C",'Mapa final'!#REF!),"")</f>
        <v>#REF!</v>
      </c>
      <c r="AB17" s="49" t="str">
        <f>IF(AND('Mapa final'!$AI$12="Alta",'Mapa final'!$AK$12="Mayor"),CONCATENATE("R2C",'Mapa final'!$Y$12),"")</f>
        <v/>
      </c>
      <c r="AC17" s="50" t="str">
        <f>IF(AND('Mapa final'!$AI$13="Alta",'Mapa final'!$AK$13="Mayor"),CONCATENATE("R2C",'Mapa final'!$Y$13),"")</f>
        <v/>
      </c>
      <c r="AD17" s="50" t="e">
        <f>IF(AND('Mapa final'!#REF!="Alta",'Mapa final'!#REF!="Mayor"),CONCATENATE("R2C",'Mapa final'!#REF!),"")</f>
        <v>#REF!</v>
      </c>
      <c r="AE17" s="50" t="e">
        <f>IF(AND('Mapa final'!#REF!="Alta",'Mapa final'!#REF!="Mayor"),CONCATENATE("R2C",'Mapa final'!#REF!),"")</f>
        <v>#REF!</v>
      </c>
      <c r="AF17" s="50" t="e">
        <f>IF(AND('Mapa final'!#REF!="Alta",'Mapa final'!#REF!="Mayor"),CONCATENATE("R2C",'Mapa final'!#REF!),"")</f>
        <v>#REF!</v>
      </c>
      <c r="AG17" s="51" t="e">
        <f>IF(AND('Mapa final'!#REF!="Alta",'Mapa final'!#REF!="Mayor"),CONCATENATE("R2C",'Mapa final'!#REF!),"")</f>
        <v>#REF!</v>
      </c>
      <c r="AH17" s="52" t="str">
        <f>IF(AND('Mapa final'!$AI$12="Alta",'Mapa final'!$AK$12="Catastrófico"),CONCATENATE("R2C",'Mapa final'!$Y$12),"")</f>
        <v/>
      </c>
      <c r="AI17" s="53" t="str">
        <f>IF(AND('Mapa final'!$AI$13="Alta",'Mapa final'!$AK$13="Catastrófico"),CONCATENATE("R2C",'Mapa final'!$Y$13),"")</f>
        <v/>
      </c>
      <c r="AJ17" s="53" t="e">
        <f>IF(AND('Mapa final'!#REF!="Alta",'Mapa final'!#REF!="Catastrófico"),CONCATENATE("R2C",'Mapa final'!#REF!),"")</f>
        <v>#REF!</v>
      </c>
      <c r="AK17" s="53" t="e">
        <f>IF(AND('Mapa final'!#REF!="Alta",'Mapa final'!#REF!="Catastrófico"),CONCATENATE("R2C",'Mapa final'!#REF!),"")</f>
        <v>#REF!</v>
      </c>
      <c r="AL17" s="53" t="e">
        <f>IF(AND('Mapa final'!#REF!="Alta",'Mapa final'!#REF!="Catastrófico"),CONCATENATE("R2C",'Mapa final'!#REF!),"")</f>
        <v>#REF!</v>
      </c>
      <c r="AM17" s="54" t="e">
        <f>IF(AND('Mapa final'!#REF!="Alta",'Mapa final'!#REF!="Catastrófico"),CONCATENATE("R2C",'Mapa final'!#REF!),"")</f>
        <v>#REF!</v>
      </c>
      <c r="AN17" s="80"/>
      <c r="AO17" s="453"/>
      <c r="AP17" s="454"/>
      <c r="AQ17" s="454"/>
      <c r="AR17" s="454"/>
      <c r="AS17" s="454"/>
      <c r="AT17" s="455"/>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row>
    <row r="18" spans="1:76" ht="15" customHeight="1" x14ac:dyDescent="0.25">
      <c r="A18" s="80"/>
      <c r="B18" s="402"/>
      <c r="C18" s="402"/>
      <c r="D18" s="403"/>
      <c r="E18" s="443"/>
      <c r="F18" s="444"/>
      <c r="G18" s="444"/>
      <c r="H18" s="444"/>
      <c r="I18" s="444"/>
      <c r="J18" s="64" t="str">
        <f>IF(AND('Mapa final'!$AI$14="Alta",'Mapa final'!$AK$14="Leve"),CONCATENATE("R3C",'Mapa final'!$Y$14),"")</f>
        <v/>
      </c>
      <c r="K18" s="65" t="str">
        <f>IF(AND('Mapa final'!$AI$15="Alta",'Mapa final'!$AK$15="Leve"),CONCATENATE("R3C",'Mapa final'!$Y$15),"")</f>
        <v/>
      </c>
      <c r="L18" s="65" t="e">
        <f>IF(AND('Mapa final'!#REF!="Alta",'Mapa final'!#REF!="Leve"),CONCATENATE("R3C",'Mapa final'!#REF!),"")</f>
        <v>#REF!</v>
      </c>
      <c r="M18" s="65" t="e">
        <f>IF(AND('Mapa final'!#REF!="Alta",'Mapa final'!#REF!="Leve"),CONCATENATE("R3C",'Mapa final'!#REF!),"")</f>
        <v>#REF!</v>
      </c>
      <c r="N18" s="65" t="e">
        <f>IF(AND('Mapa final'!#REF!="Alta",'Mapa final'!#REF!="Leve"),CONCATENATE("R3C",'Mapa final'!#REF!),"")</f>
        <v>#REF!</v>
      </c>
      <c r="O18" s="66" t="e">
        <f>IF(AND('Mapa final'!#REF!="Alta",'Mapa final'!#REF!="Leve"),CONCATENATE("R3C",'Mapa final'!#REF!),"")</f>
        <v>#REF!</v>
      </c>
      <c r="P18" s="64" t="str">
        <f>IF(AND('Mapa final'!$AI$14="Alta",'Mapa final'!$AK$14="Menor"),CONCATENATE("R3C",'Mapa final'!$Y$14),"")</f>
        <v/>
      </c>
      <c r="Q18" s="65" t="str">
        <f>IF(AND('Mapa final'!$AI$15="Alta",'Mapa final'!$AK$15="Menor"),CONCATENATE("R3C",'Mapa final'!$Y$15),"")</f>
        <v/>
      </c>
      <c r="R18" s="65" t="e">
        <f>IF(AND('Mapa final'!#REF!="Alta",'Mapa final'!#REF!="Menor"),CONCATENATE("R3C",'Mapa final'!#REF!),"")</f>
        <v>#REF!</v>
      </c>
      <c r="S18" s="65" t="e">
        <f>IF(AND('Mapa final'!#REF!="Alta",'Mapa final'!#REF!="Menor"),CONCATENATE("R3C",'Mapa final'!#REF!),"")</f>
        <v>#REF!</v>
      </c>
      <c r="T18" s="65" t="e">
        <f>IF(AND('Mapa final'!#REF!="Alta",'Mapa final'!#REF!="Menor"),CONCATENATE("R3C",'Mapa final'!#REF!),"")</f>
        <v>#REF!</v>
      </c>
      <c r="U18" s="66" t="e">
        <f>IF(AND('Mapa final'!#REF!="Alta",'Mapa final'!#REF!="Menor"),CONCATENATE("R3C",'Mapa final'!#REF!),"")</f>
        <v>#REF!</v>
      </c>
      <c r="V18" s="49" t="str">
        <f>IF(AND('Mapa final'!$AI$14="Alta",'Mapa final'!$AK$14="Moderado"),CONCATENATE("R3C",'Mapa final'!$Y$14),"")</f>
        <v/>
      </c>
      <c r="W18" s="50" t="str">
        <f>IF(AND('Mapa final'!$AI$15="Alta",'Mapa final'!$AK$15="Moderado"),CONCATENATE("R3C",'Mapa final'!$Y$15),"")</f>
        <v/>
      </c>
      <c r="X18" s="50" t="e">
        <f>IF(AND('Mapa final'!#REF!="Alta",'Mapa final'!#REF!="Moderado"),CONCATENATE("R3C",'Mapa final'!#REF!),"")</f>
        <v>#REF!</v>
      </c>
      <c r="Y18" s="50" t="e">
        <f>IF(AND('Mapa final'!#REF!="Alta",'Mapa final'!#REF!="Moderado"),CONCATENATE("R3C",'Mapa final'!#REF!),"")</f>
        <v>#REF!</v>
      </c>
      <c r="Z18" s="50" t="e">
        <f>IF(AND('Mapa final'!#REF!="Alta",'Mapa final'!#REF!="Moderado"),CONCATENATE("R3C",'Mapa final'!#REF!),"")</f>
        <v>#REF!</v>
      </c>
      <c r="AA18" s="51" t="e">
        <f>IF(AND('Mapa final'!#REF!="Alta",'Mapa final'!#REF!="Moderado"),CONCATENATE("R3C",'Mapa final'!#REF!),"")</f>
        <v>#REF!</v>
      </c>
      <c r="AB18" s="49" t="str">
        <f>IF(AND('Mapa final'!$AI$14="Alta",'Mapa final'!$AK$14="Mayor"),CONCATENATE("R3C",'Mapa final'!$Y$14),"")</f>
        <v/>
      </c>
      <c r="AC18" s="50" t="str">
        <f>IF(AND('Mapa final'!$AI$15="Alta",'Mapa final'!$AK$15="Mayor"),CONCATENATE("R3C",'Mapa final'!$Y$15),"")</f>
        <v/>
      </c>
      <c r="AD18" s="50" t="e">
        <f>IF(AND('Mapa final'!#REF!="Alta",'Mapa final'!#REF!="Mayor"),CONCATENATE("R3C",'Mapa final'!#REF!),"")</f>
        <v>#REF!</v>
      </c>
      <c r="AE18" s="50" t="e">
        <f>IF(AND('Mapa final'!#REF!="Alta",'Mapa final'!#REF!="Mayor"),CONCATENATE("R3C",'Mapa final'!#REF!),"")</f>
        <v>#REF!</v>
      </c>
      <c r="AF18" s="50" t="e">
        <f>IF(AND('Mapa final'!#REF!="Alta",'Mapa final'!#REF!="Mayor"),CONCATENATE("R3C",'Mapa final'!#REF!),"")</f>
        <v>#REF!</v>
      </c>
      <c r="AG18" s="51" t="e">
        <f>IF(AND('Mapa final'!#REF!="Alta",'Mapa final'!#REF!="Mayor"),CONCATENATE("R3C",'Mapa final'!#REF!),"")</f>
        <v>#REF!</v>
      </c>
      <c r="AH18" s="52" t="str">
        <f>IF(AND('Mapa final'!$AI$14="Alta",'Mapa final'!$AK$14="Catastrófico"),CONCATENATE("R3C",'Mapa final'!$Y$14),"")</f>
        <v/>
      </c>
      <c r="AI18" s="53" t="str">
        <f>IF(AND('Mapa final'!$AI$15="Alta",'Mapa final'!$AK$15="Catastrófico"),CONCATENATE("R3C",'Mapa final'!$Y$15),"")</f>
        <v/>
      </c>
      <c r="AJ18" s="53" t="e">
        <f>IF(AND('Mapa final'!#REF!="Alta",'Mapa final'!#REF!="Catastrófico"),CONCATENATE("R3C",'Mapa final'!#REF!),"")</f>
        <v>#REF!</v>
      </c>
      <c r="AK18" s="53" t="e">
        <f>IF(AND('Mapa final'!#REF!="Alta",'Mapa final'!#REF!="Catastrófico"),CONCATENATE("R3C",'Mapa final'!#REF!),"")</f>
        <v>#REF!</v>
      </c>
      <c r="AL18" s="53" t="e">
        <f>IF(AND('Mapa final'!#REF!="Alta",'Mapa final'!#REF!="Catastrófico"),CONCATENATE("R3C",'Mapa final'!#REF!),"")</f>
        <v>#REF!</v>
      </c>
      <c r="AM18" s="54" t="e">
        <f>IF(AND('Mapa final'!#REF!="Alta",'Mapa final'!#REF!="Catastrófico"),CONCATENATE("R3C",'Mapa final'!#REF!),"")</f>
        <v>#REF!</v>
      </c>
      <c r="AN18" s="80"/>
      <c r="AO18" s="453"/>
      <c r="AP18" s="454"/>
      <c r="AQ18" s="454"/>
      <c r="AR18" s="454"/>
      <c r="AS18" s="454"/>
      <c r="AT18" s="455"/>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row>
    <row r="19" spans="1:76" ht="15" customHeight="1" x14ac:dyDescent="0.25">
      <c r="A19" s="80"/>
      <c r="B19" s="402"/>
      <c r="C19" s="402"/>
      <c r="D19" s="403"/>
      <c r="E19" s="443"/>
      <c r="F19" s="444"/>
      <c r="G19" s="444"/>
      <c r="H19" s="444"/>
      <c r="I19" s="444"/>
      <c r="J19" s="64" t="str">
        <f>IF(AND('Mapa final'!$AI$16="Alta",'Mapa final'!$AK$16="Leve"),CONCATENATE("R4C",'Mapa final'!$Y$16),"")</f>
        <v/>
      </c>
      <c r="K19" s="65" t="str">
        <f>IF(AND('Mapa final'!$AI$17="Alta",'Mapa final'!$AK$17="Leve"),CONCATENATE("R4C",'Mapa final'!$Y$17),"")</f>
        <v/>
      </c>
      <c r="L19" s="65" t="str">
        <f>IF(AND('Mapa final'!$AI$18="Alta",'Mapa final'!$AK$18="Leve"),CONCATENATE("R4C",'Mapa final'!$Y$18),"")</f>
        <v/>
      </c>
      <c r="M19" s="65" t="e">
        <f>IF(AND('Mapa final'!#REF!="Alta",'Mapa final'!#REF!="Leve"),CONCATENATE("R4C",'Mapa final'!#REF!),"")</f>
        <v>#REF!</v>
      </c>
      <c r="N19" s="65" t="e">
        <f>IF(AND('Mapa final'!#REF!="Alta",'Mapa final'!#REF!="Leve"),CONCATENATE("R4C",'Mapa final'!#REF!),"")</f>
        <v>#REF!</v>
      </c>
      <c r="O19" s="66" t="e">
        <f>IF(AND('Mapa final'!#REF!="Alta",'Mapa final'!#REF!="Leve"),CONCATENATE("R4C",'Mapa final'!#REF!),"")</f>
        <v>#REF!</v>
      </c>
      <c r="P19" s="64" t="str">
        <f>IF(AND('Mapa final'!$AI$16="Alta",'Mapa final'!$AK$16="Menor"),CONCATENATE("R4C",'Mapa final'!$Y$16),"")</f>
        <v/>
      </c>
      <c r="Q19" s="65" t="str">
        <f>IF(AND('Mapa final'!$AI$17="Alta",'Mapa final'!$AK$17="Menor"),CONCATENATE("R4C",'Mapa final'!$Y$17),"")</f>
        <v/>
      </c>
      <c r="R19" s="65" t="str">
        <f>IF(AND('Mapa final'!$AI$18="Alta",'Mapa final'!$AK$18="Menor"),CONCATENATE("R4C",'Mapa final'!$Y$18),"")</f>
        <v/>
      </c>
      <c r="S19" s="65" t="e">
        <f>IF(AND('Mapa final'!#REF!="Alta",'Mapa final'!#REF!="Menor"),CONCATENATE("R4C",'Mapa final'!#REF!),"")</f>
        <v>#REF!</v>
      </c>
      <c r="T19" s="65" t="e">
        <f>IF(AND('Mapa final'!#REF!="Alta",'Mapa final'!#REF!="Menor"),CONCATENATE("R4C",'Mapa final'!#REF!),"")</f>
        <v>#REF!</v>
      </c>
      <c r="U19" s="66" t="e">
        <f>IF(AND('Mapa final'!#REF!="Alta",'Mapa final'!#REF!="Menor"),CONCATENATE("R4C",'Mapa final'!#REF!),"")</f>
        <v>#REF!</v>
      </c>
      <c r="V19" s="49" t="str">
        <f>IF(AND('Mapa final'!$AI$16="Alta",'Mapa final'!$AK$16="Moderado"),CONCATENATE("R4C",'Mapa final'!$Y$16),"")</f>
        <v/>
      </c>
      <c r="W19" s="50" t="str">
        <f>IF(AND('Mapa final'!$AI$17="Alta",'Mapa final'!$AK$17="Moderado"),CONCATENATE("R4C",'Mapa final'!$Y$17),"")</f>
        <v/>
      </c>
      <c r="X19" s="50" t="str">
        <f>IF(AND('Mapa final'!$AI$18="Alta",'Mapa final'!$AK$18="Moderado"),CONCATENATE("R4C",'Mapa final'!$Y$18),"")</f>
        <v/>
      </c>
      <c r="Y19" s="50" t="e">
        <f>IF(AND('Mapa final'!#REF!="Alta",'Mapa final'!#REF!="Moderado"),CONCATENATE("R4C",'Mapa final'!#REF!),"")</f>
        <v>#REF!</v>
      </c>
      <c r="Z19" s="50" t="e">
        <f>IF(AND('Mapa final'!#REF!="Alta",'Mapa final'!#REF!="Moderado"),CONCATENATE("R4C",'Mapa final'!#REF!),"")</f>
        <v>#REF!</v>
      </c>
      <c r="AA19" s="51" t="e">
        <f>IF(AND('Mapa final'!#REF!="Alta",'Mapa final'!#REF!="Moderado"),CONCATENATE("R4C",'Mapa final'!#REF!),"")</f>
        <v>#REF!</v>
      </c>
      <c r="AB19" s="49" t="str">
        <f>IF(AND('Mapa final'!$AI$16="Alta",'Mapa final'!$AK$16="Mayor"),CONCATENATE("R4C",'Mapa final'!$Y$16),"")</f>
        <v/>
      </c>
      <c r="AC19" s="50" t="str">
        <f>IF(AND('Mapa final'!$AI$17="Alta",'Mapa final'!$AK$17="Mayor"),CONCATENATE("R4C",'Mapa final'!$Y$17),"")</f>
        <v/>
      </c>
      <c r="AD19" s="50" t="str">
        <f>IF(AND('Mapa final'!$AI$18="Alta",'Mapa final'!$AK$18="Mayor"),CONCATENATE("R4C",'Mapa final'!$Y$18),"")</f>
        <v/>
      </c>
      <c r="AE19" s="50" t="e">
        <f>IF(AND('Mapa final'!#REF!="Alta",'Mapa final'!#REF!="Mayor"),CONCATENATE("R4C",'Mapa final'!#REF!),"")</f>
        <v>#REF!</v>
      </c>
      <c r="AF19" s="50" t="e">
        <f>IF(AND('Mapa final'!#REF!="Alta",'Mapa final'!#REF!="Mayor"),CONCATENATE("R4C",'Mapa final'!#REF!),"")</f>
        <v>#REF!</v>
      </c>
      <c r="AG19" s="51" t="e">
        <f>IF(AND('Mapa final'!#REF!="Alta",'Mapa final'!#REF!="Mayor"),CONCATENATE("R4C",'Mapa final'!#REF!),"")</f>
        <v>#REF!</v>
      </c>
      <c r="AH19" s="52" t="str">
        <f>IF(AND('Mapa final'!$AI$16="Alta",'Mapa final'!$AK$16="Catastrófico"),CONCATENATE("R4C",'Mapa final'!$Y$16),"")</f>
        <v/>
      </c>
      <c r="AI19" s="53" t="str">
        <f>IF(AND('Mapa final'!$AI$17="Alta",'Mapa final'!$AK$17="Catastrófico"),CONCATENATE("R4C",'Mapa final'!$Y$17),"")</f>
        <v/>
      </c>
      <c r="AJ19" s="53" t="str">
        <f>IF(AND('Mapa final'!$AI$18="Alta",'Mapa final'!$AK$18="Catastrófico"),CONCATENATE("R4C",'Mapa final'!$Y$18),"")</f>
        <v/>
      </c>
      <c r="AK19" s="53" t="e">
        <f>IF(AND('Mapa final'!#REF!="Alta",'Mapa final'!#REF!="Catastrófico"),CONCATENATE("R4C",'Mapa final'!#REF!),"")</f>
        <v>#REF!</v>
      </c>
      <c r="AL19" s="53" t="e">
        <f>IF(AND('Mapa final'!#REF!="Alta",'Mapa final'!#REF!="Catastrófico"),CONCATENATE("R4C",'Mapa final'!#REF!),"")</f>
        <v>#REF!</v>
      </c>
      <c r="AM19" s="54" t="e">
        <f>IF(AND('Mapa final'!#REF!="Alta",'Mapa final'!#REF!="Catastrófico"),CONCATENATE("R4C",'Mapa final'!#REF!),"")</f>
        <v>#REF!</v>
      </c>
      <c r="AN19" s="80"/>
      <c r="AO19" s="453"/>
      <c r="AP19" s="454"/>
      <c r="AQ19" s="454"/>
      <c r="AR19" s="454"/>
      <c r="AS19" s="454"/>
      <c r="AT19" s="455"/>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c r="BS19" s="80"/>
      <c r="BT19" s="80"/>
      <c r="BU19" s="80"/>
      <c r="BV19" s="80"/>
      <c r="BW19" s="80"/>
      <c r="BX19" s="80"/>
    </row>
    <row r="20" spans="1:76" ht="15" customHeight="1" x14ac:dyDescent="0.25">
      <c r="A20" s="80"/>
      <c r="B20" s="402"/>
      <c r="C20" s="402"/>
      <c r="D20" s="403"/>
      <c r="E20" s="443"/>
      <c r="F20" s="444"/>
      <c r="G20" s="444"/>
      <c r="H20" s="444"/>
      <c r="I20" s="444"/>
      <c r="J20" s="64" t="str">
        <f>IF(AND('Mapa final'!$AI$19="Alta",'Mapa final'!$AK$19="Leve"),CONCATENATE("R5C",'Mapa final'!$Y$19),"")</f>
        <v/>
      </c>
      <c r="K20" s="65" t="str">
        <f>IF(AND('Mapa final'!$AI$20="Alta",'Mapa final'!$AK$20="Leve"),CONCATENATE("R5C",'Mapa final'!$Y$20),"")</f>
        <v/>
      </c>
      <c r="L20" s="65" t="str">
        <f>IF(AND('Mapa final'!$AI$21="Alta",'Mapa final'!$AK$21="Leve"),CONCATENATE("R5C",'Mapa final'!$Y$21),"")</f>
        <v/>
      </c>
      <c r="M20" s="65" t="str">
        <f>IF(AND('Mapa final'!$AI$22="Alta",'Mapa final'!$AK$22="Leve"),CONCATENATE("R5C",'Mapa final'!$Y$22),"")</f>
        <v/>
      </c>
      <c r="N20" s="65" t="str">
        <f>IF(AND('Mapa final'!$AI$23="Alta",'Mapa final'!$AK$23="Leve"),CONCATENATE("R5C",'Mapa final'!$Y$23),"")</f>
        <v/>
      </c>
      <c r="O20" s="66" t="str">
        <f>IF(AND('Mapa final'!$AI$24="Alta",'Mapa final'!$AK$24="Leve"),CONCATENATE("R5C",'Mapa final'!$Y$24),"")</f>
        <v/>
      </c>
      <c r="P20" s="64" t="str">
        <f>IF(AND('Mapa final'!$AI$19="Alta",'Mapa final'!$AK$19="Menor"),CONCATENATE("R5C",'Mapa final'!$Y$19),"")</f>
        <v/>
      </c>
      <c r="Q20" s="65" t="str">
        <f>IF(AND('Mapa final'!$AI$20="Alta",'Mapa final'!$AK$20="Menor"),CONCATENATE("R5C",'Mapa final'!$Y$20),"")</f>
        <v/>
      </c>
      <c r="R20" s="65" t="str">
        <f>IF(AND('Mapa final'!$AI$21="Alta",'Mapa final'!$AK$21="Menor"),CONCATENATE("R5C",'Mapa final'!$Y$21),"")</f>
        <v/>
      </c>
      <c r="S20" s="65" t="str">
        <f>IF(AND('Mapa final'!$AI$22="Alta",'Mapa final'!$AK$22="Menor"),CONCATENATE("R5C",'Mapa final'!$Y$22),"")</f>
        <v/>
      </c>
      <c r="T20" s="65" t="str">
        <f>IF(AND('Mapa final'!$AI$23="Alta",'Mapa final'!$AK$23="Menor"),CONCATENATE("R5C",'Mapa final'!$Y$23),"")</f>
        <v/>
      </c>
      <c r="U20" s="66" t="str">
        <f>IF(AND('Mapa final'!$AI$24="Alta",'Mapa final'!$AK$24="Menor"),CONCATENATE("R5C",'Mapa final'!$Y$24),"")</f>
        <v/>
      </c>
      <c r="V20" s="49" t="str">
        <f>IF(AND('Mapa final'!$AI$19="Alta",'Mapa final'!$AK$19="Moderado"),CONCATENATE("R5C",'Mapa final'!$Y$19),"")</f>
        <v/>
      </c>
      <c r="W20" s="50" t="str">
        <f>IF(AND('Mapa final'!$AI$20="Alta",'Mapa final'!$AK$20="Moderado"),CONCATENATE("R5C",'Mapa final'!$Y$20),"")</f>
        <v/>
      </c>
      <c r="X20" s="50" t="str">
        <f>IF(AND('Mapa final'!$AI$21="Alta",'Mapa final'!$AK$21="Moderado"),CONCATENATE("R5C",'Mapa final'!$Y$21),"")</f>
        <v/>
      </c>
      <c r="Y20" s="50" t="str">
        <f>IF(AND('Mapa final'!$AI$22="Alta",'Mapa final'!$AK$22="Moderado"),CONCATENATE("R5C",'Mapa final'!$Y$22),"")</f>
        <v/>
      </c>
      <c r="Z20" s="50" t="str">
        <f>IF(AND('Mapa final'!$AI$23="Alta",'Mapa final'!$AK$23="Moderado"),CONCATENATE("R5C",'Mapa final'!$Y$23),"")</f>
        <v/>
      </c>
      <c r="AA20" s="51" t="str">
        <f>IF(AND('Mapa final'!$AI$24="Alta",'Mapa final'!$AK$24="Moderado"),CONCATENATE("R5C",'Mapa final'!$Y$24),"")</f>
        <v/>
      </c>
      <c r="AB20" s="49" t="str">
        <f>IF(AND('Mapa final'!$AI$19="Alta",'Mapa final'!$AK$19="Mayor"),CONCATENATE("R5C",'Mapa final'!$Y$19),"")</f>
        <v/>
      </c>
      <c r="AC20" s="50" t="str">
        <f>IF(AND('Mapa final'!$AI$20="Alta",'Mapa final'!$AK$20="Mayor"),CONCATENATE("R5C",'Mapa final'!$Y$20),"")</f>
        <v/>
      </c>
      <c r="AD20" s="50" t="str">
        <f>IF(AND('Mapa final'!$AI$21="Alta",'Mapa final'!$AK$21="Mayor"),CONCATENATE("R5C",'Mapa final'!$Y$21),"")</f>
        <v/>
      </c>
      <c r="AE20" s="50" t="str">
        <f>IF(AND('Mapa final'!$AI$22="Alta",'Mapa final'!$AK$22="Mayor"),CONCATENATE("R5C",'Mapa final'!$Y$22),"")</f>
        <v/>
      </c>
      <c r="AF20" s="50" t="str">
        <f>IF(AND('Mapa final'!$AI$23="Alta",'Mapa final'!$AK$23="Mayor"),CONCATENATE("R5C",'Mapa final'!$Y$23),"")</f>
        <v/>
      </c>
      <c r="AG20" s="51" t="str">
        <f>IF(AND('Mapa final'!$AI$24="Alta",'Mapa final'!$AK$24="Mayor"),CONCATENATE("R5C",'Mapa final'!$Y$24),"")</f>
        <v/>
      </c>
      <c r="AH20" s="52" t="str">
        <f>IF(AND('Mapa final'!$AI$19="Alta",'Mapa final'!$AK$19="Catastrófico"),CONCATENATE("R5C",'Mapa final'!$Y$19),"")</f>
        <v/>
      </c>
      <c r="AI20" s="53" t="str">
        <f>IF(AND('Mapa final'!$AI$20="Alta",'Mapa final'!$AK$20="Catastrófico"),CONCATENATE("R5C",'Mapa final'!$Y$20),"")</f>
        <v/>
      </c>
      <c r="AJ20" s="53" t="str">
        <f>IF(AND('Mapa final'!$AI$21="Alta",'Mapa final'!$AK$21="Catastrófico"),CONCATENATE("R5C",'Mapa final'!$Y$21),"")</f>
        <v/>
      </c>
      <c r="AK20" s="53" t="str">
        <f>IF(AND('Mapa final'!$AI$22="Alta",'Mapa final'!$AK$22="Catastrófico"),CONCATENATE("R5C",'Mapa final'!$Y$22),"")</f>
        <v/>
      </c>
      <c r="AL20" s="53" t="str">
        <f>IF(AND('Mapa final'!$AI$23="Alta",'Mapa final'!$AK$23="Catastrófico"),CONCATENATE("R5C",'Mapa final'!$Y$23),"")</f>
        <v/>
      </c>
      <c r="AM20" s="54" t="str">
        <f>IF(AND('Mapa final'!$AI$24="Alta",'Mapa final'!$AK$24="Catastrófico"),CONCATENATE("R5C",'Mapa final'!$Y$24),"")</f>
        <v/>
      </c>
      <c r="AN20" s="80"/>
      <c r="AO20" s="453"/>
      <c r="AP20" s="454"/>
      <c r="AQ20" s="454"/>
      <c r="AR20" s="454"/>
      <c r="AS20" s="454"/>
      <c r="AT20" s="455"/>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c r="BS20" s="80"/>
      <c r="BT20" s="80"/>
      <c r="BU20" s="80"/>
      <c r="BV20" s="80"/>
      <c r="BW20" s="80"/>
      <c r="BX20" s="80"/>
    </row>
    <row r="21" spans="1:76" ht="15" customHeight="1" x14ac:dyDescent="0.25">
      <c r="A21" s="80"/>
      <c r="B21" s="402"/>
      <c r="C21" s="402"/>
      <c r="D21" s="403"/>
      <c r="E21" s="443"/>
      <c r="F21" s="444"/>
      <c r="G21" s="444"/>
      <c r="H21" s="444"/>
      <c r="I21" s="444"/>
      <c r="J21" s="64" t="str">
        <f>IF(AND('Mapa final'!$AI$25="Alta",'Mapa final'!$AK$25="Leve"),CONCATENATE("R6C",'Mapa final'!$Y$25),"")</f>
        <v/>
      </c>
      <c r="K21" s="65" t="str">
        <f>IF(AND('Mapa final'!$AI$26="Alta",'Mapa final'!$AK$26="Leve"),CONCATENATE("R6C",'Mapa final'!$Y$26),"")</f>
        <v/>
      </c>
      <c r="L21" s="65" t="str">
        <f>IF(AND('Mapa final'!$AI$27="Alta",'Mapa final'!$AK$27="Leve"),CONCATENATE("R6C",'Mapa final'!$Y$27),"")</f>
        <v/>
      </c>
      <c r="M21" s="65" t="str">
        <f>IF(AND('Mapa final'!$AI$28="Alta",'Mapa final'!$AK$28="Leve"),CONCATENATE("R6C",'Mapa final'!$Y$28),"")</f>
        <v/>
      </c>
      <c r="N21" s="65" t="str">
        <f>IF(AND('Mapa final'!$AI$29="Alta",'Mapa final'!$AK$29="Leve"),CONCATENATE("R6C",'Mapa final'!$Y$29),"")</f>
        <v/>
      </c>
      <c r="O21" s="66" t="str">
        <f>IF(AND('Mapa final'!$AI$30="Alta",'Mapa final'!$AK$30="Leve"),CONCATENATE("R6C",'Mapa final'!$Y$30),"")</f>
        <v/>
      </c>
      <c r="P21" s="64" t="str">
        <f>IF(AND('Mapa final'!$AI$25="Alta",'Mapa final'!$AK$25="Menor"),CONCATENATE("R6C",'Mapa final'!$Y$25),"")</f>
        <v/>
      </c>
      <c r="Q21" s="65" t="str">
        <f>IF(AND('Mapa final'!$AI$26="Alta",'Mapa final'!$AK$26="Menor"),CONCATENATE("R6C",'Mapa final'!$Y$26),"")</f>
        <v/>
      </c>
      <c r="R21" s="65" t="str">
        <f>IF(AND('Mapa final'!$AI$27="Alta",'Mapa final'!$AK$27="Menor"),CONCATENATE("R6C",'Mapa final'!$Y$27),"")</f>
        <v/>
      </c>
      <c r="S21" s="65" t="str">
        <f>IF(AND('Mapa final'!$AI$28="Alta",'Mapa final'!$AK$28="Menor"),CONCATENATE("R6C",'Mapa final'!$Y$28),"")</f>
        <v/>
      </c>
      <c r="T21" s="65" t="str">
        <f>IF(AND('Mapa final'!$AI$29="Alta",'Mapa final'!$AK$29="Menor"),CONCATENATE("R6C",'Mapa final'!$Y$29),"")</f>
        <v/>
      </c>
      <c r="U21" s="66" t="str">
        <f>IF(AND('Mapa final'!$AI$30="Alta",'Mapa final'!$AK$30="Menor"),CONCATENATE("R6C",'Mapa final'!$Y$30),"")</f>
        <v/>
      </c>
      <c r="V21" s="49" t="str">
        <f>IF(AND('Mapa final'!$AI$25="Alta",'Mapa final'!$AK$25="Moderado"),CONCATENATE("R6C",'Mapa final'!$Y$25),"")</f>
        <v/>
      </c>
      <c r="W21" s="50" t="str">
        <f>IF(AND('Mapa final'!$AI$26="Alta",'Mapa final'!$AK$26="Moderado"),CONCATENATE("R6C",'Mapa final'!$Y$26),"")</f>
        <v/>
      </c>
      <c r="X21" s="50" t="str">
        <f>IF(AND('Mapa final'!$AI$27="Alta",'Mapa final'!$AK$27="Moderado"),CONCATENATE("R6C",'Mapa final'!$Y$27),"")</f>
        <v/>
      </c>
      <c r="Y21" s="50" t="str">
        <f>IF(AND('Mapa final'!$AI$28="Alta",'Mapa final'!$AK$28="Moderado"),CONCATENATE("R6C",'Mapa final'!$Y$28),"")</f>
        <v/>
      </c>
      <c r="Z21" s="50" t="str">
        <f>IF(AND('Mapa final'!$AI$29="Alta",'Mapa final'!$AK$29="Moderado"),CONCATENATE("R6C",'Mapa final'!$Y$29),"")</f>
        <v/>
      </c>
      <c r="AA21" s="51" t="str">
        <f>IF(AND('Mapa final'!$AI$30="Alta",'Mapa final'!$AK$30="Moderado"),CONCATENATE("R6C",'Mapa final'!$Y$30),"")</f>
        <v/>
      </c>
      <c r="AB21" s="49" t="str">
        <f>IF(AND('Mapa final'!$AI$25="Alta",'Mapa final'!$AK$25="Mayor"),CONCATENATE("R6C",'Mapa final'!$Y$25),"")</f>
        <v/>
      </c>
      <c r="AC21" s="50" t="str">
        <f>IF(AND('Mapa final'!$AI$26="Alta",'Mapa final'!$AK$26="Mayor"),CONCATENATE("R6C",'Mapa final'!$Y$26),"")</f>
        <v/>
      </c>
      <c r="AD21" s="50" t="str">
        <f>IF(AND('Mapa final'!$AI$27="Alta",'Mapa final'!$AK$27="Mayor"),CONCATENATE("R6C",'Mapa final'!$Y$27),"")</f>
        <v/>
      </c>
      <c r="AE21" s="50" t="str">
        <f>IF(AND('Mapa final'!$AI$28="Alta",'Mapa final'!$AK$28="Mayor"),CONCATENATE("R6C",'Mapa final'!$Y$28),"")</f>
        <v/>
      </c>
      <c r="AF21" s="50" t="str">
        <f>IF(AND('Mapa final'!$AI$29="Alta",'Mapa final'!$AK$29="Mayor"),CONCATENATE("R6C",'Mapa final'!$Y$29),"")</f>
        <v/>
      </c>
      <c r="AG21" s="51" t="str">
        <f>IF(AND('Mapa final'!$AI$30="Alta",'Mapa final'!$AK$30="Mayor"),CONCATENATE("R6C",'Mapa final'!$Y$30),"")</f>
        <v/>
      </c>
      <c r="AH21" s="52" t="str">
        <f>IF(AND('Mapa final'!$AI$25="Alta",'Mapa final'!$AK$25="Catastrófico"),CONCATENATE("R6C",'Mapa final'!$Y$25),"")</f>
        <v/>
      </c>
      <c r="AI21" s="53" t="str">
        <f>IF(AND('Mapa final'!$AI$26="Alta",'Mapa final'!$AK$26="Catastrófico"),CONCATENATE("R6C",'Mapa final'!$Y$26),"")</f>
        <v/>
      </c>
      <c r="AJ21" s="53" t="str">
        <f>IF(AND('Mapa final'!$AI$27="Alta",'Mapa final'!$AK$27="Catastrófico"),CONCATENATE("R6C",'Mapa final'!$Y$27),"")</f>
        <v/>
      </c>
      <c r="AK21" s="53" t="str">
        <f>IF(AND('Mapa final'!$AI$28="Alta",'Mapa final'!$AK$28="Catastrófico"),CONCATENATE("R6C",'Mapa final'!$Y$28),"")</f>
        <v/>
      </c>
      <c r="AL21" s="53" t="str">
        <f>IF(AND('Mapa final'!$AI$29="Alta",'Mapa final'!$AK$29="Catastrófico"),CONCATENATE("R6C",'Mapa final'!$Y$29),"")</f>
        <v/>
      </c>
      <c r="AM21" s="54" t="str">
        <f>IF(AND('Mapa final'!$AI$30="Alta",'Mapa final'!$AK$30="Catastrófico"),CONCATENATE("R6C",'Mapa final'!$Y$30),"")</f>
        <v/>
      </c>
      <c r="AN21" s="80"/>
      <c r="AO21" s="453"/>
      <c r="AP21" s="454"/>
      <c r="AQ21" s="454"/>
      <c r="AR21" s="454"/>
      <c r="AS21" s="454"/>
      <c r="AT21" s="455"/>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c r="BS21" s="80"/>
      <c r="BT21" s="80"/>
      <c r="BU21" s="80"/>
      <c r="BV21" s="80"/>
      <c r="BW21" s="80"/>
      <c r="BX21" s="80"/>
    </row>
    <row r="22" spans="1:76" ht="15" customHeight="1" x14ac:dyDescent="0.25">
      <c r="A22" s="80"/>
      <c r="B22" s="402"/>
      <c r="C22" s="402"/>
      <c r="D22" s="403"/>
      <c r="E22" s="443"/>
      <c r="F22" s="444"/>
      <c r="G22" s="444"/>
      <c r="H22" s="444"/>
      <c r="I22" s="444"/>
      <c r="J22" s="64" t="str">
        <f>IF(AND('Mapa final'!$AI$31="Alta",'Mapa final'!$AK$31="Leve"),CONCATENATE("R7C",'Mapa final'!$Y$31),"")</f>
        <v/>
      </c>
      <c r="K22" s="65" t="str">
        <f>IF(AND('Mapa final'!$AI$32="Alta",'Mapa final'!$AK$32="Leve"),CONCATENATE("R7C",'Mapa final'!$Y$32),"")</f>
        <v/>
      </c>
      <c r="L22" s="65" t="str">
        <f>IF(AND('Mapa final'!$AI$33="Alta",'Mapa final'!$AK$33="Leve"),CONCATENATE("R7C",'Mapa final'!$Y$33),"")</f>
        <v/>
      </c>
      <c r="M22" s="65" t="str">
        <f>IF(AND('Mapa final'!$AI$34="Alta",'Mapa final'!$AK$34="Leve"),CONCATENATE("R7C",'Mapa final'!$Y$34),"")</f>
        <v/>
      </c>
      <c r="N22" s="65" t="str">
        <f>IF(AND('Mapa final'!$AI$35="Alta",'Mapa final'!$AK$35="Leve"),CONCATENATE("R7C",'Mapa final'!$Y$35),"")</f>
        <v/>
      </c>
      <c r="O22" s="66" t="str">
        <f>IF(AND('Mapa final'!$AI$36="Alta",'Mapa final'!$AK$36="Leve"),CONCATENATE("R7C",'Mapa final'!$Y$36),"")</f>
        <v/>
      </c>
      <c r="P22" s="64" t="str">
        <f>IF(AND('Mapa final'!$AI$31="Alta",'Mapa final'!$AK$31="Menor"),CONCATENATE("R7C",'Mapa final'!$Y$31),"")</f>
        <v/>
      </c>
      <c r="Q22" s="65" t="str">
        <f>IF(AND('Mapa final'!$AI$32="Alta",'Mapa final'!$AK$32="Menor"),CONCATENATE("R7C",'Mapa final'!$Y$32),"")</f>
        <v/>
      </c>
      <c r="R22" s="65" t="str">
        <f>IF(AND('Mapa final'!$AI$33="Alta",'Mapa final'!$AK$33="Menor"),CONCATENATE("R7C",'Mapa final'!$Y$33),"")</f>
        <v/>
      </c>
      <c r="S22" s="65" t="str">
        <f>IF(AND('Mapa final'!$AI$34="Alta",'Mapa final'!$AK$34="Menor"),CONCATENATE("R7C",'Mapa final'!$Y$34),"")</f>
        <v/>
      </c>
      <c r="T22" s="65" t="str">
        <f>IF(AND('Mapa final'!$AI$35="Alta",'Mapa final'!$AK$35="Menor"),CONCATENATE("R7C",'Mapa final'!$Y$35),"")</f>
        <v/>
      </c>
      <c r="U22" s="66" t="str">
        <f>IF(AND('Mapa final'!$AI$36="Alta",'Mapa final'!$AK$36="Menor"),CONCATENATE("R7C",'Mapa final'!$Y$36),"")</f>
        <v/>
      </c>
      <c r="V22" s="49" t="str">
        <f>IF(AND('Mapa final'!$AI$31="Alta",'Mapa final'!$AK$31="Moderado"),CONCATENATE("R7C",'Mapa final'!$Y$31),"")</f>
        <v/>
      </c>
      <c r="W22" s="50" t="str">
        <f>IF(AND('Mapa final'!$AI$32="Alta",'Mapa final'!$AK$32="Moderado"),CONCATENATE("R7C",'Mapa final'!$Y$32),"")</f>
        <v/>
      </c>
      <c r="X22" s="50" t="str">
        <f>IF(AND('Mapa final'!$AI$33="Alta",'Mapa final'!$AK$33="Moderado"),CONCATENATE("R7C",'Mapa final'!$Y$33),"")</f>
        <v/>
      </c>
      <c r="Y22" s="50" t="str">
        <f>IF(AND('Mapa final'!$AI$34="Alta",'Mapa final'!$AK$34="Moderado"),CONCATENATE("R7C",'Mapa final'!$Y$34),"")</f>
        <v/>
      </c>
      <c r="Z22" s="50" t="str">
        <f>IF(AND('Mapa final'!$AI$35="Alta",'Mapa final'!$AK$35="Moderado"),CONCATENATE("R7C",'Mapa final'!$Y$35),"")</f>
        <v/>
      </c>
      <c r="AA22" s="51" t="str">
        <f>IF(AND('Mapa final'!$AI$36="Alta",'Mapa final'!$AK$36="Moderado"),CONCATENATE("R7C",'Mapa final'!$Y$36),"")</f>
        <v/>
      </c>
      <c r="AB22" s="49" t="str">
        <f>IF(AND('Mapa final'!$AI$31="Alta",'Mapa final'!$AK$31="Mayor"),CONCATENATE("R7C",'Mapa final'!$Y$31),"")</f>
        <v/>
      </c>
      <c r="AC22" s="50" t="str">
        <f>IF(AND('Mapa final'!$AI$32="Alta",'Mapa final'!$AK$32="Mayor"),CONCATENATE("R7C",'Mapa final'!$Y$32),"")</f>
        <v/>
      </c>
      <c r="AD22" s="50" t="str">
        <f>IF(AND('Mapa final'!$AI$33="Alta",'Mapa final'!$AK$33="Mayor"),CONCATENATE("R7C",'Mapa final'!$Y$33),"")</f>
        <v/>
      </c>
      <c r="AE22" s="50" t="str">
        <f>IF(AND('Mapa final'!$AI$34="Alta",'Mapa final'!$AK$34="Mayor"),CONCATENATE("R7C",'Mapa final'!$Y$34),"")</f>
        <v/>
      </c>
      <c r="AF22" s="50" t="str">
        <f>IF(AND('Mapa final'!$AI$35="Alta",'Mapa final'!$AK$35="Mayor"),CONCATENATE("R7C",'Mapa final'!$Y$35),"")</f>
        <v/>
      </c>
      <c r="AG22" s="51" t="str">
        <f>IF(AND('Mapa final'!$AI$36="Alta",'Mapa final'!$AK$36="Mayor"),CONCATENATE("R7C",'Mapa final'!$Y$36),"")</f>
        <v/>
      </c>
      <c r="AH22" s="52" t="str">
        <f>IF(AND('Mapa final'!$AI$31="Alta",'Mapa final'!$AK$31="Catastrófico"),CONCATENATE("R7C",'Mapa final'!$Y$31),"")</f>
        <v/>
      </c>
      <c r="AI22" s="53" t="str">
        <f>IF(AND('Mapa final'!$AI$32="Alta",'Mapa final'!$AK$32="Catastrófico"),CONCATENATE("R7C",'Mapa final'!$Y$32),"")</f>
        <v/>
      </c>
      <c r="AJ22" s="53" t="str">
        <f>IF(AND('Mapa final'!$AI$33="Alta",'Mapa final'!$AK$33="Catastrófico"),CONCATENATE("R7C",'Mapa final'!$Y$33),"")</f>
        <v/>
      </c>
      <c r="AK22" s="53" t="str">
        <f>IF(AND('Mapa final'!$AI$34="Alta",'Mapa final'!$AK$34="Catastrófico"),CONCATENATE("R7C",'Mapa final'!$Y$34),"")</f>
        <v/>
      </c>
      <c r="AL22" s="53" t="str">
        <f>IF(AND('Mapa final'!$AI$35="Alta",'Mapa final'!$AK$35="Catastrófico"),CONCATENATE("R7C",'Mapa final'!$Y$35),"")</f>
        <v/>
      </c>
      <c r="AM22" s="54" t="str">
        <f>IF(AND('Mapa final'!$AI$36="Alta",'Mapa final'!$AK$36="Catastrófico"),CONCATENATE("R7C",'Mapa final'!$Y$36),"")</f>
        <v/>
      </c>
      <c r="AN22" s="80"/>
      <c r="AO22" s="453"/>
      <c r="AP22" s="454"/>
      <c r="AQ22" s="454"/>
      <c r="AR22" s="454"/>
      <c r="AS22" s="454"/>
      <c r="AT22" s="455"/>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row>
    <row r="23" spans="1:76" ht="15" customHeight="1" x14ac:dyDescent="0.25">
      <c r="A23" s="80"/>
      <c r="B23" s="402"/>
      <c r="C23" s="402"/>
      <c r="D23" s="403"/>
      <c r="E23" s="443"/>
      <c r="F23" s="444"/>
      <c r="G23" s="444"/>
      <c r="H23" s="444"/>
      <c r="I23" s="444"/>
      <c r="J23" s="64" t="str">
        <f>IF(AND('Mapa final'!$AI$37="Alta",'Mapa final'!$AK$37="Leve"),CONCATENATE("R8C",'Mapa final'!$Y$37),"")</f>
        <v/>
      </c>
      <c r="K23" s="65" t="str">
        <f>IF(AND('Mapa final'!$AI$38="Alta",'Mapa final'!$AK$38="Leve"),CONCATENATE("R8C",'Mapa final'!$Y$38),"")</f>
        <v/>
      </c>
      <c r="L23" s="65" t="str">
        <f>IF(AND('Mapa final'!$AI$39="Alta",'Mapa final'!$AK$39="Leve"),CONCATENATE("R8C",'Mapa final'!$Y$39),"")</f>
        <v/>
      </c>
      <c r="M23" s="65" t="str">
        <f>IF(AND('Mapa final'!$AI$40="Alta",'Mapa final'!$AK$40="Leve"),CONCATENATE("R8C",'Mapa final'!$Y$40),"")</f>
        <v/>
      </c>
      <c r="N23" s="65" t="str">
        <f>IF(AND('Mapa final'!$AI$41="Alta",'Mapa final'!$AK$41="Leve"),CONCATENATE("R8C",'Mapa final'!$Y$41),"")</f>
        <v/>
      </c>
      <c r="O23" s="66" t="str">
        <f>IF(AND('Mapa final'!$AI$42="Alta",'Mapa final'!$AK$42="Leve"),CONCATENATE("R8C",'Mapa final'!$Y$42),"")</f>
        <v/>
      </c>
      <c r="P23" s="64" t="str">
        <f>IF(AND('Mapa final'!$AI$37="Alta",'Mapa final'!$AK$37="Menor"),CONCATENATE("R8C",'Mapa final'!$Y$37),"")</f>
        <v/>
      </c>
      <c r="Q23" s="65" t="str">
        <f>IF(AND('Mapa final'!$AI$38="Alta",'Mapa final'!$AK$38="Menor"),CONCATENATE("R8C",'Mapa final'!$Y$38),"")</f>
        <v/>
      </c>
      <c r="R23" s="65" t="str">
        <f>IF(AND('Mapa final'!$AI$39="Alta",'Mapa final'!$AK$39="Menor"),CONCATENATE("R8C",'Mapa final'!$Y$39),"")</f>
        <v/>
      </c>
      <c r="S23" s="65" t="str">
        <f>IF(AND('Mapa final'!$AI$40="Alta",'Mapa final'!$AK$40="Menor"),CONCATENATE("R8C",'Mapa final'!$Y$40),"")</f>
        <v/>
      </c>
      <c r="T23" s="65" t="str">
        <f>IF(AND('Mapa final'!$AI$41="Alta",'Mapa final'!$AK$41="Menor"),CONCATENATE("R8C",'Mapa final'!$Y$41),"")</f>
        <v/>
      </c>
      <c r="U23" s="66" t="str">
        <f>IF(AND('Mapa final'!$AI$42="Alta",'Mapa final'!$AK$42="Menor"),CONCATENATE("R8C",'Mapa final'!$Y$42),"")</f>
        <v/>
      </c>
      <c r="V23" s="49" t="str">
        <f>IF(AND('Mapa final'!$AI$37="Alta",'Mapa final'!$AK$37="Moderado"),CONCATENATE("R8C",'Mapa final'!$Y$37),"")</f>
        <v/>
      </c>
      <c r="W23" s="50" t="str">
        <f>IF(AND('Mapa final'!$AI$38="Alta",'Mapa final'!$AK$38="Moderado"),CONCATENATE("R8C",'Mapa final'!$Y$38),"")</f>
        <v/>
      </c>
      <c r="X23" s="50" t="str">
        <f>IF(AND('Mapa final'!$AI$39="Alta",'Mapa final'!$AK$39="Moderado"),CONCATENATE("R8C",'Mapa final'!$Y$39),"")</f>
        <v/>
      </c>
      <c r="Y23" s="50" t="str">
        <f>IF(AND('Mapa final'!$AI$40="Alta",'Mapa final'!$AK$40="Moderado"),CONCATENATE("R8C",'Mapa final'!$Y$40),"")</f>
        <v/>
      </c>
      <c r="Z23" s="50" t="str">
        <f>IF(AND('Mapa final'!$AI$41="Alta",'Mapa final'!$AK$41="Moderado"),CONCATENATE("R8C",'Mapa final'!$Y$41),"")</f>
        <v/>
      </c>
      <c r="AA23" s="51" t="str">
        <f>IF(AND('Mapa final'!$AI$42="Alta",'Mapa final'!$AK$42="Moderado"),CONCATENATE("R8C",'Mapa final'!$Y$42),"")</f>
        <v/>
      </c>
      <c r="AB23" s="49" t="str">
        <f>IF(AND('Mapa final'!$AI$37="Alta",'Mapa final'!$AK$37="Mayor"),CONCATENATE("R8C",'Mapa final'!$Y$37),"")</f>
        <v/>
      </c>
      <c r="AC23" s="50" t="str">
        <f>IF(AND('Mapa final'!$AI$38="Alta",'Mapa final'!$AK$38="Mayor"),CONCATENATE("R8C",'Mapa final'!$Y$38),"")</f>
        <v/>
      </c>
      <c r="AD23" s="50" t="str">
        <f>IF(AND('Mapa final'!$AI$39="Alta",'Mapa final'!$AK$39="Mayor"),CONCATENATE("R8C",'Mapa final'!$Y$39),"")</f>
        <v/>
      </c>
      <c r="AE23" s="50" t="str">
        <f>IF(AND('Mapa final'!$AI$40="Alta",'Mapa final'!$AK$40="Mayor"),CONCATENATE("R8C",'Mapa final'!$Y$40),"")</f>
        <v/>
      </c>
      <c r="AF23" s="50" t="str">
        <f>IF(AND('Mapa final'!$AI$41="Alta",'Mapa final'!$AK$41="Mayor"),CONCATENATE("R8C",'Mapa final'!$Y$41),"")</f>
        <v/>
      </c>
      <c r="AG23" s="51" t="str">
        <f>IF(AND('Mapa final'!$AI$42="Alta",'Mapa final'!$AK$42="Mayor"),CONCATENATE("R8C",'Mapa final'!$Y$42),"")</f>
        <v/>
      </c>
      <c r="AH23" s="52" t="str">
        <f>IF(AND('Mapa final'!$AI$37="Alta",'Mapa final'!$AK$37="Catastrófico"),CONCATENATE("R8C",'Mapa final'!$Y$37),"")</f>
        <v/>
      </c>
      <c r="AI23" s="53" t="str">
        <f>IF(AND('Mapa final'!$AI$38="Alta",'Mapa final'!$AK$38="Catastrófico"),CONCATENATE("R8C",'Mapa final'!$Y$38),"")</f>
        <v/>
      </c>
      <c r="AJ23" s="53" t="str">
        <f>IF(AND('Mapa final'!$AI$39="Alta",'Mapa final'!$AK$39="Catastrófico"),CONCATENATE("R8C",'Mapa final'!$Y$39),"")</f>
        <v/>
      </c>
      <c r="AK23" s="53" t="str">
        <f>IF(AND('Mapa final'!$AI$40="Alta",'Mapa final'!$AK$40="Catastrófico"),CONCATENATE("R8C",'Mapa final'!$Y$40),"")</f>
        <v/>
      </c>
      <c r="AL23" s="53" t="str">
        <f>IF(AND('Mapa final'!$AI$41="Alta",'Mapa final'!$AK$41="Catastrófico"),CONCATENATE("R8C",'Mapa final'!$Y$41),"")</f>
        <v/>
      </c>
      <c r="AM23" s="54" t="str">
        <f>IF(AND('Mapa final'!$AI$42="Alta",'Mapa final'!$AK$42="Catastrófico"),CONCATENATE("R8C",'Mapa final'!$Y$42),"")</f>
        <v/>
      </c>
      <c r="AN23" s="80"/>
      <c r="AO23" s="453"/>
      <c r="AP23" s="454"/>
      <c r="AQ23" s="454"/>
      <c r="AR23" s="454"/>
      <c r="AS23" s="454"/>
      <c r="AT23" s="455"/>
      <c r="AU23" s="80"/>
      <c r="AV23" s="80"/>
      <c r="AW23" s="80"/>
      <c r="AX23" s="80"/>
      <c r="AY23" s="80"/>
      <c r="AZ23" s="80"/>
      <c r="BA23" s="80"/>
      <c r="BB23" s="80"/>
      <c r="BC23" s="80"/>
      <c r="BD23" s="80"/>
      <c r="BE23" s="80"/>
      <c r="BF23" s="80"/>
      <c r="BG23" s="80"/>
      <c r="BH23" s="80"/>
      <c r="BI23" s="80"/>
      <c r="BJ23" s="80"/>
      <c r="BK23" s="80"/>
      <c r="BL23" s="80"/>
      <c r="BM23" s="80"/>
      <c r="BN23" s="80"/>
      <c r="BO23" s="80"/>
      <c r="BP23" s="80"/>
      <c r="BQ23" s="80"/>
      <c r="BR23" s="80"/>
      <c r="BS23" s="80"/>
      <c r="BT23" s="80"/>
      <c r="BU23" s="80"/>
      <c r="BV23" s="80"/>
      <c r="BW23" s="80"/>
      <c r="BX23" s="80"/>
    </row>
    <row r="24" spans="1:76" ht="15" customHeight="1" x14ac:dyDescent="0.25">
      <c r="A24" s="80"/>
      <c r="B24" s="402"/>
      <c r="C24" s="402"/>
      <c r="D24" s="403"/>
      <c r="E24" s="443"/>
      <c r="F24" s="444"/>
      <c r="G24" s="444"/>
      <c r="H24" s="444"/>
      <c r="I24" s="444"/>
      <c r="J24" s="64" t="str">
        <f>IF(AND('Mapa final'!$AI$43="Alta",'Mapa final'!$AK$43="Leve"),CONCATENATE("R9C",'Mapa final'!$Y$43),"")</f>
        <v/>
      </c>
      <c r="K24" s="65" t="str">
        <f>IF(AND('Mapa final'!$AI$44="Alta",'Mapa final'!$AK$44="Leve"),CONCATENATE("R9C",'Mapa final'!$Y$44),"")</f>
        <v/>
      </c>
      <c r="L24" s="65" t="str">
        <f>IF(AND('Mapa final'!$AI$45="Alta",'Mapa final'!$AK$45="Leve"),CONCATENATE("R9C",'Mapa final'!$Y$45),"")</f>
        <v/>
      </c>
      <c r="M24" s="65" t="str">
        <f>IF(AND('Mapa final'!$AI$46="Alta",'Mapa final'!$AK$46="Leve"),CONCATENATE("R9C",'Mapa final'!$Y$46),"")</f>
        <v/>
      </c>
      <c r="N24" s="65" t="str">
        <f>IF(AND('Mapa final'!$AI$47="Alta",'Mapa final'!$AK$47="Leve"),CONCATENATE("R9C",'Mapa final'!$Y$47),"")</f>
        <v/>
      </c>
      <c r="O24" s="66" t="str">
        <f>IF(AND('Mapa final'!$AI$48="Alta",'Mapa final'!$AK$48="Leve"),CONCATENATE("R9C",'Mapa final'!$Y$48),"")</f>
        <v/>
      </c>
      <c r="P24" s="64" t="str">
        <f>IF(AND('Mapa final'!$AI$43="Alta",'Mapa final'!$AK$43="Menor"),CONCATENATE("R9C",'Mapa final'!$Y$43),"")</f>
        <v/>
      </c>
      <c r="Q24" s="65" t="str">
        <f>IF(AND('Mapa final'!$AI$44="Alta",'Mapa final'!$AK$44="Menor"),CONCATENATE("R9C",'Mapa final'!$Y$44),"")</f>
        <v/>
      </c>
      <c r="R24" s="65" t="str">
        <f>IF(AND('Mapa final'!$AI$45="Alta",'Mapa final'!$AK$45="Menor"),CONCATENATE("R9C",'Mapa final'!$Y$45),"")</f>
        <v/>
      </c>
      <c r="S24" s="65" t="str">
        <f>IF(AND('Mapa final'!$AI$46="Alta",'Mapa final'!$AK$46="Menor"),CONCATENATE("R9C",'Mapa final'!$Y$46),"")</f>
        <v/>
      </c>
      <c r="T24" s="65" t="str">
        <f>IF(AND('Mapa final'!$AI$47="Alta",'Mapa final'!$AK$47="Menor"),CONCATENATE("R9C",'Mapa final'!$Y$47),"")</f>
        <v/>
      </c>
      <c r="U24" s="66" t="str">
        <f>IF(AND('Mapa final'!$AI$48="Alta",'Mapa final'!$AK$48="Menor"),CONCATENATE("R9C",'Mapa final'!$Y$48),"")</f>
        <v/>
      </c>
      <c r="V24" s="49" t="str">
        <f>IF(AND('Mapa final'!$AI$43="Alta",'Mapa final'!$AK$43="Moderado"),CONCATENATE("R9C",'Mapa final'!$Y$43),"")</f>
        <v/>
      </c>
      <c r="W24" s="50" t="str">
        <f>IF(AND('Mapa final'!$AI$44="Alta",'Mapa final'!$AK$44="Moderado"),CONCATENATE("R9C",'Mapa final'!$Y$44),"")</f>
        <v/>
      </c>
      <c r="X24" s="50" t="str">
        <f>IF(AND('Mapa final'!$AI$45="Alta",'Mapa final'!$AK$45="Moderado"),CONCATENATE("R9C",'Mapa final'!$Y$45),"")</f>
        <v/>
      </c>
      <c r="Y24" s="50" t="str">
        <f>IF(AND('Mapa final'!$AI$46="Alta",'Mapa final'!$AK$46="Moderado"),CONCATENATE("R9C",'Mapa final'!$Y$46),"")</f>
        <v/>
      </c>
      <c r="Z24" s="50" t="str">
        <f>IF(AND('Mapa final'!$AI$47="Alta",'Mapa final'!$AK$47="Moderado"),CONCATENATE("R9C",'Mapa final'!$Y$47),"")</f>
        <v/>
      </c>
      <c r="AA24" s="51" t="str">
        <f>IF(AND('Mapa final'!$AI$48="Alta",'Mapa final'!$AK$48="Moderado"),CONCATENATE("R9C",'Mapa final'!$Y$48),"")</f>
        <v/>
      </c>
      <c r="AB24" s="49" t="str">
        <f>IF(AND('Mapa final'!$AI$43="Alta",'Mapa final'!$AK$43="Mayor"),CONCATENATE("R9C",'Mapa final'!$Y$43),"")</f>
        <v/>
      </c>
      <c r="AC24" s="50" t="str">
        <f>IF(AND('Mapa final'!$AI$44="Alta",'Mapa final'!$AK$44="Mayor"),CONCATENATE("R9C",'Mapa final'!$Y$44),"")</f>
        <v/>
      </c>
      <c r="AD24" s="50" t="str">
        <f>IF(AND('Mapa final'!$AI$45="Alta",'Mapa final'!$AK$45="Mayor"),CONCATENATE("R9C",'Mapa final'!$Y$45),"")</f>
        <v/>
      </c>
      <c r="AE24" s="50" t="str">
        <f>IF(AND('Mapa final'!$AI$46="Alta",'Mapa final'!$AK$46="Mayor"),CONCATENATE("R9C",'Mapa final'!$Y$46),"")</f>
        <v/>
      </c>
      <c r="AF24" s="50" t="str">
        <f>IF(AND('Mapa final'!$AI$47="Alta",'Mapa final'!$AK$47="Mayor"),CONCATENATE("R9C",'Mapa final'!$Y$47),"")</f>
        <v/>
      </c>
      <c r="AG24" s="51" t="str">
        <f>IF(AND('Mapa final'!$AI$48="Alta",'Mapa final'!$AK$48="Mayor"),CONCATENATE("R9C",'Mapa final'!$Y$48),"")</f>
        <v/>
      </c>
      <c r="AH24" s="52" t="str">
        <f>IF(AND('Mapa final'!$AI$43="Alta",'Mapa final'!$AK$43="Catastrófico"),CONCATENATE("R9C",'Mapa final'!$Y$43),"")</f>
        <v/>
      </c>
      <c r="AI24" s="53" t="str">
        <f>IF(AND('Mapa final'!$AI$44="Alta",'Mapa final'!$AK$44="Catastrófico"),CONCATENATE("R9C",'Mapa final'!$Y$44),"")</f>
        <v/>
      </c>
      <c r="AJ24" s="53" t="str">
        <f>IF(AND('Mapa final'!$AI$45="Alta",'Mapa final'!$AK$45="Catastrófico"),CONCATENATE("R9C",'Mapa final'!$Y$45),"")</f>
        <v/>
      </c>
      <c r="AK24" s="53" t="str">
        <f>IF(AND('Mapa final'!$AI$46="Alta",'Mapa final'!$AK$46="Catastrófico"),CONCATENATE("R9C",'Mapa final'!$Y$46),"")</f>
        <v/>
      </c>
      <c r="AL24" s="53" t="str">
        <f>IF(AND('Mapa final'!$AI$47="Alta",'Mapa final'!$AK$47="Catastrófico"),CONCATENATE("R9C",'Mapa final'!$Y$47),"")</f>
        <v/>
      </c>
      <c r="AM24" s="54" t="str">
        <f>IF(AND('Mapa final'!$AI$48="Alta",'Mapa final'!$AK$48="Catastrófico"),CONCATENATE("R9C",'Mapa final'!$Y$48),"")</f>
        <v/>
      </c>
      <c r="AN24" s="80"/>
      <c r="AO24" s="453"/>
      <c r="AP24" s="454"/>
      <c r="AQ24" s="454"/>
      <c r="AR24" s="454"/>
      <c r="AS24" s="454"/>
      <c r="AT24" s="455"/>
      <c r="AU24" s="80"/>
      <c r="AV24" s="80"/>
      <c r="AW24" s="80"/>
      <c r="AX24" s="80"/>
      <c r="AY24" s="80"/>
      <c r="AZ24" s="80"/>
      <c r="BA24" s="80"/>
      <c r="BB24" s="80"/>
      <c r="BC24" s="80"/>
      <c r="BD24" s="80"/>
      <c r="BE24" s="80"/>
      <c r="BF24" s="80"/>
      <c r="BG24" s="80"/>
      <c r="BH24" s="80"/>
      <c r="BI24" s="80"/>
      <c r="BJ24" s="80"/>
      <c r="BK24" s="80"/>
      <c r="BL24" s="80"/>
      <c r="BM24" s="80"/>
      <c r="BN24" s="80"/>
      <c r="BO24" s="80"/>
      <c r="BP24" s="80"/>
      <c r="BQ24" s="80"/>
      <c r="BR24" s="80"/>
      <c r="BS24" s="80"/>
      <c r="BT24" s="80"/>
      <c r="BU24" s="80"/>
      <c r="BV24" s="80"/>
      <c r="BW24" s="80"/>
      <c r="BX24" s="80"/>
    </row>
    <row r="25" spans="1:76" ht="15.75" customHeight="1" thickBot="1" x14ac:dyDescent="0.3">
      <c r="A25" s="80"/>
      <c r="B25" s="402"/>
      <c r="C25" s="402"/>
      <c r="D25" s="403"/>
      <c r="E25" s="446"/>
      <c r="F25" s="447"/>
      <c r="G25" s="447"/>
      <c r="H25" s="447"/>
      <c r="I25" s="447"/>
      <c r="J25" s="67" t="str">
        <f>IF(AND('Mapa final'!$AI$49="Alta",'Mapa final'!$AK$49="Leve"),CONCATENATE("R10C",'Mapa final'!$Y$49),"")</f>
        <v/>
      </c>
      <c r="K25" s="68" t="str">
        <f>IF(AND('Mapa final'!$AI$50="Alta",'Mapa final'!$AK$50="Leve"),CONCATENATE("R10C",'Mapa final'!$Y$50),"")</f>
        <v/>
      </c>
      <c r="L25" s="68" t="str">
        <f>IF(AND('Mapa final'!$AI$51="Alta",'Mapa final'!$AK$51="Leve"),CONCATENATE("R10C",'Mapa final'!$Y$51),"")</f>
        <v/>
      </c>
      <c r="M25" s="68" t="str">
        <f>IF(AND('Mapa final'!$AI$52="Alta",'Mapa final'!$AK$52="Leve"),CONCATENATE("R10C",'Mapa final'!$Y$52),"")</f>
        <v/>
      </c>
      <c r="N25" s="68" t="str">
        <f>IF(AND('Mapa final'!$AI$53="Alta",'Mapa final'!$AK$53="Leve"),CONCATENATE("R10C",'Mapa final'!$Y$53),"")</f>
        <v/>
      </c>
      <c r="O25" s="69" t="str">
        <f>IF(AND('Mapa final'!$AI$54="Alta",'Mapa final'!$AK$54="Leve"),CONCATENATE("R10C",'Mapa final'!$Y$54),"")</f>
        <v/>
      </c>
      <c r="P25" s="67" t="str">
        <f>IF(AND('Mapa final'!$AI$49="Alta",'Mapa final'!$AK$49="Menor"),CONCATENATE("R10C",'Mapa final'!$Y$49),"")</f>
        <v/>
      </c>
      <c r="Q25" s="68" t="str">
        <f>IF(AND('Mapa final'!$AI$50="Alta",'Mapa final'!$AK$50="Menor"),CONCATENATE("R10C",'Mapa final'!$Y$50),"")</f>
        <v/>
      </c>
      <c r="R25" s="68" t="str">
        <f>IF(AND('Mapa final'!$AI$51="Alta",'Mapa final'!$AK$51="Menor"),CONCATENATE("R10C",'Mapa final'!$Y$51),"")</f>
        <v/>
      </c>
      <c r="S25" s="68" t="str">
        <f>IF(AND('Mapa final'!$AI$52="Alta",'Mapa final'!$AK$52="Menor"),CONCATENATE("R10C",'Mapa final'!$Y$52),"")</f>
        <v/>
      </c>
      <c r="T25" s="68" t="str">
        <f>IF(AND('Mapa final'!$AI$53="Alta",'Mapa final'!$AK$53="Menor"),CONCATENATE("R10C",'Mapa final'!$Y$53),"")</f>
        <v/>
      </c>
      <c r="U25" s="69" t="str">
        <f>IF(AND('Mapa final'!$AI$54="Alta",'Mapa final'!$AK$54="Menor"),CONCATENATE("R10C",'Mapa final'!$Y$54),"")</f>
        <v/>
      </c>
      <c r="V25" s="55" t="str">
        <f>IF(AND('Mapa final'!$AI$49="Alta",'Mapa final'!$AK$49="Moderado"),CONCATENATE("R10C",'Mapa final'!$Y$49),"")</f>
        <v/>
      </c>
      <c r="W25" s="56" t="str">
        <f>IF(AND('Mapa final'!$AI$50="Alta",'Mapa final'!$AK$50="Moderado"),CONCATENATE("R10C",'Mapa final'!$Y$50),"")</f>
        <v/>
      </c>
      <c r="X25" s="56" t="str">
        <f>IF(AND('Mapa final'!$AI$51="Alta",'Mapa final'!$AK$51="Moderado"),CONCATENATE("R10C",'Mapa final'!$Y$51),"")</f>
        <v/>
      </c>
      <c r="Y25" s="56" t="str">
        <f>IF(AND('Mapa final'!$AI$52="Alta",'Mapa final'!$AK$52="Moderado"),CONCATENATE("R10C",'Mapa final'!$Y$52),"")</f>
        <v/>
      </c>
      <c r="Z25" s="56" t="str">
        <f>IF(AND('Mapa final'!$AI$53="Alta",'Mapa final'!$AK$53="Moderado"),CONCATENATE("R10C",'Mapa final'!$Y$53),"")</f>
        <v/>
      </c>
      <c r="AA25" s="57" t="str">
        <f>IF(AND('Mapa final'!$AI$54="Alta",'Mapa final'!$AK$54="Moderado"),CONCATENATE("R10C",'Mapa final'!$Y$54),"")</f>
        <v/>
      </c>
      <c r="AB25" s="55" t="str">
        <f>IF(AND('Mapa final'!$AI$49="Alta",'Mapa final'!$AK$49="Mayor"),CONCATENATE("R10C",'Mapa final'!$Y$49),"")</f>
        <v/>
      </c>
      <c r="AC25" s="56" t="str">
        <f>IF(AND('Mapa final'!$AI$50="Alta",'Mapa final'!$AK$50="Mayor"),CONCATENATE("R10C",'Mapa final'!$Y$50),"")</f>
        <v/>
      </c>
      <c r="AD25" s="56" t="str">
        <f>IF(AND('Mapa final'!$AI$51="Alta",'Mapa final'!$AK$51="Mayor"),CONCATENATE("R10C",'Mapa final'!$Y$51),"")</f>
        <v/>
      </c>
      <c r="AE25" s="56" t="str">
        <f>IF(AND('Mapa final'!$AI$52="Alta",'Mapa final'!$AK$52="Mayor"),CONCATENATE("R10C",'Mapa final'!$Y$52),"")</f>
        <v/>
      </c>
      <c r="AF25" s="56" t="str">
        <f>IF(AND('Mapa final'!$AI$53="Alta",'Mapa final'!$AK$53="Mayor"),CONCATENATE("R10C",'Mapa final'!$Y$53),"")</f>
        <v/>
      </c>
      <c r="AG25" s="57" t="str">
        <f>IF(AND('Mapa final'!$AI$54="Alta",'Mapa final'!$AK$54="Mayor"),CONCATENATE("R10C",'Mapa final'!$Y$54),"")</f>
        <v/>
      </c>
      <c r="AH25" s="58" t="str">
        <f>IF(AND('Mapa final'!$AI$49="Alta",'Mapa final'!$AK$49="Catastrófico"),CONCATENATE("R10C",'Mapa final'!$Y$49),"")</f>
        <v/>
      </c>
      <c r="AI25" s="59" t="str">
        <f>IF(AND('Mapa final'!$AI$50="Alta",'Mapa final'!$AK$50="Catastrófico"),CONCATENATE("R10C",'Mapa final'!$Y$50),"")</f>
        <v/>
      </c>
      <c r="AJ25" s="59" t="str">
        <f>IF(AND('Mapa final'!$AI$51="Alta",'Mapa final'!$AK$51="Catastrófico"),CONCATENATE("R10C",'Mapa final'!$Y$51),"")</f>
        <v/>
      </c>
      <c r="AK25" s="59" t="str">
        <f>IF(AND('Mapa final'!$AI$52="Alta",'Mapa final'!$AK$52="Catastrófico"),CONCATENATE("R10C",'Mapa final'!$Y$52),"")</f>
        <v/>
      </c>
      <c r="AL25" s="59" t="str">
        <f>IF(AND('Mapa final'!$AI$53="Alta",'Mapa final'!$AK$53="Catastrófico"),CONCATENATE("R10C",'Mapa final'!$Y$53),"")</f>
        <v/>
      </c>
      <c r="AM25" s="60" t="str">
        <f>IF(AND('Mapa final'!$AI$54="Alta",'Mapa final'!$AK$54="Catastrófico"),CONCATENATE("R10C",'Mapa final'!$Y$54),"")</f>
        <v/>
      </c>
      <c r="AN25" s="80"/>
      <c r="AO25" s="456"/>
      <c r="AP25" s="457"/>
      <c r="AQ25" s="457"/>
      <c r="AR25" s="457"/>
      <c r="AS25" s="457"/>
      <c r="AT25" s="458"/>
      <c r="AU25" s="80"/>
      <c r="AV25" s="80"/>
      <c r="AW25" s="80"/>
      <c r="AX25" s="80"/>
      <c r="AY25" s="80"/>
      <c r="AZ25" s="80"/>
      <c r="BA25" s="80"/>
      <c r="BB25" s="80"/>
      <c r="BC25" s="80"/>
      <c r="BD25" s="80"/>
      <c r="BE25" s="80"/>
      <c r="BF25" s="80"/>
      <c r="BG25" s="80"/>
      <c r="BH25" s="80"/>
      <c r="BI25" s="80"/>
      <c r="BJ25" s="80"/>
      <c r="BK25" s="80"/>
      <c r="BL25" s="80"/>
      <c r="BM25" s="80"/>
      <c r="BN25" s="80"/>
      <c r="BO25" s="80"/>
      <c r="BP25" s="80"/>
      <c r="BQ25" s="80"/>
      <c r="BR25" s="80"/>
      <c r="BS25" s="80"/>
      <c r="BT25" s="80"/>
      <c r="BU25" s="80"/>
      <c r="BV25" s="80"/>
      <c r="BW25" s="80"/>
      <c r="BX25" s="80"/>
    </row>
    <row r="26" spans="1:76" ht="15" customHeight="1" x14ac:dyDescent="0.25">
      <c r="A26" s="80"/>
      <c r="B26" s="402"/>
      <c r="C26" s="402"/>
      <c r="D26" s="403"/>
      <c r="E26" s="440" t="s">
        <v>142</v>
      </c>
      <c r="F26" s="441"/>
      <c r="G26" s="441"/>
      <c r="H26" s="441"/>
      <c r="I26" s="442"/>
      <c r="J26" s="61" t="str">
        <f>IF(AND('Mapa final'!$AI$11="Media",'Mapa final'!$AK$11="Leve"),CONCATENATE("R1C",'Mapa final'!$Y$11),"")</f>
        <v/>
      </c>
      <c r="K26" s="62" t="e">
        <f>IF(AND('Mapa final'!#REF!="Media",'Mapa final'!#REF!="Leve"),CONCATENATE("R1C",'Mapa final'!#REF!),"")</f>
        <v>#REF!</v>
      </c>
      <c r="L26" s="62" t="e">
        <f>IF(AND('Mapa final'!#REF!="Media",'Mapa final'!#REF!="Leve"),CONCATENATE("R1C",'Mapa final'!#REF!),"")</f>
        <v>#REF!</v>
      </c>
      <c r="M26" s="62" t="e">
        <f>IF(AND('Mapa final'!#REF!="Media",'Mapa final'!#REF!="Leve"),CONCATENATE("R1C",'Mapa final'!#REF!),"")</f>
        <v>#REF!</v>
      </c>
      <c r="N26" s="62" t="e">
        <f>IF(AND('Mapa final'!#REF!="Media",'Mapa final'!#REF!="Leve"),CONCATENATE("R1C",'Mapa final'!#REF!),"")</f>
        <v>#REF!</v>
      </c>
      <c r="O26" s="63" t="e">
        <f>IF(AND('Mapa final'!#REF!="Media",'Mapa final'!#REF!="Leve"),CONCATENATE("R1C",'Mapa final'!#REF!),"")</f>
        <v>#REF!</v>
      </c>
      <c r="P26" s="61" t="str">
        <f>IF(AND('Mapa final'!$AI$11="Media",'Mapa final'!$AK$11="Menor"),CONCATENATE("R1C",'Mapa final'!$Y$11),"")</f>
        <v/>
      </c>
      <c r="Q26" s="62" t="e">
        <f>IF(AND('Mapa final'!#REF!="Media",'Mapa final'!#REF!="Menor"),CONCATENATE("R1C",'Mapa final'!#REF!),"")</f>
        <v>#REF!</v>
      </c>
      <c r="R26" s="62" t="e">
        <f>IF(AND('Mapa final'!#REF!="Media",'Mapa final'!#REF!="Menor"),CONCATENATE("R1C",'Mapa final'!#REF!),"")</f>
        <v>#REF!</v>
      </c>
      <c r="S26" s="62" t="e">
        <f>IF(AND('Mapa final'!#REF!="Media",'Mapa final'!#REF!="Menor"),CONCATENATE("R1C",'Mapa final'!#REF!),"")</f>
        <v>#REF!</v>
      </c>
      <c r="T26" s="62" t="e">
        <f>IF(AND('Mapa final'!#REF!="Media",'Mapa final'!#REF!="Menor"),CONCATENATE("R1C",'Mapa final'!#REF!),"")</f>
        <v>#REF!</v>
      </c>
      <c r="U26" s="63" t="e">
        <f>IF(AND('Mapa final'!#REF!="Media",'Mapa final'!#REF!="Menor"),CONCATENATE("R1C",'Mapa final'!#REF!),"")</f>
        <v>#REF!</v>
      </c>
      <c r="V26" s="61" t="str">
        <f>IF(AND('Mapa final'!$AI$11="Media",'Mapa final'!$AK$11="Moderado"),CONCATENATE("R1C",'Mapa final'!$Y$11),"")</f>
        <v/>
      </c>
      <c r="W26" s="62" t="e">
        <f>IF(AND('Mapa final'!#REF!="Media",'Mapa final'!#REF!="Moderado"),CONCATENATE("R1C",'Mapa final'!#REF!),"")</f>
        <v>#REF!</v>
      </c>
      <c r="X26" s="62" t="e">
        <f>IF(AND('Mapa final'!#REF!="Media",'Mapa final'!#REF!="Moderado"),CONCATENATE("R1C",'Mapa final'!#REF!),"")</f>
        <v>#REF!</v>
      </c>
      <c r="Y26" s="62" t="e">
        <f>IF(AND('Mapa final'!#REF!="Media",'Mapa final'!#REF!="Moderado"),CONCATENATE("R1C",'Mapa final'!#REF!),"")</f>
        <v>#REF!</v>
      </c>
      <c r="Z26" s="62" t="e">
        <f>IF(AND('Mapa final'!#REF!="Media",'Mapa final'!#REF!="Moderado"),CONCATENATE("R1C",'Mapa final'!#REF!),"")</f>
        <v>#REF!</v>
      </c>
      <c r="AA26" s="63" t="e">
        <f>IF(AND('Mapa final'!#REF!="Media",'Mapa final'!#REF!="Moderado"),CONCATENATE("R1C",'Mapa final'!#REF!),"")</f>
        <v>#REF!</v>
      </c>
      <c r="AB26" s="43" t="str">
        <f>IF(AND('Mapa final'!$AI$11="Media",'Mapa final'!$AK$11="Mayor"),CONCATENATE("R1C",'Mapa final'!$Y$11),"")</f>
        <v/>
      </c>
      <c r="AC26" s="44" t="e">
        <f>IF(AND('Mapa final'!#REF!="Media",'Mapa final'!#REF!="Mayor"),CONCATENATE("R1C",'Mapa final'!#REF!),"")</f>
        <v>#REF!</v>
      </c>
      <c r="AD26" s="44" t="e">
        <f>IF(AND('Mapa final'!#REF!="Media",'Mapa final'!#REF!="Mayor"),CONCATENATE("R1C",'Mapa final'!#REF!),"")</f>
        <v>#REF!</v>
      </c>
      <c r="AE26" s="44" t="e">
        <f>IF(AND('Mapa final'!#REF!="Media",'Mapa final'!#REF!="Mayor"),CONCATENATE("R1C",'Mapa final'!#REF!),"")</f>
        <v>#REF!</v>
      </c>
      <c r="AF26" s="44" t="e">
        <f>IF(AND('Mapa final'!#REF!="Media",'Mapa final'!#REF!="Mayor"),CONCATENATE("R1C",'Mapa final'!#REF!),"")</f>
        <v>#REF!</v>
      </c>
      <c r="AG26" s="45" t="e">
        <f>IF(AND('Mapa final'!#REF!="Media",'Mapa final'!#REF!="Mayor"),CONCATENATE("R1C",'Mapa final'!#REF!),"")</f>
        <v>#REF!</v>
      </c>
      <c r="AH26" s="46" t="str">
        <f>IF(AND('Mapa final'!$AI$11="Media",'Mapa final'!$AK$11="Catastrófico"),CONCATENATE("R1C",'Mapa final'!$Y$11),"")</f>
        <v/>
      </c>
      <c r="AI26" s="47" t="e">
        <f>IF(AND('Mapa final'!#REF!="Media",'Mapa final'!#REF!="Catastrófico"),CONCATENATE("R1C",'Mapa final'!#REF!),"")</f>
        <v>#REF!</v>
      </c>
      <c r="AJ26" s="47" t="e">
        <f>IF(AND('Mapa final'!#REF!="Media",'Mapa final'!#REF!="Catastrófico"),CONCATENATE("R1C",'Mapa final'!#REF!),"")</f>
        <v>#REF!</v>
      </c>
      <c r="AK26" s="47" t="e">
        <f>IF(AND('Mapa final'!#REF!="Media",'Mapa final'!#REF!="Catastrófico"),CONCATENATE("R1C",'Mapa final'!#REF!),"")</f>
        <v>#REF!</v>
      </c>
      <c r="AL26" s="47" t="e">
        <f>IF(AND('Mapa final'!#REF!="Media",'Mapa final'!#REF!="Catastrófico"),CONCATENATE("R1C",'Mapa final'!#REF!),"")</f>
        <v>#REF!</v>
      </c>
      <c r="AM26" s="48" t="e">
        <f>IF(AND('Mapa final'!#REF!="Media",'Mapa final'!#REF!="Catastrófico"),CONCATENATE("R1C",'Mapa final'!#REF!),"")</f>
        <v>#REF!</v>
      </c>
      <c r="AN26" s="80"/>
      <c r="AO26" s="480" t="s">
        <v>143</v>
      </c>
      <c r="AP26" s="481"/>
      <c r="AQ26" s="481"/>
      <c r="AR26" s="481"/>
      <c r="AS26" s="481"/>
      <c r="AT26" s="482"/>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row>
    <row r="27" spans="1:76" ht="15" customHeight="1" x14ac:dyDescent="0.25">
      <c r="A27" s="80"/>
      <c r="B27" s="402"/>
      <c r="C27" s="402"/>
      <c r="D27" s="403"/>
      <c r="E27" s="459"/>
      <c r="F27" s="444"/>
      <c r="G27" s="444"/>
      <c r="H27" s="444"/>
      <c r="I27" s="445"/>
      <c r="J27" s="64" t="str">
        <f>IF(AND('Mapa final'!$AI$12="Media",'Mapa final'!$AK$12="Leve"),CONCATENATE("R2C",'Mapa final'!$Y$12),"")</f>
        <v/>
      </c>
      <c r="K27" s="65" t="str">
        <f>IF(AND('Mapa final'!$AI$13="Media",'Mapa final'!$AK$13="Leve"),CONCATENATE("R2C",'Mapa final'!$Y$13),"")</f>
        <v/>
      </c>
      <c r="L27" s="65" t="e">
        <f>IF(AND('Mapa final'!#REF!="Media",'Mapa final'!#REF!="Leve"),CONCATENATE("R2C",'Mapa final'!#REF!),"")</f>
        <v>#REF!</v>
      </c>
      <c r="M27" s="65" t="e">
        <f>IF(AND('Mapa final'!#REF!="Media",'Mapa final'!#REF!="Leve"),CONCATENATE("R2C",'Mapa final'!#REF!),"")</f>
        <v>#REF!</v>
      </c>
      <c r="N27" s="65" t="e">
        <f>IF(AND('Mapa final'!#REF!="Media",'Mapa final'!#REF!="Leve"),CONCATENATE("R2C",'Mapa final'!#REF!),"")</f>
        <v>#REF!</v>
      </c>
      <c r="O27" s="66" t="e">
        <f>IF(AND('Mapa final'!#REF!="Media",'Mapa final'!#REF!="Leve"),CONCATENATE("R2C",'Mapa final'!#REF!),"")</f>
        <v>#REF!</v>
      </c>
      <c r="P27" s="64" t="str">
        <f>IF(AND('Mapa final'!$AI$12="Media",'Mapa final'!$AK$12="Menor"),CONCATENATE("R2C",'Mapa final'!$Y$12),"")</f>
        <v/>
      </c>
      <c r="Q27" s="65" t="str">
        <f>IF(AND('Mapa final'!$AI$13="Media",'Mapa final'!$AK$13="Menor"),CONCATENATE("R2C",'Mapa final'!$Y$13),"")</f>
        <v/>
      </c>
      <c r="R27" s="65" t="e">
        <f>IF(AND('Mapa final'!#REF!="Media",'Mapa final'!#REF!="Menor"),CONCATENATE("R2C",'Mapa final'!#REF!),"")</f>
        <v>#REF!</v>
      </c>
      <c r="S27" s="65" t="e">
        <f>IF(AND('Mapa final'!#REF!="Media",'Mapa final'!#REF!="Menor"),CONCATENATE("R2C",'Mapa final'!#REF!),"")</f>
        <v>#REF!</v>
      </c>
      <c r="T27" s="65" t="e">
        <f>IF(AND('Mapa final'!#REF!="Media",'Mapa final'!#REF!="Menor"),CONCATENATE("R2C",'Mapa final'!#REF!),"")</f>
        <v>#REF!</v>
      </c>
      <c r="U27" s="66" t="e">
        <f>IF(AND('Mapa final'!#REF!="Media",'Mapa final'!#REF!="Menor"),CONCATENATE("R2C",'Mapa final'!#REF!),"")</f>
        <v>#REF!</v>
      </c>
      <c r="V27" s="64" t="str">
        <f>IF(AND('Mapa final'!$AI$12="Media",'Mapa final'!$AK$12="Moderado"),CONCATENATE("R2C",'Mapa final'!$Y$12),"")</f>
        <v/>
      </c>
      <c r="W27" s="65" t="str">
        <f>IF(AND('Mapa final'!$AI$13="Media",'Mapa final'!$AK$13="Moderado"),CONCATENATE("R2C",'Mapa final'!$Y$13),"")</f>
        <v/>
      </c>
      <c r="X27" s="65" t="e">
        <f>IF(AND('Mapa final'!#REF!="Media",'Mapa final'!#REF!="Moderado"),CONCATENATE("R2C",'Mapa final'!#REF!),"")</f>
        <v>#REF!</v>
      </c>
      <c r="Y27" s="65" t="e">
        <f>IF(AND('Mapa final'!#REF!="Media",'Mapa final'!#REF!="Moderado"),CONCATENATE("R2C",'Mapa final'!#REF!),"")</f>
        <v>#REF!</v>
      </c>
      <c r="Z27" s="65" t="e">
        <f>IF(AND('Mapa final'!#REF!="Media",'Mapa final'!#REF!="Moderado"),CONCATENATE("R2C",'Mapa final'!#REF!),"")</f>
        <v>#REF!</v>
      </c>
      <c r="AA27" s="66" t="e">
        <f>IF(AND('Mapa final'!#REF!="Media",'Mapa final'!#REF!="Moderado"),CONCATENATE("R2C",'Mapa final'!#REF!),"")</f>
        <v>#REF!</v>
      </c>
      <c r="AB27" s="49" t="str">
        <f>IF(AND('Mapa final'!$AI$12="Media",'Mapa final'!$AK$12="Mayor"),CONCATENATE("R2C",'Mapa final'!$Y$12),"")</f>
        <v/>
      </c>
      <c r="AC27" s="50" t="str">
        <f>IF(AND('Mapa final'!$AI$13="Media",'Mapa final'!$AK$13="Mayor"),CONCATENATE("R2C",'Mapa final'!$Y$13),"")</f>
        <v/>
      </c>
      <c r="AD27" s="50" t="e">
        <f>IF(AND('Mapa final'!#REF!="Media",'Mapa final'!#REF!="Mayor"),CONCATENATE("R2C",'Mapa final'!#REF!),"")</f>
        <v>#REF!</v>
      </c>
      <c r="AE27" s="50" t="e">
        <f>IF(AND('Mapa final'!#REF!="Media",'Mapa final'!#REF!="Mayor"),CONCATENATE("R2C",'Mapa final'!#REF!),"")</f>
        <v>#REF!</v>
      </c>
      <c r="AF27" s="50" t="e">
        <f>IF(AND('Mapa final'!#REF!="Media",'Mapa final'!#REF!="Mayor"),CONCATENATE("R2C",'Mapa final'!#REF!),"")</f>
        <v>#REF!</v>
      </c>
      <c r="AG27" s="51" t="e">
        <f>IF(AND('Mapa final'!#REF!="Media",'Mapa final'!#REF!="Mayor"),CONCATENATE("R2C",'Mapa final'!#REF!),"")</f>
        <v>#REF!</v>
      </c>
      <c r="AH27" s="52" t="str">
        <f>IF(AND('Mapa final'!$AI$12="Media",'Mapa final'!$AK$12="Catastrófico"),CONCATENATE("R2C",'Mapa final'!$Y$12),"")</f>
        <v/>
      </c>
      <c r="AI27" s="53" t="str">
        <f>IF(AND('Mapa final'!$AI$13="Media",'Mapa final'!$AK$13="Catastrófico"),CONCATENATE("R2C",'Mapa final'!$Y$13),"")</f>
        <v/>
      </c>
      <c r="AJ27" s="53" t="e">
        <f>IF(AND('Mapa final'!#REF!="Media",'Mapa final'!#REF!="Catastrófico"),CONCATENATE("R2C",'Mapa final'!#REF!),"")</f>
        <v>#REF!</v>
      </c>
      <c r="AK27" s="53" t="e">
        <f>IF(AND('Mapa final'!#REF!="Media",'Mapa final'!#REF!="Catastrófico"),CONCATENATE("R2C",'Mapa final'!#REF!),"")</f>
        <v>#REF!</v>
      </c>
      <c r="AL27" s="53" t="e">
        <f>IF(AND('Mapa final'!#REF!="Media",'Mapa final'!#REF!="Catastrófico"),CONCATENATE("R2C",'Mapa final'!#REF!),"")</f>
        <v>#REF!</v>
      </c>
      <c r="AM27" s="54" t="e">
        <f>IF(AND('Mapa final'!#REF!="Media",'Mapa final'!#REF!="Catastrófico"),CONCATENATE("R2C",'Mapa final'!#REF!),"")</f>
        <v>#REF!</v>
      </c>
      <c r="AN27" s="80"/>
      <c r="AO27" s="483"/>
      <c r="AP27" s="484"/>
      <c r="AQ27" s="484"/>
      <c r="AR27" s="484"/>
      <c r="AS27" s="484"/>
      <c r="AT27" s="485"/>
      <c r="AU27" s="80"/>
      <c r="AV27" s="80"/>
      <c r="AW27" s="80"/>
      <c r="AX27" s="80"/>
      <c r="AY27" s="80"/>
      <c r="AZ27" s="80"/>
      <c r="BA27" s="80"/>
      <c r="BB27" s="80"/>
      <c r="BC27" s="80"/>
      <c r="BD27" s="80"/>
      <c r="BE27" s="80"/>
      <c r="BF27" s="80"/>
      <c r="BG27" s="80"/>
      <c r="BH27" s="80"/>
      <c r="BI27" s="80"/>
      <c r="BJ27" s="80"/>
      <c r="BK27" s="80"/>
      <c r="BL27" s="80"/>
      <c r="BM27" s="80"/>
      <c r="BN27" s="80"/>
      <c r="BO27" s="80"/>
      <c r="BP27" s="80"/>
      <c r="BQ27" s="80"/>
      <c r="BR27" s="80"/>
      <c r="BS27" s="80"/>
      <c r="BT27" s="80"/>
      <c r="BU27" s="80"/>
      <c r="BV27" s="80"/>
      <c r="BW27" s="80"/>
      <c r="BX27" s="80"/>
    </row>
    <row r="28" spans="1:76" ht="15" customHeight="1" x14ac:dyDescent="0.25">
      <c r="A28" s="80"/>
      <c r="B28" s="402"/>
      <c r="C28" s="402"/>
      <c r="D28" s="403"/>
      <c r="E28" s="443"/>
      <c r="F28" s="444"/>
      <c r="G28" s="444"/>
      <c r="H28" s="444"/>
      <c r="I28" s="445"/>
      <c r="J28" s="64" t="str">
        <f>IF(AND('Mapa final'!$AI$14="Media",'Mapa final'!$AK$14="Leve"),CONCATENATE("R3C",'Mapa final'!$Y$14),"")</f>
        <v/>
      </c>
      <c r="K28" s="65" t="str">
        <f>IF(AND('Mapa final'!$AI$15="Media",'Mapa final'!$AK$15="Leve"),CONCATENATE("R3C",'Mapa final'!$Y$15),"")</f>
        <v/>
      </c>
      <c r="L28" s="65" t="e">
        <f>IF(AND('Mapa final'!#REF!="Media",'Mapa final'!#REF!="Leve"),CONCATENATE("R3C",'Mapa final'!#REF!),"")</f>
        <v>#REF!</v>
      </c>
      <c r="M28" s="65" t="e">
        <f>IF(AND('Mapa final'!#REF!="Media",'Mapa final'!#REF!="Leve"),CONCATENATE("R3C",'Mapa final'!#REF!),"")</f>
        <v>#REF!</v>
      </c>
      <c r="N28" s="65" t="e">
        <f>IF(AND('Mapa final'!#REF!="Media",'Mapa final'!#REF!="Leve"),CONCATENATE("R3C",'Mapa final'!#REF!),"")</f>
        <v>#REF!</v>
      </c>
      <c r="O28" s="66" t="e">
        <f>IF(AND('Mapa final'!#REF!="Media",'Mapa final'!#REF!="Leve"),CONCATENATE("R3C",'Mapa final'!#REF!),"")</f>
        <v>#REF!</v>
      </c>
      <c r="P28" s="64" t="str">
        <f>IF(AND('Mapa final'!$AI$14="Media",'Mapa final'!$AK$14="Menor"),CONCATENATE("R3C",'Mapa final'!$Y$14),"")</f>
        <v/>
      </c>
      <c r="Q28" s="65" t="str">
        <f>IF(AND('Mapa final'!$AI$15="Media",'Mapa final'!$AK$15="Menor"),CONCATENATE("R3C",'Mapa final'!$Y$15),"")</f>
        <v/>
      </c>
      <c r="R28" s="65" t="e">
        <f>IF(AND('Mapa final'!#REF!="Media",'Mapa final'!#REF!="Menor"),CONCATENATE("R3C",'Mapa final'!#REF!),"")</f>
        <v>#REF!</v>
      </c>
      <c r="S28" s="65" t="e">
        <f>IF(AND('Mapa final'!#REF!="Media",'Mapa final'!#REF!="Menor"),CONCATENATE("R3C",'Mapa final'!#REF!),"")</f>
        <v>#REF!</v>
      </c>
      <c r="T28" s="65" t="e">
        <f>IF(AND('Mapa final'!#REF!="Media",'Mapa final'!#REF!="Menor"),CONCATENATE("R3C",'Mapa final'!#REF!),"")</f>
        <v>#REF!</v>
      </c>
      <c r="U28" s="66" t="e">
        <f>IF(AND('Mapa final'!#REF!="Media",'Mapa final'!#REF!="Menor"),CONCATENATE("R3C",'Mapa final'!#REF!),"")</f>
        <v>#REF!</v>
      </c>
      <c r="V28" s="64" t="str">
        <f>IF(AND('Mapa final'!$AI$14="Media",'Mapa final'!$AK$14="Moderado"),CONCATENATE("R3C",'Mapa final'!$Y$14),"")</f>
        <v/>
      </c>
      <c r="W28" s="65" t="str">
        <f>IF(AND('Mapa final'!$AI$15="Media",'Mapa final'!$AK$15="Moderado"),CONCATENATE("R3C",'Mapa final'!$Y$15),"")</f>
        <v/>
      </c>
      <c r="X28" s="65" t="e">
        <f>IF(AND('Mapa final'!#REF!="Media",'Mapa final'!#REF!="Moderado"),CONCATENATE("R3C",'Mapa final'!#REF!),"")</f>
        <v>#REF!</v>
      </c>
      <c r="Y28" s="65" t="e">
        <f>IF(AND('Mapa final'!#REF!="Media",'Mapa final'!#REF!="Moderado"),CONCATENATE("R3C",'Mapa final'!#REF!),"")</f>
        <v>#REF!</v>
      </c>
      <c r="Z28" s="65" t="e">
        <f>IF(AND('Mapa final'!#REF!="Media",'Mapa final'!#REF!="Moderado"),CONCATENATE("R3C",'Mapa final'!#REF!),"")</f>
        <v>#REF!</v>
      </c>
      <c r="AA28" s="66" t="e">
        <f>IF(AND('Mapa final'!#REF!="Media",'Mapa final'!#REF!="Moderado"),CONCATENATE("R3C",'Mapa final'!#REF!),"")</f>
        <v>#REF!</v>
      </c>
      <c r="AB28" s="49" t="str">
        <f>IF(AND('Mapa final'!$AI$14="Media",'Mapa final'!$AK$14="Mayor"),CONCATENATE("R3C",'Mapa final'!$Y$14),"")</f>
        <v/>
      </c>
      <c r="AC28" s="50" t="str">
        <f>IF(AND('Mapa final'!$AI$15="Media",'Mapa final'!$AK$15="Mayor"),CONCATENATE("R3C",'Mapa final'!$Y$15),"")</f>
        <v/>
      </c>
      <c r="AD28" s="50" t="e">
        <f>IF(AND('Mapa final'!#REF!="Media",'Mapa final'!#REF!="Mayor"),CONCATENATE("R3C",'Mapa final'!#REF!),"")</f>
        <v>#REF!</v>
      </c>
      <c r="AE28" s="50" t="e">
        <f>IF(AND('Mapa final'!#REF!="Media",'Mapa final'!#REF!="Mayor"),CONCATENATE("R3C",'Mapa final'!#REF!),"")</f>
        <v>#REF!</v>
      </c>
      <c r="AF28" s="50" t="e">
        <f>IF(AND('Mapa final'!#REF!="Media",'Mapa final'!#REF!="Mayor"),CONCATENATE("R3C",'Mapa final'!#REF!),"")</f>
        <v>#REF!</v>
      </c>
      <c r="AG28" s="51" t="e">
        <f>IF(AND('Mapa final'!#REF!="Media",'Mapa final'!#REF!="Mayor"),CONCATENATE("R3C",'Mapa final'!#REF!),"")</f>
        <v>#REF!</v>
      </c>
      <c r="AH28" s="52" t="str">
        <f>IF(AND('Mapa final'!$AI$14="Media",'Mapa final'!$AK$14="Catastrófico"),CONCATENATE("R3C",'Mapa final'!$Y$14),"")</f>
        <v/>
      </c>
      <c r="AI28" s="53" t="str">
        <f>IF(AND('Mapa final'!$AI$15="Media",'Mapa final'!$AK$15="Catastrófico"),CONCATENATE("R3C",'Mapa final'!$Y$15),"")</f>
        <v/>
      </c>
      <c r="AJ28" s="53" t="e">
        <f>IF(AND('Mapa final'!#REF!="Media",'Mapa final'!#REF!="Catastrófico"),CONCATENATE("R3C",'Mapa final'!#REF!),"")</f>
        <v>#REF!</v>
      </c>
      <c r="AK28" s="53" t="e">
        <f>IF(AND('Mapa final'!#REF!="Media",'Mapa final'!#REF!="Catastrófico"),CONCATENATE("R3C",'Mapa final'!#REF!),"")</f>
        <v>#REF!</v>
      </c>
      <c r="AL28" s="53" t="e">
        <f>IF(AND('Mapa final'!#REF!="Media",'Mapa final'!#REF!="Catastrófico"),CONCATENATE("R3C",'Mapa final'!#REF!),"")</f>
        <v>#REF!</v>
      </c>
      <c r="AM28" s="54" t="e">
        <f>IF(AND('Mapa final'!#REF!="Media",'Mapa final'!#REF!="Catastrófico"),CONCATENATE("R3C",'Mapa final'!#REF!),"")</f>
        <v>#REF!</v>
      </c>
      <c r="AN28" s="80"/>
      <c r="AO28" s="483"/>
      <c r="AP28" s="484"/>
      <c r="AQ28" s="484"/>
      <c r="AR28" s="484"/>
      <c r="AS28" s="484"/>
      <c r="AT28" s="485"/>
      <c r="AU28" s="80"/>
      <c r="AV28" s="80"/>
      <c r="AW28" s="80"/>
      <c r="AX28" s="80"/>
      <c r="AY28" s="80"/>
      <c r="AZ28" s="80"/>
      <c r="BA28" s="80"/>
      <c r="BB28" s="80"/>
      <c r="BC28" s="80"/>
      <c r="BD28" s="80"/>
      <c r="BE28" s="80"/>
      <c r="BF28" s="80"/>
      <c r="BG28" s="80"/>
      <c r="BH28" s="80"/>
      <c r="BI28" s="80"/>
      <c r="BJ28" s="80"/>
      <c r="BK28" s="80"/>
      <c r="BL28" s="80"/>
      <c r="BM28" s="80"/>
      <c r="BN28" s="80"/>
      <c r="BO28" s="80"/>
      <c r="BP28" s="80"/>
      <c r="BQ28" s="80"/>
      <c r="BR28" s="80"/>
      <c r="BS28" s="80"/>
      <c r="BT28" s="80"/>
      <c r="BU28" s="80"/>
      <c r="BV28" s="80"/>
      <c r="BW28" s="80"/>
      <c r="BX28" s="80"/>
    </row>
    <row r="29" spans="1:76" ht="15" customHeight="1" x14ac:dyDescent="0.25">
      <c r="A29" s="80"/>
      <c r="B29" s="402"/>
      <c r="C29" s="402"/>
      <c r="D29" s="403"/>
      <c r="E29" s="443"/>
      <c r="F29" s="444"/>
      <c r="G29" s="444"/>
      <c r="H29" s="444"/>
      <c r="I29" s="445"/>
      <c r="J29" s="64" t="str">
        <f>IF(AND('Mapa final'!$AI$16="Media",'Mapa final'!$AK$16="Leve"),CONCATENATE("R4C",'Mapa final'!$Y$16),"")</f>
        <v/>
      </c>
      <c r="K29" s="65" t="str">
        <f>IF(AND('Mapa final'!$AI$17="Media",'Mapa final'!$AK$17="Leve"),CONCATENATE("R4C",'Mapa final'!$Y$17),"")</f>
        <v/>
      </c>
      <c r="L29" s="65" t="str">
        <f>IF(AND('Mapa final'!$AI$18="Media",'Mapa final'!$AK$18="Leve"),CONCATENATE("R4C",'Mapa final'!$Y$18),"")</f>
        <v/>
      </c>
      <c r="M29" s="65" t="e">
        <f>IF(AND('Mapa final'!#REF!="Media",'Mapa final'!#REF!="Leve"),CONCATENATE("R4C",'Mapa final'!#REF!),"")</f>
        <v>#REF!</v>
      </c>
      <c r="N29" s="65" t="e">
        <f>IF(AND('Mapa final'!#REF!="Media",'Mapa final'!#REF!="Leve"),CONCATENATE("R4C",'Mapa final'!#REF!),"")</f>
        <v>#REF!</v>
      </c>
      <c r="O29" s="66" t="e">
        <f>IF(AND('Mapa final'!#REF!="Media",'Mapa final'!#REF!="Leve"),CONCATENATE("R4C",'Mapa final'!#REF!),"")</f>
        <v>#REF!</v>
      </c>
      <c r="P29" s="64" t="str">
        <f>IF(AND('Mapa final'!$AI$16="Media",'Mapa final'!$AK$16="Menor"),CONCATENATE("R4C",'Mapa final'!$Y$16),"")</f>
        <v/>
      </c>
      <c r="Q29" s="65" t="str">
        <f>IF(AND('Mapa final'!$AI$17="Media",'Mapa final'!$AK$17="Menor"),CONCATENATE("R4C",'Mapa final'!$Y$17),"")</f>
        <v/>
      </c>
      <c r="R29" s="65" t="str">
        <f>IF(AND('Mapa final'!$AI$18="Media",'Mapa final'!$AK$18="Menor"),CONCATENATE("R4C",'Mapa final'!$Y$18),"")</f>
        <v/>
      </c>
      <c r="S29" s="65" t="e">
        <f>IF(AND('Mapa final'!#REF!="Media",'Mapa final'!#REF!="Menor"),CONCATENATE("R4C",'Mapa final'!#REF!),"")</f>
        <v>#REF!</v>
      </c>
      <c r="T29" s="65" t="e">
        <f>IF(AND('Mapa final'!#REF!="Media",'Mapa final'!#REF!="Menor"),CONCATENATE("R4C",'Mapa final'!#REF!),"")</f>
        <v>#REF!</v>
      </c>
      <c r="U29" s="66" t="e">
        <f>IF(AND('Mapa final'!#REF!="Media",'Mapa final'!#REF!="Menor"),CONCATENATE("R4C",'Mapa final'!#REF!),"")</f>
        <v>#REF!</v>
      </c>
      <c r="V29" s="64" t="str">
        <f>IF(AND('Mapa final'!$AI$16="Media",'Mapa final'!$AK$16="Moderado"),CONCATENATE("R4C",'Mapa final'!$Y$16),"")</f>
        <v/>
      </c>
      <c r="W29" s="65" t="str">
        <f>IF(AND('Mapa final'!$AI$17="Media",'Mapa final'!$AK$17="Moderado"),CONCATENATE("R4C",'Mapa final'!$Y$17),"")</f>
        <v/>
      </c>
      <c r="X29" s="65" t="str">
        <f>IF(AND('Mapa final'!$AI$18="Media",'Mapa final'!$AK$18="Moderado"),CONCATENATE("R4C",'Mapa final'!$Y$18),"")</f>
        <v/>
      </c>
      <c r="Y29" s="65" t="e">
        <f>IF(AND('Mapa final'!#REF!="Media",'Mapa final'!#REF!="Moderado"),CONCATENATE("R4C",'Mapa final'!#REF!),"")</f>
        <v>#REF!</v>
      </c>
      <c r="Z29" s="65" t="e">
        <f>IF(AND('Mapa final'!#REF!="Media",'Mapa final'!#REF!="Moderado"),CONCATENATE("R4C",'Mapa final'!#REF!),"")</f>
        <v>#REF!</v>
      </c>
      <c r="AA29" s="66" t="e">
        <f>IF(AND('Mapa final'!#REF!="Media",'Mapa final'!#REF!="Moderado"),CONCATENATE("R4C",'Mapa final'!#REF!),"")</f>
        <v>#REF!</v>
      </c>
      <c r="AB29" s="49" t="str">
        <f>IF(AND('Mapa final'!$AI$16="Media",'Mapa final'!$AK$16="Mayor"),CONCATENATE("R4C",'Mapa final'!$Y$16),"")</f>
        <v/>
      </c>
      <c r="AC29" s="50" t="str">
        <f>IF(AND('Mapa final'!$AI$17="Media",'Mapa final'!$AK$17="Mayor"),CONCATENATE("R4C",'Mapa final'!$Y$17),"")</f>
        <v/>
      </c>
      <c r="AD29" s="50" t="str">
        <f>IF(AND('Mapa final'!$AI$18="Media",'Mapa final'!$AK$18="Mayor"),CONCATENATE("R4C",'Mapa final'!$Y$18),"")</f>
        <v/>
      </c>
      <c r="AE29" s="50" t="e">
        <f>IF(AND('Mapa final'!#REF!="Media",'Mapa final'!#REF!="Mayor"),CONCATENATE("R4C",'Mapa final'!#REF!),"")</f>
        <v>#REF!</v>
      </c>
      <c r="AF29" s="50" t="e">
        <f>IF(AND('Mapa final'!#REF!="Media",'Mapa final'!#REF!="Mayor"),CONCATENATE("R4C",'Mapa final'!#REF!),"")</f>
        <v>#REF!</v>
      </c>
      <c r="AG29" s="51" t="e">
        <f>IF(AND('Mapa final'!#REF!="Media",'Mapa final'!#REF!="Mayor"),CONCATENATE("R4C",'Mapa final'!#REF!),"")</f>
        <v>#REF!</v>
      </c>
      <c r="AH29" s="52" t="str">
        <f>IF(AND('Mapa final'!$AI$16="Media",'Mapa final'!$AK$16="Catastrófico"),CONCATENATE("R4C",'Mapa final'!$Y$16),"")</f>
        <v/>
      </c>
      <c r="AI29" s="53" t="str">
        <f>IF(AND('Mapa final'!$AI$17="Media",'Mapa final'!$AK$17="Catastrófico"),CONCATENATE("R4C",'Mapa final'!$Y$17),"")</f>
        <v/>
      </c>
      <c r="AJ29" s="53" t="str">
        <f>IF(AND('Mapa final'!$AI$18="Media",'Mapa final'!$AK$18="Catastrófico"),CONCATENATE("R4C",'Mapa final'!$Y$18),"")</f>
        <v/>
      </c>
      <c r="AK29" s="53" t="e">
        <f>IF(AND('Mapa final'!#REF!="Media",'Mapa final'!#REF!="Catastrófico"),CONCATENATE("R4C",'Mapa final'!#REF!),"")</f>
        <v>#REF!</v>
      </c>
      <c r="AL29" s="53" t="e">
        <f>IF(AND('Mapa final'!#REF!="Media",'Mapa final'!#REF!="Catastrófico"),CONCATENATE("R4C",'Mapa final'!#REF!),"")</f>
        <v>#REF!</v>
      </c>
      <c r="AM29" s="54" t="e">
        <f>IF(AND('Mapa final'!#REF!="Media",'Mapa final'!#REF!="Catastrófico"),CONCATENATE("R4C",'Mapa final'!#REF!),"")</f>
        <v>#REF!</v>
      </c>
      <c r="AN29" s="80"/>
      <c r="AO29" s="483"/>
      <c r="AP29" s="484"/>
      <c r="AQ29" s="484"/>
      <c r="AR29" s="484"/>
      <c r="AS29" s="484"/>
      <c r="AT29" s="485"/>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row>
    <row r="30" spans="1:76" ht="15" customHeight="1" x14ac:dyDescent="0.25">
      <c r="A30" s="80"/>
      <c r="B30" s="402"/>
      <c r="C30" s="402"/>
      <c r="D30" s="403"/>
      <c r="E30" s="443"/>
      <c r="F30" s="444"/>
      <c r="G30" s="444"/>
      <c r="H30" s="444"/>
      <c r="I30" s="445"/>
      <c r="J30" s="64" t="str">
        <f>IF(AND('Mapa final'!$AI$19="Media",'Mapa final'!$AK$19="Leve"),CONCATENATE("R5C",'Mapa final'!$Y$19),"")</f>
        <v/>
      </c>
      <c r="K30" s="65" t="str">
        <f>IF(AND('Mapa final'!$AI$20="Media",'Mapa final'!$AK$20="Leve"),CONCATENATE("R5C",'Mapa final'!$Y$20),"")</f>
        <v/>
      </c>
      <c r="L30" s="65" t="str">
        <f>IF(AND('Mapa final'!$AI$21="Media",'Mapa final'!$AK$21="Leve"),CONCATENATE("R5C",'Mapa final'!$Y$21),"")</f>
        <v/>
      </c>
      <c r="M30" s="65" t="str">
        <f>IF(AND('Mapa final'!$AI$22="Media",'Mapa final'!$AK$22="Leve"),CONCATENATE("R5C",'Mapa final'!$Y$22),"")</f>
        <v/>
      </c>
      <c r="N30" s="65" t="str">
        <f>IF(AND('Mapa final'!$AI$23="Media",'Mapa final'!$AK$23="Leve"),CONCATENATE("R5C",'Mapa final'!$Y$23),"")</f>
        <v/>
      </c>
      <c r="O30" s="66" t="str">
        <f>IF(AND('Mapa final'!$AI$24="Media",'Mapa final'!$AK$24="Leve"),CONCATENATE("R5C",'Mapa final'!$Y$24),"")</f>
        <v/>
      </c>
      <c r="P30" s="64" t="str">
        <f>IF(AND('Mapa final'!$AI$19="Media",'Mapa final'!$AK$19="Menor"),CONCATENATE("R5C",'Mapa final'!$Y$19),"")</f>
        <v/>
      </c>
      <c r="Q30" s="65" t="str">
        <f>IF(AND('Mapa final'!$AI$20="Media",'Mapa final'!$AK$20="Menor"),CONCATENATE("R5C",'Mapa final'!$Y$20),"")</f>
        <v/>
      </c>
      <c r="R30" s="65" t="str">
        <f>IF(AND('Mapa final'!$AI$21="Media",'Mapa final'!$AK$21="Menor"),CONCATENATE("R5C",'Mapa final'!$Y$21),"")</f>
        <v/>
      </c>
      <c r="S30" s="65" t="str">
        <f>IF(AND('Mapa final'!$AI$22="Media",'Mapa final'!$AK$22="Menor"),CONCATENATE("R5C",'Mapa final'!$Y$22),"")</f>
        <v/>
      </c>
      <c r="T30" s="65" t="str">
        <f>IF(AND('Mapa final'!$AI$23="Media",'Mapa final'!$AK$23="Menor"),CONCATENATE("R5C",'Mapa final'!$Y$23),"")</f>
        <v/>
      </c>
      <c r="U30" s="66" t="str">
        <f>IF(AND('Mapa final'!$AI$24="Media",'Mapa final'!$AK$24="Menor"),CONCATENATE("R5C",'Mapa final'!$Y$24),"")</f>
        <v/>
      </c>
      <c r="V30" s="64" t="str">
        <f>IF(AND('Mapa final'!$AI$19="Media",'Mapa final'!$AK$19="Moderado"),CONCATENATE("R5C",'Mapa final'!$Y$19),"")</f>
        <v/>
      </c>
      <c r="W30" s="65" t="str">
        <f>IF(AND('Mapa final'!$AI$20="Media",'Mapa final'!$AK$20="Moderado"),CONCATENATE("R5C",'Mapa final'!$Y$20),"")</f>
        <v/>
      </c>
      <c r="X30" s="65" t="str">
        <f>IF(AND('Mapa final'!$AI$21="Media",'Mapa final'!$AK$21="Moderado"),CONCATENATE("R5C",'Mapa final'!$Y$21),"")</f>
        <v/>
      </c>
      <c r="Y30" s="65" t="str">
        <f>IF(AND('Mapa final'!$AI$22="Media",'Mapa final'!$AK$22="Moderado"),CONCATENATE("R5C",'Mapa final'!$Y$22),"")</f>
        <v/>
      </c>
      <c r="Z30" s="65" t="str">
        <f>IF(AND('Mapa final'!$AI$23="Media",'Mapa final'!$AK$23="Moderado"),CONCATENATE("R5C",'Mapa final'!$Y$23),"")</f>
        <v/>
      </c>
      <c r="AA30" s="66" t="str">
        <f>IF(AND('Mapa final'!$AI$24="Media",'Mapa final'!$AK$24="Moderado"),CONCATENATE("R5C",'Mapa final'!$Y$24),"")</f>
        <v/>
      </c>
      <c r="AB30" s="49" t="str">
        <f>IF(AND('Mapa final'!$AI$19="Media",'Mapa final'!$AK$19="Mayor"),CONCATENATE("R5C",'Mapa final'!$Y$19),"")</f>
        <v/>
      </c>
      <c r="AC30" s="50" t="str">
        <f>IF(AND('Mapa final'!$AI$20="Media",'Mapa final'!$AK$20="Mayor"),CONCATENATE("R5C",'Mapa final'!$Y$20),"")</f>
        <v/>
      </c>
      <c r="AD30" s="50" t="str">
        <f>IF(AND('Mapa final'!$AI$21="Media",'Mapa final'!$AK$21="Mayor"),CONCATENATE("R5C",'Mapa final'!$Y$21),"")</f>
        <v/>
      </c>
      <c r="AE30" s="50" t="str">
        <f>IF(AND('Mapa final'!$AI$22="Media",'Mapa final'!$AK$22="Mayor"),CONCATENATE("R5C",'Mapa final'!$Y$22),"")</f>
        <v/>
      </c>
      <c r="AF30" s="50" t="str">
        <f>IF(AND('Mapa final'!$AI$23="Media",'Mapa final'!$AK$23="Mayor"),CONCATENATE("R5C",'Mapa final'!$Y$23),"")</f>
        <v/>
      </c>
      <c r="AG30" s="51" t="str">
        <f>IF(AND('Mapa final'!$AI$24="Media",'Mapa final'!$AK$24="Mayor"),CONCATENATE("R5C",'Mapa final'!$Y$24),"")</f>
        <v/>
      </c>
      <c r="AH30" s="52" t="str">
        <f>IF(AND('Mapa final'!$AI$19="Media",'Mapa final'!$AK$19="Catastrófico"),CONCATENATE("R5C",'Mapa final'!$Y$19),"")</f>
        <v/>
      </c>
      <c r="AI30" s="53" t="str">
        <f>IF(AND('Mapa final'!$AI$20="Media",'Mapa final'!$AK$20="Catastrófico"),CONCATENATE("R5C",'Mapa final'!$Y$20),"")</f>
        <v/>
      </c>
      <c r="AJ30" s="53" t="str">
        <f>IF(AND('Mapa final'!$AI$21="Media",'Mapa final'!$AK$21="Catastrófico"),CONCATENATE("R5C",'Mapa final'!$Y$21),"")</f>
        <v/>
      </c>
      <c r="AK30" s="53" t="str">
        <f>IF(AND('Mapa final'!$AI$22="Media",'Mapa final'!$AK$22="Catastrófico"),CONCATENATE("R5C",'Mapa final'!$Y$22),"")</f>
        <v/>
      </c>
      <c r="AL30" s="53" t="str">
        <f>IF(AND('Mapa final'!$AI$23="Media",'Mapa final'!$AK$23="Catastrófico"),CONCATENATE("R5C",'Mapa final'!$Y$23),"")</f>
        <v/>
      </c>
      <c r="AM30" s="54" t="str">
        <f>IF(AND('Mapa final'!$AI$24="Media",'Mapa final'!$AK$24="Catastrófico"),CONCATENATE("R5C",'Mapa final'!$Y$24),"")</f>
        <v/>
      </c>
      <c r="AN30" s="80"/>
      <c r="AO30" s="483"/>
      <c r="AP30" s="484"/>
      <c r="AQ30" s="484"/>
      <c r="AR30" s="484"/>
      <c r="AS30" s="484"/>
      <c r="AT30" s="485"/>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row>
    <row r="31" spans="1:76" ht="15" customHeight="1" x14ac:dyDescent="0.25">
      <c r="A31" s="80"/>
      <c r="B31" s="402"/>
      <c r="C31" s="402"/>
      <c r="D31" s="403"/>
      <c r="E31" s="443"/>
      <c r="F31" s="444"/>
      <c r="G31" s="444"/>
      <c r="H31" s="444"/>
      <c r="I31" s="445"/>
      <c r="J31" s="64" t="str">
        <f>IF(AND('Mapa final'!$AI$25="Media",'Mapa final'!$AK$25="Leve"),CONCATENATE("R6C",'Mapa final'!$Y$25),"")</f>
        <v/>
      </c>
      <c r="K31" s="65" t="str">
        <f>IF(AND('Mapa final'!$AI$26="Media",'Mapa final'!$AK$26="Leve"),CONCATENATE("R6C",'Mapa final'!$Y$26),"")</f>
        <v/>
      </c>
      <c r="L31" s="65" t="str">
        <f>IF(AND('Mapa final'!$AI$27="Media",'Mapa final'!$AK$27="Leve"),CONCATENATE("R6C",'Mapa final'!$Y$27),"")</f>
        <v/>
      </c>
      <c r="M31" s="65" t="str">
        <f>IF(AND('Mapa final'!$AI$28="Media",'Mapa final'!$AK$28="Leve"),CONCATENATE("R6C",'Mapa final'!$Y$28),"")</f>
        <v/>
      </c>
      <c r="N31" s="65" t="str">
        <f>IF(AND('Mapa final'!$AI$29="Media",'Mapa final'!$AK$29="Leve"),CONCATENATE("R6C",'Mapa final'!$Y$29),"")</f>
        <v/>
      </c>
      <c r="O31" s="66" t="str">
        <f>IF(AND('Mapa final'!$AI$30="Media",'Mapa final'!$AK$30="Leve"),CONCATENATE("R6C",'Mapa final'!$Y$30),"")</f>
        <v/>
      </c>
      <c r="P31" s="64" t="str">
        <f>IF(AND('Mapa final'!$AI$25="Media",'Mapa final'!$AK$25="Menor"),CONCATENATE("R6C",'Mapa final'!$Y$25),"")</f>
        <v/>
      </c>
      <c r="Q31" s="65" t="str">
        <f>IF(AND('Mapa final'!$AI$26="Media",'Mapa final'!$AK$26="Menor"),CONCATENATE("R6C",'Mapa final'!$Y$26),"")</f>
        <v/>
      </c>
      <c r="R31" s="65" t="str">
        <f>IF(AND('Mapa final'!$AI$27="Media",'Mapa final'!$AK$27="Menor"),CONCATENATE("R6C",'Mapa final'!$Y$27),"")</f>
        <v/>
      </c>
      <c r="S31" s="65" t="str">
        <f>IF(AND('Mapa final'!$AI$28="Media",'Mapa final'!$AK$28="Menor"),CONCATENATE("R6C",'Mapa final'!$Y$28),"")</f>
        <v/>
      </c>
      <c r="T31" s="65" t="str">
        <f>IF(AND('Mapa final'!$AI$29="Media",'Mapa final'!$AK$29="Menor"),CONCATENATE("R6C",'Mapa final'!$Y$29),"")</f>
        <v/>
      </c>
      <c r="U31" s="66" t="str">
        <f>IF(AND('Mapa final'!$AI$30="Media",'Mapa final'!$AK$30="Menor"),CONCATENATE("R6C",'Mapa final'!$Y$30),"")</f>
        <v/>
      </c>
      <c r="V31" s="64" t="str">
        <f>IF(AND('Mapa final'!$AI$25="Media",'Mapa final'!$AK$25="Moderado"),CONCATENATE("R6C",'Mapa final'!$Y$25),"")</f>
        <v/>
      </c>
      <c r="W31" s="65" t="str">
        <f>IF(AND('Mapa final'!$AI$26="Media",'Mapa final'!$AK$26="Moderado"),CONCATENATE("R6C",'Mapa final'!$Y$26),"")</f>
        <v/>
      </c>
      <c r="X31" s="65" t="str">
        <f>IF(AND('Mapa final'!$AI$27="Media",'Mapa final'!$AK$27="Moderado"),CONCATENATE("R6C",'Mapa final'!$Y$27),"")</f>
        <v/>
      </c>
      <c r="Y31" s="65" t="str">
        <f>IF(AND('Mapa final'!$AI$28="Media",'Mapa final'!$AK$28="Moderado"),CONCATENATE("R6C",'Mapa final'!$Y$28),"")</f>
        <v/>
      </c>
      <c r="Z31" s="65" t="str">
        <f>IF(AND('Mapa final'!$AI$29="Media",'Mapa final'!$AK$29="Moderado"),CONCATENATE("R6C",'Mapa final'!$Y$29),"")</f>
        <v/>
      </c>
      <c r="AA31" s="66" t="str">
        <f>IF(AND('Mapa final'!$AI$30="Media",'Mapa final'!$AK$30="Moderado"),CONCATENATE("R6C",'Mapa final'!$Y$30),"")</f>
        <v/>
      </c>
      <c r="AB31" s="49" t="str">
        <f>IF(AND('Mapa final'!$AI$25="Media",'Mapa final'!$AK$25="Mayor"),CONCATENATE("R6C",'Mapa final'!$Y$25),"")</f>
        <v/>
      </c>
      <c r="AC31" s="50" t="str">
        <f>IF(AND('Mapa final'!$AI$26="Media",'Mapa final'!$AK$26="Mayor"),CONCATENATE("R6C",'Mapa final'!$Y$26),"")</f>
        <v/>
      </c>
      <c r="AD31" s="50" t="str">
        <f>IF(AND('Mapa final'!$AI$27="Media",'Mapa final'!$AK$27="Mayor"),CONCATENATE("R6C",'Mapa final'!$Y$27),"")</f>
        <v/>
      </c>
      <c r="AE31" s="50" t="str">
        <f>IF(AND('Mapa final'!$AI$28="Media",'Mapa final'!$AK$28="Mayor"),CONCATENATE("R6C",'Mapa final'!$Y$28),"")</f>
        <v/>
      </c>
      <c r="AF31" s="50" t="str">
        <f>IF(AND('Mapa final'!$AI$29="Media",'Mapa final'!$AK$29="Mayor"),CONCATENATE("R6C",'Mapa final'!$Y$29),"")</f>
        <v/>
      </c>
      <c r="AG31" s="51" t="str">
        <f>IF(AND('Mapa final'!$AI$30="Media",'Mapa final'!$AK$30="Mayor"),CONCATENATE("R6C",'Mapa final'!$Y$30),"")</f>
        <v/>
      </c>
      <c r="AH31" s="52" t="str">
        <f>IF(AND('Mapa final'!$AI$25="Media",'Mapa final'!$AK$25="Catastrófico"),CONCATENATE("R6C",'Mapa final'!$Y$25),"")</f>
        <v/>
      </c>
      <c r="AI31" s="53" t="str">
        <f>IF(AND('Mapa final'!$AI$26="Media",'Mapa final'!$AK$26="Catastrófico"),CONCATENATE("R6C",'Mapa final'!$Y$26),"")</f>
        <v/>
      </c>
      <c r="AJ31" s="53" t="str">
        <f>IF(AND('Mapa final'!$AI$27="Media",'Mapa final'!$AK$27="Catastrófico"),CONCATENATE("R6C",'Mapa final'!$Y$27),"")</f>
        <v/>
      </c>
      <c r="AK31" s="53" t="str">
        <f>IF(AND('Mapa final'!$AI$28="Media",'Mapa final'!$AK$28="Catastrófico"),CONCATENATE("R6C",'Mapa final'!$Y$28),"")</f>
        <v/>
      </c>
      <c r="AL31" s="53" t="str">
        <f>IF(AND('Mapa final'!$AI$29="Media",'Mapa final'!$AK$29="Catastrófico"),CONCATENATE("R6C",'Mapa final'!$Y$29),"")</f>
        <v/>
      </c>
      <c r="AM31" s="54" t="str">
        <f>IF(AND('Mapa final'!$AI$30="Media",'Mapa final'!$AK$30="Catastrófico"),CONCATENATE("R6C",'Mapa final'!$Y$30),"")</f>
        <v/>
      </c>
      <c r="AN31" s="80"/>
      <c r="AO31" s="483"/>
      <c r="AP31" s="484"/>
      <c r="AQ31" s="484"/>
      <c r="AR31" s="484"/>
      <c r="AS31" s="484"/>
      <c r="AT31" s="485"/>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row>
    <row r="32" spans="1:76" ht="15" customHeight="1" x14ac:dyDescent="0.25">
      <c r="A32" s="80"/>
      <c r="B32" s="402"/>
      <c r="C32" s="402"/>
      <c r="D32" s="403"/>
      <c r="E32" s="443"/>
      <c r="F32" s="444"/>
      <c r="G32" s="444"/>
      <c r="H32" s="444"/>
      <c r="I32" s="445"/>
      <c r="J32" s="64" t="str">
        <f>IF(AND('Mapa final'!$AI$31="Media",'Mapa final'!$AK$31="Leve"),CONCATENATE("R7C",'Mapa final'!$Y$31),"")</f>
        <v/>
      </c>
      <c r="K32" s="65" t="str">
        <f>IF(AND('Mapa final'!$AI$32="Media",'Mapa final'!$AK$32="Leve"),CONCATENATE("R7C",'Mapa final'!$Y$32),"")</f>
        <v/>
      </c>
      <c r="L32" s="65" t="str">
        <f>IF(AND('Mapa final'!$AI$33="Media",'Mapa final'!$AK$33="Leve"),CONCATENATE("R7C",'Mapa final'!$Y$33),"")</f>
        <v/>
      </c>
      <c r="M32" s="65" t="str">
        <f>IF(AND('Mapa final'!$AI$34="Media",'Mapa final'!$AK$34="Leve"),CONCATENATE("R7C",'Mapa final'!$Y$34),"")</f>
        <v/>
      </c>
      <c r="N32" s="65" t="str">
        <f>IF(AND('Mapa final'!$AI$35="Media",'Mapa final'!$AK$35="Leve"),CONCATENATE("R7C",'Mapa final'!$Y$35),"")</f>
        <v/>
      </c>
      <c r="O32" s="66" t="str">
        <f>IF(AND('Mapa final'!$AI$36="Media",'Mapa final'!$AK$36="Leve"),CONCATENATE("R7C",'Mapa final'!$Y$36),"")</f>
        <v/>
      </c>
      <c r="P32" s="64" t="str">
        <f>IF(AND('Mapa final'!$AI$31="Media",'Mapa final'!$AK$31="Menor"),CONCATENATE("R7C",'Mapa final'!$Y$31),"")</f>
        <v/>
      </c>
      <c r="Q32" s="65" t="str">
        <f>IF(AND('Mapa final'!$AI$32="Media",'Mapa final'!$AK$32="Menor"),CONCATENATE("R7C",'Mapa final'!$Y$32),"")</f>
        <v/>
      </c>
      <c r="R32" s="65" t="str">
        <f>IF(AND('Mapa final'!$AI$33="Media",'Mapa final'!$AK$33="Menor"),CONCATENATE("R7C",'Mapa final'!$Y$33),"")</f>
        <v/>
      </c>
      <c r="S32" s="65" t="str">
        <f>IF(AND('Mapa final'!$AI$34="Media",'Mapa final'!$AK$34="Menor"),CONCATENATE("R7C",'Mapa final'!$Y$34),"")</f>
        <v/>
      </c>
      <c r="T32" s="65" t="str">
        <f>IF(AND('Mapa final'!$AI$35="Media",'Mapa final'!$AK$35="Menor"),CONCATENATE("R7C",'Mapa final'!$Y$35),"")</f>
        <v/>
      </c>
      <c r="U32" s="66" t="str">
        <f>IF(AND('Mapa final'!$AI$36="Media",'Mapa final'!$AK$36="Menor"),CONCATENATE("R7C",'Mapa final'!$Y$36),"")</f>
        <v/>
      </c>
      <c r="V32" s="64" t="str">
        <f>IF(AND('Mapa final'!$AI$31="Media",'Mapa final'!$AK$31="Moderado"),CONCATENATE("R7C",'Mapa final'!$Y$31),"")</f>
        <v/>
      </c>
      <c r="W32" s="65" t="str">
        <f>IF(AND('Mapa final'!$AI$32="Media",'Mapa final'!$AK$32="Moderado"),CONCATENATE("R7C",'Mapa final'!$Y$32),"")</f>
        <v/>
      </c>
      <c r="X32" s="65" t="str">
        <f>IF(AND('Mapa final'!$AI$33="Media",'Mapa final'!$AK$33="Moderado"),CONCATENATE("R7C",'Mapa final'!$Y$33),"")</f>
        <v/>
      </c>
      <c r="Y32" s="65" t="str">
        <f>IF(AND('Mapa final'!$AI$34="Media",'Mapa final'!$AK$34="Moderado"),CONCATENATE("R7C",'Mapa final'!$Y$34),"")</f>
        <v/>
      </c>
      <c r="Z32" s="65" t="str">
        <f>IF(AND('Mapa final'!$AI$35="Media",'Mapa final'!$AK$35="Moderado"),CONCATENATE("R7C",'Mapa final'!$Y$35),"")</f>
        <v/>
      </c>
      <c r="AA32" s="66" t="str">
        <f>IF(AND('Mapa final'!$AI$36="Media",'Mapa final'!$AK$36="Moderado"),CONCATENATE("R7C",'Mapa final'!$Y$36),"")</f>
        <v/>
      </c>
      <c r="AB32" s="49" t="str">
        <f>IF(AND('Mapa final'!$AI$31="Media",'Mapa final'!$AK$31="Mayor"),CONCATENATE("R7C",'Mapa final'!$Y$31),"")</f>
        <v/>
      </c>
      <c r="AC32" s="50" t="str">
        <f>IF(AND('Mapa final'!$AI$32="Media",'Mapa final'!$AK$32="Mayor"),CONCATENATE("R7C",'Mapa final'!$Y$32),"")</f>
        <v/>
      </c>
      <c r="AD32" s="50" t="str">
        <f>IF(AND('Mapa final'!$AI$33="Media",'Mapa final'!$AK$33="Mayor"),CONCATENATE("R7C",'Mapa final'!$Y$33),"")</f>
        <v/>
      </c>
      <c r="AE32" s="50" t="str">
        <f>IF(AND('Mapa final'!$AI$34="Media",'Mapa final'!$AK$34="Mayor"),CONCATENATE("R7C",'Mapa final'!$Y$34),"")</f>
        <v/>
      </c>
      <c r="AF32" s="50" t="str">
        <f>IF(AND('Mapa final'!$AI$35="Media",'Mapa final'!$AK$35="Mayor"),CONCATENATE("R7C",'Mapa final'!$Y$35),"")</f>
        <v/>
      </c>
      <c r="AG32" s="51" t="str">
        <f>IF(AND('Mapa final'!$AI$36="Media",'Mapa final'!$AK$36="Mayor"),CONCATENATE("R7C",'Mapa final'!$Y$36),"")</f>
        <v/>
      </c>
      <c r="AH32" s="52" t="str">
        <f>IF(AND('Mapa final'!$AI$31="Media",'Mapa final'!$AK$31="Catastrófico"),CONCATENATE("R7C",'Mapa final'!$Y$31),"")</f>
        <v/>
      </c>
      <c r="AI32" s="53" t="str">
        <f>IF(AND('Mapa final'!$AI$32="Media",'Mapa final'!$AK$32="Catastrófico"),CONCATENATE("R7C",'Mapa final'!$Y$32),"")</f>
        <v/>
      </c>
      <c r="AJ32" s="53" t="str">
        <f>IF(AND('Mapa final'!$AI$33="Media",'Mapa final'!$AK$33="Catastrófico"),CONCATENATE("R7C",'Mapa final'!$Y$33),"")</f>
        <v/>
      </c>
      <c r="AK32" s="53" t="str">
        <f>IF(AND('Mapa final'!$AI$34="Media",'Mapa final'!$AK$34="Catastrófico"),CONCATENATE("R7C",'Mapa final'!$Y$34),"")</f>
        <v/>
      </c>
      <c r="AL32" s="53" t="str">
        <f>IF(AND('Mapa final'!$AI$35="Media",'Mapa final'!$AK$35="Catastrófico"),CONCATENATE("R7C",'Mapa final'!$Y$35),"")</f>
        <v/>
      </c>
      <c r="AM32" s="54" t="str">
        <f>IF(AND('Mapa final'!$AI$36="Media",'Mapa final'!$AK$36="Catastrófico"),CONCATENATE("R7C",'Mapa final'!$Y$36),"")</f>
        <v/>
      </c>
      <c r="AN32" s="80"/>
      <c r="AO32" s="483"/>
      <c r="AP32" s="484"/>
      <c r="AQ32" s="484"/>
      <c r="AR32" s="484"/>
      <c r="AS32" s="484"/>
      <c r="AT32" s="485"/>
      <c r="AU32" s="80"/>
      <c r="AV32" s="80"/>
      <c r="AW32" s="80"/>
      <c r="AX32" s="80"/>
      <c r="AY32" s="80"/>
      <c r="AZ32" s="80"/>
      <c r="BA32" s="80"/>
      <c r="BB32" s="80"/>
      <c r="BC32" s="80"/>
      <c r="BD32" s="80"/>
      <c r="BE32" s="80"/>
      <c r="BF32" s="80"/>
      <c r="BG32" s="80"/>
      <c r="BH32" s="80"/>
      <c r="BI32" s="80"/>
      <c r="BJ32" s="80"/>
      <c r="BK32" s="80"/>
      <c r="BL32" s="80"/>
      <c r="BM32" s="80"/>
      <c r="BN32" s="80"/>
      <c r="BO32" s="80"/>
      <c r="BP32" s="80"/>
      <c r="BQ32" s="80"/>
      <c r="BR32" s="80"/>
      <c r="BS32" s="80"/>
      <c r="BT32" s="80"/>
      <c r="BU32" s="80"/>
      <c r="BV32" s="80"/>
      <c r="BW32" s="80"/>
      <c r="BX32" s="80"/>
    </row>
    <row r="33" spans="1:80" ht="15" customHeight="1" x14ac:dyDescent="0.25">
      <c r="A33" s="80"/>
      <c r="B33" s="402"/>
      <c r="C33" s="402"/>
      <c r="D33" s="403"/>
      <c r="E33" s="443"/>
      <c r="F33" s="444"/>
      <c r="G33" s="444"/>
      <c r="H33" s="444"/>
      <c r="I33" s="445"/>
      <c r="J33" s="64" t="str">
        <f>IF(AND('Mapa final'!$AI$37="Media",'Mapa final'!$AK$37="Leve"),CONCATENATE("R8C",'Mapa final'!$Y$37),"")</f>
        <v/>
      </c>
      <c r="K33" s="65" t="str">
        <f>IF(AND('Mapa final'!$AI$38="Media",'Mapa final'!$AK$38="Leve"),CONCATENATE("R8C",'Mapa final'!$Y$38),"")</f>
        <v/>
      </c>
      <c r="L33" s="65" t="str">
        <f>IF(AND('Mapa final'!$AI$39="Media",'Mapa final'!$AK$39="Leve"),CONCATENATE("R8C",'Mapa final'!$Y$39),"")</f>
        <v/>
      </c>
      <c r="M33" s="65" t="str">
        <f>IF(AND('Mapa final'!$AI$40="Media",'Mapa final'!$AK$40="Leve"),CONCATENATE("R8C",'Mapa final'!$Y$40),"")</f>
        <v/>
      </c>
      <c r="N33" s="65" t="str">
        <f>IF(AND('Mapa final'!$AI$41="Media",'Mapa final'!$AK$41="Leve"),CONCATENATE("R8C",'Mapa final'!$Y$41),"")</f>
        <v/>
      </c>
      <c r="O33" s="66" t="str">
        <f>IF(AND('Mapa final'!$AI$42="Media",'Mapa final'!$AK$42="Leve"),CONCATENATE("R8C",'Mapa final'!$Y$42),"")</f>
        <v/>
      </c>
      <c r="P33" s="64" t="str">
        <f>IF(AND('Mapa final'!$AI$37="Media",'Mapa final'!$AK$37="Menor"),CONCATENATE("R8C",'Mapa final'!$Y$37),"")</f>
        <v/>
      </c>
      <c r="Q33" s="65" t="str">
        <f>IF(AND('Mapa final'!$AI$38="Media",'Mapa final'!$AK$38="Menor"),CONCATENATE("R8C",'Mapa final'!$Y$38),"")</f>
        <v/>
      </c>
      <c r="R33" s="65" t="str">
        <f>IF(AND('Mapa final'!$AI$39="Media",'Mapa final'!$AK$39="Menor"),CONCATENATE("R8C",'Mapa final'!$Y$39),"")</f>
        <v/>
      </c>
      <c r="S33" s="65" t="str">
        <f>IF(AND('Mapa final'!$AI$40="Media",'Mapa final'!$AK$40="Menor"),CONCATENATE("R8C",'Mapa final'!$Y$40),"")</f>
        <v/>
      </c>
      <c r="T33" s="65" t="str">
        <f>IF(AND('Mapa final'!$AI$41="Media",'Mapa final'!$AK$41="Menor"),CONCATENATE("R8C",'Mapa final'!$Y$41),"")</f>
        <v/>
      </c>
      <c r="U33" s="66" t="str">
        <f>IF(AND('Mapa final'!$AI$42="Media",'Mapa final'!$AK$42="Menor"),CONCATENATE("R8C",'Mapa final'!$Y$42),"")</f>
        <v/>
      </c>
      <c r="V33" s="64" t="str">
        <f>IF(AND('Mapa final'!$AI$37="Media",'Mapa final'!$AK$37="Moderado"),CONCATENATE("R8C",'Mapa final'!$Y$37),"")</f>
        <v/>
      </c>
      <c r="W33" s="65" t="str">
        <f>IF(AND('Mapa final'!$AI$38="Media",'Mapa final'!$AK$38="Moderado"),CONCATENATE("R8C",'Mapa final'!$Y$38),"")</f>
        <v/>
      </c>
      <c r="X33" s="65" t="str">
        <f>IF(AND('Mapa final'!$AI$39="Media",'Mapa final'!$AK$39="Moderado"),CONCATENATE("R8C",'Mapa final'!$Y$39),"")</f>
        <v/>
      </c>
      <c r="Y33" s="65" t="str">
        <f>IF(AND('Mapa final'!$AI$40="Media",'Mapa final'!$AK$40="Moderado"),CONCATENATE("R8C",'Mapa final'!$Y$40),"")</f>
        <v/>
      </c>
      <c r="Z33" s="65" t="str">
        <f>IF(AND('Mapa final'!$AI$41="Media",'Mapa final'!$AK$41="Moderado"),CONCATENATE("R8C",'Mapa final'!$Y$41),"")</f>
        <v/>
      </c>
      <c r="AA33" s="66" t="str">
        <f>IF(AND('Mapa final'!$AI$42="Media",'Mapa final'!$AK$42="Moderado"),CONCATENATE("R8C",'Mapa final'!$Y$42),"")</f>
        <v/>
      </c>
      <c r="AB33" s="49" t="str">
        <f>IF(AND('Mapa final'!$AI$37="Media",'Mapa final'!$AK$37="Mayor"),CONCATENATE("R8C",'Mapa final'!$Y$37),"")</f>
        <v/>
      </c>
      <c r="AC33" s="50" t="str">
        <f>IF(AND('Mapa final'!$AI$38="Media",'Mapa final'!$AK$38="Mayor"),CONCATENATE("R8C",'Mapa final'!$Y$38),"")</f>
        <v/>
      </c>
      <c r="AD33" s="50" t="str">
        <f>IF(AND('Mapa final'!$AI$39="Media",'Mapa final'!$AK$39="Mayor"),CONCATENATE("R8C",'Mapa final'!$Y$39),"")</f>
        <v/>
      </c>
      <c r="AE33" s="50" t="str">
        <f>IF(AND('Mapa final'!$AI$40="Media",'Mapa final'!$AK$40="Mayor"),CONCATENATE("R8C",'Mapa final'!$Y$40),"")</f>
        <v/>
      </c>
      <c r="AF33" s="50" t="str">
        <f>IF(AND('Mapa final'!$AI$41="Media",'Mapa final'!$AK$41="Mayor"),CONCATENATE("R8C",'Mapa final'!$Y$41),"")</f>
        <v/>
      </c>
      <c r="AG33" s="51" t="str">
        <f>IF(AND('Mapa final'!$AI$42="Media",'Mapa final'!$AK$42="Mayor"),CONCATENATE("R8C",'Mapa final'!$Y$42),"")</f>
        <v/>
      </c>
      <c r="AH33" s="52" t="str">
        <f>IF(AND('Mapa final'!$AI$37="Media",'Mapa final'!$AK$37="Catastrófico"),CONCATENATE("R8C",'Mapa final'!$Y$37),"")</f>
        <v/>
      </c>
      <c r="AI33" s="53" t="str">
        <f>IF(AND('Mapa final'!$AI$38="Media",'Mapa final'!$AK$38="Catastrófico"),CONCATENATE("R8C",'Mapa final'!$Y$38),"")</f>
        <v/>
      </c>
      <c r="AJ33" s="53" t="str">
        <f>IF(AND('Mapa final'!$AI$39="Media",'Mapa final'!$AK$39="Catastrófico"),CONCATENATE("R8C",'Mapa final'!$Y$39),"")</f>
        <v/>
      </c>
      <c r="AK33" s="53" t="str">
        <f>IF(AND('Mapa final'!$AI$40="Media",'Mapa final'!$AK$40="Catastrófico"),CONCATENATE("R8C",'Mapa final'!$Y$40),"")</f>
        <v/>
      </c>
      <c r="AL33" s="53" t="str">
        <f>IF(AND('Mapa final'!$AI$41="Media",'Mapa final'!$AK$41="Catastrófico"),CONCATENATE("R8C",'Mapa final'!$Y$41),"")</f>
        <v/>
      </c>
      <c r="AM33" s="54" t="str">
        <f>IF(AND('Mapa final'!$AI$42="Media",'Mapa final'!$AK$42="Catastrófico"),CONCATENATE("R8C",'Mapa final'!$Y$42),"")</f>
        <v/>
      </c>
      <c r="AN33" s="80"/>
      <c r="AO33" s="483"/>
      <c r="AP33" s="484"/>
      <c r="AQ33" s="484"/>
      <c r="AR33" s="484"/>
      <c r="AS33" s="484"/>
      <c r="AT33" s="485"/>
      <c r="AU33" s="80"/>
      <c r="AV33" s="80"/>
      <c r="AW33" s="80"/>
      <c r="AX33" s="80"/>
      <c r="AY33" s="80"/>
      <c r="AZ33" s="80"/>
      <c r="BA33" s="80"/>
      <c r="BB33" s="80"/>
      <c r="BC33" s="80"/>
      <c r="BD33" s="80"/>
      <c r="BE33" s="80"/>
      <c r="BF33" s="80"/>
      <c r="BG33" s="80"/>
      <c r="BH33" s="80"/>
      <c r="BI33" s="80"/>
      <c r="BJ33" s="80"/>
      <c r="BK33" s="80"/>
      <c r="BL33" s="80"/>
      <c r="BM33" s="80"/>
      <c r="BN33" s="80"/>
      <c r="BO33" s="80"/>
      <c r="BP33" s="80"/>
      <c r="BQ33" s="80"/>
      <c r="BR33" s="80"/>
      <c r="BS33" s="80"/>
      <c r="BT33" s="80"/>
      <c r="BU33" s="80"/>
      <c r="BV33" s="80"/>
      <c r="BW33" s="80"/>
      <c r="BX33" s="80"/>
    </row>
    <row r="34" spans="1:80" ht="15" customHeight="1" x14ac:dyDescent="0.25">
      <c r="A34" s="80"/>
      <c r="B34" s="402"/>
      <c r="C34" s="402"/>
      <c r="D34" s="403"/>
      <c r="E34" s="443"/>
      <c r="F34" s="444"/>
      <c r="G34" s="444"/>
      <c r="H34" s="444"/>
      <c r="I34" s="445"/>
      <c r="J34" s="64" t="str">
        <f>IF(AND('Mapa final'!$AI$43="Media",'Mapa final'!$AK$43="Leve"),CONCATENATE("R9C",'Mapa final'!$Y$43),"")</f>
        <v/>
      </c>
      <c r="K34" s="65" t="str">
        <f>IF(AND('Mapa final'!$AI$44="Media",'Mapa final'!$AK$44="Leve"),CONCATENATE("R9C",'Mapa final'!$Y$44),"")</f>
        <v/>
      </c>
      <c r="L34" s="65" t="str">
        <f>IF(AND('Mapa final'!$AI$45="Media",'Mapa final'!$AK$45="Leve"),CONCATENATE("R9C",'Mapa final'!$Y$45),"")</f>
        <v/>
      </c>
      <c r="M34" s="65" t="str">
        <f>IF(AND('Mapa final'!$AI$46="Media",'Mapa final'!$AK$46="Leve"),CONCATENATE("R9C",'Mapa final'!$Y$46),"")</f>
        <v/>
      </c>
      <c r="N34" s="65" t="str">
        <f>IF(AND('Mapa final'!$AI$47="Media",'Mapa final'!$AK$47="Leve"),CONCATENATE("R9C",'Mapa final'!$Y$47),"")</f>
        <v/>
      </c>
      <c r="O34" s="66" t="str">
        <f>IF(AND('Mapa final'!$AI$48="Media",'Mapa final'!$AK$48="Leve"),CONCATENATE("R9C",'Mapa final'!$Y$48),"")</f>
        <v/>
      </c>
      <c r="P34" s="64" t="str">
        <f>IF(AND('Mapa final'!$AI$43="Media",'Mapa final'!$AK$43="Menor"),CONCATENATE("R9C",'Mapa final'!$Y$43),"")</f>
        <v/>
      </c>
      <c r="Q34" s="65" t="str">
        <f>IF(AND('Mapa final'!$AI$44="Media",'Mapa final'!$AK$44="Menor"),CONCATENATE("R9C",'Mapa final'!$Y$44),"")</f>
        <v/>
      </c>
      <c r="R34" s="65" t="str">
        <f>IF(AND('Mapa final'!$AI$45="Media",'Mapa final'!$AK$45="Menor"),CONCATENATE("R9C",'Mapa final'!$Y$45),"")</f>
        <v/>
      </c>
      <c r="S34" s="65" t="str">
        <f>IF(AND('Mapa final'!$AI$46="Media",'Mapa final'!$AK$46="Menor"),CONCATENATE("R9C",'Mapa final'!$Y$46),"")</f>
        <v/>
      </c>
      <c r="T34" s="65" t="str">
        <f>IF(AND('Mapa final'!$AI$47="Media",'Mapa final'!$AK$47="Menor"),CONCATENATE("R9C",'Mapa final'!$Y$47),"")</f>
        <v/>
      </c>
      <c r="U34" s="66" t="str">
        <f>IF(AND('Mapa final'!$AI$48="Media",'Mapa final'!$AK$48="Menor"),CONCATENATE("R9C",'Mapa final'!$Y$48),"")</f>
        <v/>
      </c>
      <c r="V34" s="64" t="str">
        <f>IF(AND('Mapa final'!$AI$43="Media",'Mapa final'!$AK$43="Moderado"),CONCATENATE("R9C",'Mapa final'!$Y$43),"")</f>
        <v/>
      </c>
      <c r="W34" s="65" t="str">
        <f>IF(AND('Mapa final'!$AI$44="Media",'Mapa final'!$AK$44="Moderado"),CONCATENATE("R9C",'Mapa final'!$Y$44),"")</f>
        <v/>
      </c>
      <c r="X34" s="65" t="str">
        <f>IF(AND('Mapa final'!$AI$45="Media",'Mapa final'!$AK$45="Moderado"),CONCATENATE("R9C",'Mapa final'!$Y$45),"")</f>
        <v/>
      </c>
      <c r="Y34" s="65" t="str">
        <f>IF(AND('Mapa final'!$AI$46="Media",'Mapa final'!$AK$46="Moderado"),CONCATENATE("R9C",'Mapa final'!$Y$46),"")</f>
        <v/>
      </c>
      <c r="Z34" s="65" t="str">
        <f>IF(AND('Mapa final'!$AI$47="Media",'Mapa final'!$AK$47="Moderado"),CONCATENATE("R9C",'Mapa final'!$Y$47),"")</f>
        <v/>
      </c>
      <c r="AA34" s="66" t="str">
        <f>IF(AND('Mapa final'!$AI$48="Media",'Mapa final'!$AK$48="Moderado"),CONCATENATE("R9C",'Mapa final'!$Y$48),"")</f>
        <v/>
      </c>
      <c r="AB34" s="49" t="str">
        <f>IF(AND('Mapa final'!$AI$43="Media",'Mapa final'!$AK$43="Mayor"),CONCATENATE("R9C",'Mapa final'!$Y$43),"")</f>
        <v/>
      </c>
      <c r="AC34" s="50" t="str">
        <f>IF(AND('Mapa final'!$AI$44="Media",'Mapa final'!$AK$44="Mayor"),CONCATENATE("R9C",'Mapa final'!$Y$44),"")</f>
        <v/>
      </c>
      <c r="AD34" s="50" t="str">
        <f>IF(AND('Mapa final'!$AI$45="Media",'Mapa final'!$AK$45="Mayor"),CONCATENATE("R9C",'Mapa final'!$Y$45),"")</f>
        <v/>
      </c>
      <c r="AE34" s="50" t="str">
        <f>IF(AND('Mapa final'!$AI$46="Media",'Mapa final'!$AK$46="Mayor"),CONCATENATE("R9C",'Mapa final'!$Y$46),"")</f>
        <v/>
      </c>
      <c r="AF34" s="50" t="str">
        <f>IF(AND('Mapa final'!$AI$47="Media",'Mapa final'!$AK$47="Mayor"),CONCATENATE("R9C",'Mapa final'!$Y$47),"")</f>
        <v/>
      </c>
      <c r="AG34" s="51" t="str">
        <f>IF(AND('Mapa final'!$AI$48="Media",'Mapa final'!$AK$48="Mayor"),CONCATENATE("R9C",'Mapa final'!$Y$48),"")</f>
        <v/>
      </c>
      <c r="AH34" s="52" t="str">
        <f>IF(AND('Mapa final'!$AI$43="Media",'Mapa final'!$AK$43="Catastrófico"),CONCATENATE("R9C",'Mapa final'!$Y$43),"")</f>
        <v/>
      </c>
      <c r="AI34" s="53" t="str">
        <f>IF(AND('Mapa final'!$AI$44="Media",'Mapa final'!$AK$44="Catastrófico"),CONCATENATE("R9C",'Mapa final'!$Y$44),"")</f>
        <v/>
      </c>
      <c r="AJ34" s="53" t="str">
        <f>IF(AND('Mapa final'!$AI$45="Media",'Mapa final'!$AK$45="Catastrófico"),CONCATENATE("R9C",'Mapa final'!$Y$45),"")</f>
        <v/>
      </c>
      <c r="AK34" s="53" t="str">
        <f>IF(AND('Mapa final'!$AI$46="Media",'Mapa final'!$AK$46="Catastrófico"),CONCATENATE("R9C",'Mapa final'!$Y$46),"")</f>
        <v/>
      </c>
      <c r="AL34" s="53" t="str">
        <f>IF(AND('Mapa final'!$AI$47="Media",'Mapa final'!$AK$47="Catastrófico"),CONCATENATE("R9C",'Mapa final'!$Y$47),"")</f>
        <v/>
      </c>
      <c r="AM34" s="54" t="str">
        <f>IF(AND('Mapa final'!$AI$48="Media",'Mapa final'!$AK$48="Catastrófico"),CONCATENATE("R9C",'Mapa final'!$Y$48),"")</f>
        <v/>
      </c>
      <c r="AN34" s="80"/>
      <c r="AO34" s="483"/>
      <c r="AP34" s="484"/>
      <c r="AQ34" s="484"/>
      <c r="AR34" s="484"/>
      <c r="AS34" s="484"/>
      <c r="AT34" s="485"/>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row>
    <row r="35" spans="1:80" ht="15.75" customHeight="1" thickBot="1" x14ac:dyDescent="0.3">
      <c r="A35" s="80"/>
      <c r="B35" s="402"/>
      <c r="C35" s="402"/>
      <c r="D35" s="403"/>
      <c r="E35" s="446"/>
      <c r="F35" s="447"/>
      <c r="G35" s="447"/>
      <c r="H35" s="447"/>
      <c r="I35" s="448"/>
      <c r="J35" s="64" t="str">
        <f>IF(AND('Mapa final'!$AI$49="Media",'Mapa final'!$AK$49="Leve"),CONCATENATE("R10C",'Mapa final'!$Y$49),"")</f>
        <v/>
      </c>
      <c r="K35" s="65" t="str">
        <f>IF(AND('Mapa final'!$AI$50="Media",'Mapa final'!$AK$50="Leve"),CONCATENATE("R10C",'Mapa final'!$Y$50),"")</f>
        <v/>
      </c>
      <c r="L35" s="65" t="str">
        <f>IF(AND('Mapa final'!$AI$51="Media",'Mapa final'!$AK$51="Leve"),CONCATENATE("R10C",'Mapa final'!$Y$51),"")</f>
        <v/>
      </c>
      <c r="M35" s="65" t="str">
        <f>IF(AND('Mapa final'!$AI$52="Media",'Mapa final'!$AK$52="Leve"),CONCATENATE("R10C",'Mapa final'!$Y$52),"")</f>
        <v/>
      </c>
      <c r="N35" s="65" t="str">
        <f>IF(AND('Mapa final'!$AI$53="Media",'Mapa final'!$AK$53="Leve"),CONCATENATE("R10C",'Mapa final'!$Y$53),"")</f>
        <v/>
      </c>
      <c r="O35" s="66" t="str">
        <f>IF(AND('Mapa final'!$AI$54="Media",'Mapa final'!$AK$54="Leve"),CONCATENATE("R10C",'Mapa final'!$Y$54),"")</f>
        <v/>
      </c>
      <c r="P35" s="64" t="str">
        <f>IF(AND('Mapa final'!$AI$49="Media",'Mapa final'!$AK$49="Menor"),CONCATENATE("R10C",'Mapa final'!$Y$49),"")</f>
        <v/>
      </c>
      <c r="Q35" s="65" t="str">
        <f>IF(AND('Mapa final'!$AI$50="Media",'Mapa final'!$AK$50="Menor"),CONCATENATE("R10C",'Mapa final'!$Y$50),"")</f>
        <v/>
      </c>
      <c r="R35" s="65" t="str">
        <f>IF(AND('Mapa final'!$AI$51="Media",'Mapa final'!$AK$51="Menor"),CONCATENATE("R10C",'Mapa final'!$Y$51),"")</f>
        <v/>
      </c>
      <c r="S35" s="65" t="str">
        <f>IF(AND('Mapa final'!$AI$52="Media",'Mapa final'!$AK$52="Menor"),CONCATENATE("R10C",'Mapa final'!$Y$52),"")</f>
        <v/>
      </c>
      <c r="T35" s="65" t="str">
        <f>IF(AND('Mapa final'!$AI$53="Media",'Mapa final'!$AK$53="Menor"),CONCATENATE("R10C",'Mapa final'!$Y$53),"")</f>
        <v/>
      </c>
      <c r="U35" s="66" t="str">
        <f>IF(AND('Mapa final'!$AI$54="Media",'Mapa final'!$AK$54="Menor"),CONCATENATE("R10C",'Mapa final'!$Y$54),"")</f>
        <v/>
      </c>
      <c r="V35" s="64" t="str">
        <f>IF(AND('Mapa final'!$AI$49="Media",'Mapa final'!$AK$49="Moderado"),CONCATENATE("R10C",'Mapa final'!$Y$49),"")</f>
        <v/>
      </c>
      <c r="W35" s="65" t="str">
        <f>IF(AND('Mapa final'!$AI$50="Media",'Mapa final'!$AK$50="Moderado"),CONCATENATE("R10C",'Mapa final'!$Y$50),"")</f>
        <v/>
      </c>
      <c r="X35" s="65" t="str">
        <f>IF(AND('Mapa final'!$AI$51="Media",'Mapa final'!$AK$51="Moderado"),CONCATENATE("R10C",'Mapa final'!$Y$51),"")</f>
        <v/>
      </c>
      <c r="Y35" s="65" t="str">
        <f>IF(AND('Mapa final'!$AI$52="Media",'Mapa final'!$AK$52="Moderado"),CONCATENATE("R10C",'Mapa final'!$Y$52),"")</f>
        <v/>
      </c>
      <c r="Z35" s="65" t="str">
        <f>IF(AND('Mapa final'!$AI$53="Media",'Mapa final'!$AK$53="Moderado"),CONCATENATE("R10C",'Mapa final'!$Y$53),"")</f>
        <v/>
      </c>
      <c r="AA35" s="66" t="str">
        <f>IF(AND('Mapa final'!$AI$54="Media",'Mapa final'!$AK$54="Moderado"),CONCATENATE("R10C",'Mapa final'!$Y$54),"")</f>
        <v/>
      </c>
      <c r="AB35" s="55" t="str">
        <f>IF(AND('Mapa final'!$AI$49="Media",'Mapa final'!$AK$49="Mayor"),CONCATENATE("R10C",'Mapa final'!$Y$49),"")</f>
        <v/>
      </c>
      <c r="AC35" s="56" t="str">
        <f>IF(AND('Mapa final'!$AI$50="Media",'Mapa final'!$AK$50="Mayor"),CONCATENATE("R10C",'Mapa final'!$Y$50),"")</f>
        <v/>
      </c>
      <c r="AD35" s="56" t="str">
        <f>IF(AND('Mapa final'!$AI$51="Media",'Mapa final'!$AK$51="Mayor"),CONCATENATE("R10C",'Mapa final'!$Y$51),"")</f>
        <v/>
      </c>
      <c r="AE35" s="56" t="str">
        <f>IF(AND('Mapa final'!$AI$52="Media",'Mapa final'!$AK$52="Mayor"),CONCATENATE("R10C",'Mapa final'!$Y$52),"")</f>
        <v/>
      </c>
      <c r="AF35" s="56" t="str">
        <f>IF(AND('Mapa final'!$AI$53="Media",'Mapa final'!$AK$53="Mayor"),CONCATENATE("R10C",'Mapa final'!$Y$53),"")</f>
        <v/>
      </c>
      <c r="AG35" s="57" t="str">
        <f>IF(AND('Mapa final'!$AI$54="Media",'Mapa final'!$AK$54="Mayor"),CONCATENATE("R10C",'Mapa final'!$Y$54),"")</f>
        <v/>
      </c>
      <c r="AH35" s="58" t="str">
        <f>IF(AND('Mapa final'!$AI$49="Media",'Mapa final'!$AK$49="Catastrófico"),CONCATENATE("R10C",'Mapa final'!$Y$49),"")</f>
        <v/>
      </c>
      <c r="AI35" s="59" t="str">
        <f>IF(AND('Mapa final'!$AI$50="Media",'Mapa final'!$AK$50="Catastrófico"),CONCATENATE("R10C",'Mapa final'!$Y$50),"")</f>
        <v/>
      </c>
      <c r="AJ35" s="59" t="str">
        <f>IF(AND('Mapa final'!$AI$51="Media",'Mapa final'!$AK$51="Catastrófico"),CONCATENATE("R10C",'Mapa final'!$Y$51),"")</f>
        <v/>
      </c>
      <c r="AK35" s="59" t="str">
        <f>IF(AND('Mapa final'!$AI$52="Media",'Mapa final'!$AK$52="Catastrófico"),CONCATENATE("R10C",'Mapa final'!$Y$52),"")</f>
        <v/>
      </c>
      <c r="AL35" s="59" t="str">
        <f>IF(AND('Mapa final'!$AI$53="Media",'Mapa final'!$AK$53="Catastrófico"),CONCATENATE("R10C",'Mapa final'!$Y$53),"")</f>
        <v/>
      </c>
      <c r="AM35" s="60" t="str">
        <f>IF(AND('Mapa final'!$AI$54="Media",'Mapa final'!$AK$54="Catastrófico"),CONCATENATE("R10C",'Mapa final'!$Y$54),"")</f>
        <v/>
      </c>
      <c r="AN35" s="80"/>
      <c r="AO35" s="486"/>
      <c r="AP35" s="487"/>
      <c r="AQ35" s="487"/>
      <c r="AR35" s="487"/>
      <c r="AS35" s="487"/>
      <c r="AT35" s="488"/>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row>
    <row r="36" spans="1:80" ht="15" customHeight="1" x14ac:dyDescent="0.25">
      <c r="A36" s="80"/>
      <c r="B36" s="402"/>
      <c r="C36" s="402"/>
      <c r="D36" s="403"/>
      <c r="E36" s="440" t="s">
        <v>144</v>
      </c>
      <c r="F36" s="441"/>
      <c r="G36" s="441"/>
      <c r="H36" s="441"/>
      <c r="I36" s="441"/>
      <c r="J36" s="70" t="str">
        <f>IF(AND('Mapa final'!$AI$11="Baja",'Mapa final'!$AK$11="Leve"),CONCATENATE("R1C",'Mapa final'!$Y$11),"")</f>
        <v/>
      </c>
      <c r="K36" s="71" t="e">
        <f>IF(AND('Mapa final'!#REF!="Baja",'Mapa final'!#REF!="Leve"),CONCATENATE("R1C",'Mapa final'!#REF!),"")</f>
        <v>#REF!</v>
      </c>
      <c r="L36" s="71" t="e">
        <f>IF(AND('Mapa final'!#REF!="Baja",'Mapa final'!#REF!="Leve"),CONCATENATE("R1C",'Mapa final'!#REF!),"")</f>
        <v>#REF!</v>
      </c>
      <c r="M36" s="71" t="e">
        <f>IF(AND('Mapa final'!#REF!="Baja",'Mapa final'!#REF!="Leve"),CONCATENATE("R1C",'Mapa final'!#REF!),"")</f>
        <v>#REF!</v>
      </c>
      <c r="N36" s="71" t="e">
        <f>IF(AND('Mapa final'!#REF!="Baja",'Mapa final'!#REF!="Leve"),CONCATENATE("R1C",'Mapa final'!#REF!),"")</f>
        <v>#REF!</v>
      </c>
      <c r="O36" s="72" t="e">
        <f>IF(AND('Mapa final'!#REF!="Baja",'Mapa final'!#REF!="Leve"),CONCATENATE("R1C",'Mapa final'!#REF!),"")</f>
        <v>#REF!</v>
      </c>
      <c r="P36" s="61" t="str">
        <f>IF(AND('Mapa final'!$AI$11="Baja",'Mapa final'!$AK$11="Menor"),CONCATENATE("R1C",'Mapa final'!$Y$11),"")</f>
        <v/>
      </c>
      <c r="Q36" s="62" t="e">
        <f>IF(AND('Mapa final'!#REF!="Baja",'Mapa final'!#REF!="Menor"),CONCATENATE("R1C",'Mapa final'!#REF!),"")</f>
        <v>#REF!</v>
      </c>
      <c r="R36" s="62" t="e">
        <f>IF(AND('Mapa final'!#REF!="Baja",'Mapa final'!#REF!="Menor"),CONCATENATE("R1C",'Mapa final'!#REF!),"")</f>
        <v>#REF!</v>
      </c>
      <c r="S36" s="62" t="e">
        <f>IF(AND('Mapa final'!#REF!="Baja",'Mapa final'!#REF!="Menor"),CONCATENATE("R1C",'Mapa final'!#REF!),"")</f>
        <v>#REF!</v>
      </c>
      <c r="T36" s="62" t="e">
        <f>IF(AND('Mapa final'!#REF!="Baja",'Mapa final'!#REF!="Menor"),CONCATENATE("R1C",'Mapa final'!#REF!),"")</f>
        <v>#REF!</v>
      </c>
      <c r="U36" s="63" t="e">
        <f>IF(AND('Mapa final'!#REF!="Baja",'Mapa final'!#REF!="Menor"),CONCATENATE("R1C",'Mapa final'!#REF!),"")</f>
        <v>#REF!</v>
      </c>
      <c r="V36" s="61" t="str">
        <f>IF(AND('Mapa final'!$AI$11="Baja",'Mapa final'!$AK$11="Moderado"),CONCATENATE("R1C",'Mapa final'!$Y$11),"")</f>
        <v/>
      </c>
      <c r="W36" s="62" t="e">
        <f>IF(AND('Mapa final'!#REF!="Baja",'Mapa final'!#REF!="Moderado"),CONCATENATE("R1C",'Mapa final'!#REF!),"")</f>
        <v>#REF!</v>
      </c>
      <c r="X36" s="62" t="e">
        <f>IF(AND('Mapa final'!#REF!="Baja",'Mapa final'!#REF!="Moderado"),CONCATENATE("R1C",'Mapa final'!#REF!),"")</f>
        <v>#REF!</v>
      </c>
      <c r="Y36" s="62" t="e">
        <f>IF(AND('Mapa final'!#REF!="Baja",'Mapa final'!#REF!="Moderado"),CONCATENATE("R1C",'Mapa final'!#REF!),"")</f>
        <v>#REF!</v>
      </c>
      <c r="Z36" s="62" t="e">
        <f>IF(AND('Mapa final'!#REF!="Baja",'Mapa final'!#REF!="Moderado"),CONCATENATE("R1C",'Mapa final'!#REF!),"")</f>
        <v>#REF!</v>
      </c>
      <c r="AA36" s="63" t="e">
        <f>IF(AND('Mapa final'!#REF!="Baja",'Mapa final'!#REF!="Moderado"),CONCATENATE("R1C",'Mapa final'!#REF!),"")</f>
        <v>#REF!</v>
      </c>
      <c r="AB36" s="43" t="str">
        <f>IF(AND('Mapa final'!$AI$11="Baja",'Mapa final'!$AK$11="Mayor"),CONCATENATE("R1C",'Mapa final'!$Y$11),"")</f>
        <v>R1C1</v>
      </c>
      <c r="AC36" s="44" t="e">
        <f>IF(AND('Mapa final'!#REF!="Baja",'Mapa final'!#REF!="Mayor"),CONCATENATE("R1C",'Mapa final'!#REF!),"")</f>
        <v>#REF!</v>
      </c>
      <c r="AD36" s="44" t="e">
        <f>IF(AND('Mapa final'!#REF!="Baja",'Mapa final'!#REF!="Mayor"),CONCATENATE("R1C",'Mapa final'!#REF!),"")</f>
        <v>#REF!</v>
      </c>
      <c r="AE36" s="44" t="e">
        <f>IF(AND('Mapa final'!#REF!="Baja",'Mapa final'!#REF!="Mayor"),CONCATENATE("R1C",'Mapa final'!#REF!),"")</f>
        <v>#REF!</v>
      </c>
      <c r="AF36" s="44" t="e">
        <f>IF(AND('Mapa final'!#REF!="Baja",'Mapa final'!#REF!="Mayor"),CONCATENATE("R1C",'Mapa final'!#REF!),"")</f>
        <v>#REF!</v>
      </c>
      <c r="AG36" s="45" t="e">
        <f>IF(AND('Mapa final'!#REF!="Baja",'Mapa final'!#REF!="Mayor"),CONCATENATE("R1C",'Mapa final'!#REF!),"")</f>
        <v>#REF!</v>
      </c>
      <c r="AH36" s="46" t="str">
        <f>IF(AND('Mapa final'!$AI$11="Baja",'Mapa final'!$AK$11="Catastrófico"),CONCATENATE("R1C",'Mapa final'!$Y$11),"")</f>
        <v/>
      </c>
      <c r="AI36" s="47" t="e">
        <f>IF(AND('Mapa final'!#REF!="Baja",'Mapa final'!#REF!="Catastrófico"),CONCATENATE("R1C",'Mapa final'!#REF!),"")</f>
        <v>#REF!</v>
      </c>
      <c r="AJ36" s="47" t="e">
        <f>IF(AND('Mapa final'!#REF!="Baja",'Mapa final'!#REF!="Catastrófico"),CONCATENATE("R1C",'Mapa final'!#REF!),"")</f>
        <v>#REF!</v>
      </c>
      <c r="AK36" s="47" t="e">
        <f>IF(AND('Mapa final'!#REF!="Baja",'Mapa final'!#REF!="Catastrófico"),CONCATENATE("R1C",'Mapa final'!#REF!),"")</f>
        <v>#REF!</v>
      </c>
      <c r="AL36" s="47" t="e">
        <f>IF(AND('Mapa final'!#REF!="Baja",'Mapa final'!#REF!="Catastrófico"),CONCATENATE("R1C",'Mapa final'!#REF!),"")</f>
        <v>#REF!</v>
      </c>
      <c r="AM36" s="48" t="e">
        <f>IF(AND('Mapa final'!#REF!="Baja",'Mapa final'!#REF!="Catastrófico"),CONCATENATE("R1C",'Mapa final'!#REF!),"")</f>
        <v>#REF!</v>
      </c>
      <c r="AN36" s="80"/>
      <c r="AO36" s="471" t="s">
        <v>145</v>
      </c>
      <c r="AP36" s="472"/>
      <c r="AQ36" s="472"/>
      <c r="AR36" s="472"/>
      <c r="AS36" s="472"/>
      <c r="AT36" s="473"/>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row>
    <row r="37" spans="1:80" ht="15" customHeight="1" x14ac:dyDescent="0.25">
      <c r="A37" s="80"/>
      <c r="B37" s="402"/>
      <c r="C37" s="402"/>
      <c r="D37" s="403"/>
      <c r="E37" s="459"/>
      <c r="F37" s="444"/>
      <c r="G37" s="444"/>
      <c r="H37" s="444"/>
      <c r="I37" s="444"/>
      <c r="J37" s="73" t="str">
        <f>IF(AND('Mapa final'!$AI$12="Baja",'Mapa final'!$AK$12="Leve"),CONCATENATE("R2C",'Mapa final'!$Y$12),"")</f>
        <v/>
      </c>
      <c r="K37" s="74" t="str">
        <f>IF(AND('Mapa final'!$AI$13="Baja",'Mapa final'!$AK$13="Leve"),CONCATENATE("R2C",'Mapa final'!$Y$13),"")</f>
        <v/>
      </c>
      <c r="L37" s="74" t="e">
        <f>IF(AND('Mapa final'!#REF!="Baja",'Mapa final'!#REF!="Leve"),CONCATENATE("R2C",'Mapa final'!#REF!),"")</f>
        <v>#REF!</v>
      </c>
      <c r="M37" s="74" t="e">
        <f>IF(AND('Mapa final'!#REF!="Baja",'Mapa final'!#REF!="Leve"),CONCATENATE("R2C",'Mapa final'!#REF!),"")</f>
        <v>#REF!</v>
      </c>
      <c r="N37" s="74" t="e">
        <f>IF(AND('Mapa final'!#REF!="Baja",'Mapa final'!#REF!="Leve"),CONCATENATE("R2C",'Mapa final'!#REF!),"")</f>
        <v>#REF!</v>
      </c>
      <c r="O37" s="75" t="e">
        <f>IF(AND('Mapa final'!#REF!="Baja",'Mapa final'!#REF!="Leve"),CONCATENATE("R2C",'Mapa final'!#REF!),"")</f>
        <v>#REF!</v>
      </c>
      <c r="P37" s="64" t="str">
        <f>IF(AND('Mapa final'!$AI$12="Baja",'Mapa final'!$AK$12="Menor"),CONCATENATE("R2C",'Mapa final'!$Y$12),"")</f>
        <v>R2C1</v>
      </c>
      <c r="Q37" s="65" t="str">
        <f>IF(AND('Mapa final'!$AI$13="Baja",'Mapa final'!$AK$13="Menor"),CONCATENATE("R2C",'Mapa final'!$Y$13),"")</f>
        <v/>
      </c>
      <c r="R37" s="65" t="e">
        <f>IF(AND('Mapa final'!#REF!="Baja",'Mapa final'!#REF!="Menor"),CONCATENATE("R2C",'Mapa final'!#REF!),"")</f>
        <v>#REF!</v>
      </c>
      <c r="S37" s="65" t="e">
        <f>IF(AND('Mapa final'!#REF!="Baja",'Mapa final'!#REF!="Menor"),CONCATENATE("R2C",'Mapa final'!#REF!),"")</f>
        <v>#REF!</v>
      </c>
      <c r="T37" s="65" t="e">
        <f>IF(AND('Mapa final'!#REF!="Baja",'Mapa final'!#REF!="Menor"),CONCATENATE("R2C",'Mapa final'!#REF!),"")</f>
        <v>#REF!</v>
      </c>
      <c r="U37" s="66" t="e">
        <f>IF(AND('Mapa final'!#REF!="Baja",'Mapa final'!#REF!="Menor"),CONCATENATE("R2C",'Mapa final'!#REF!),"")</f>
        <v>#REF!</v>
      </c>
      <c r="V37" s="64" t="str">
        <f>IF(AND('Mapa final'!$AI$12="Baja",'Mapa final'!$AK$12="Moderado"),CONCATENATE("R2C",'Mapa final'!$Y$12),"")</f>
        <v/>
      </c>
      <c r="W37" s="65" t="str">
        <f>IF(AND('Mapa final'!$AI$13="Baja",'Mapa final'!$AK$13="Moderado"),CONCATENATE("R2C",'Mapa final'!$Y$13),"")</f>
        <v/>
      </c>
      <c r="X37" s="65" t="e">
        <f>IF(AND('Mapa final'!#REF!="Baja",'Mapa final'!#REF!="Moderado"),CONCATENATE("R2C",'Mapa final'!#REF!),"")</f>
        <v>#REF!</v>
      </c>
      <c r="Y37" s="65" t="e">
        <f>IF(AND('Mapa final'!#REF!="Baja",'Mapa final'!#REF!="Moderado"),CONCATENATE("R2C",'Mapa final'!#REF!),"")</f>
        <v>#REF!</v>
      </c>
      <c r="Z37" s="65" t="e">
        <f>IF(AND('Mapa final'!#REF!="Baja",'Mapa final'!#REF!="Moderado"),CONCATENATE("R2C",'Mapa final'!#REF!),"")</f>
        <v>#REF!</v>
      </c>
      <c r="AA37" s="66" t="e">
        <f>IF(AND('Mapa final'!#REF!="Baja",'Mapa final'!#REF!="Moderado"),CONCATENATE("R2C",'Mapa final'!#REF!),"")</f>
        <v>#REF!</v>
      </c>
      <c r="AB37" s="49" t="str">
        <f>IF(AND('Mapa final'!$AI$12="Baja",'Mapa final'!$AK$12="Mayor"),CONCATENATE("R2C",'Mapa final'!$Y$12),"")</f>
        <v/>
      </c>
      <c r="AC37" s="50" t="str">
        <f>IF(AND('Mapa final'!$AI$13="Baja",'Mapa final'!$AK$13="Mayor"),CONCATENATE("R2C",'Mapa final'!$Y$13),"")</f>
        <v/>
      </c>
      <c r="AD37" s="50" t="e">
        <f>IF(AND('Mapa final'!#REF!="Baja",'Mapa final'!#REF!="Mayor"),CONCATENATE("R2C",'Mapa final'!#REF!),"")</f>
        <v>#REF!</v>
      </c>
      <c r="AE37" s="50" t="e">
        <f>IF(AND('Mapa final'!#REF!="Baja",'Mapa final'!#REF!="Mayor"),CONCATENATE("R2C",'Mapa final'!#REF!),"")</f>
        <v>#REF!</v>
      </c>
      <c r="AF37" s="50" t="e">
        <f>IF(AND('Mapa final'!#REF!="Baja",'Mapa final'!#REF!="Mayor"),CONCATENATE("R2C",'Mapa final'!#REF!),"")</f>
        <v>#REF!</v>
      </c>
      <c r="AG37" s="51" t="e">
        <f>IF(AND('Mapa final'!#REF!="Baja",'Mapa final'!#REF!="Mayor"),CONCATENATE("R2C",'Mapa final'!#REF!),"")</f>
        <v>#REF!</v>
      </c>
      <c r="AH37" s="52" t="str">
        <f>IF(AND('Mapa final'!$AI$12="Baja",'Mapa final'!$AK$12="Catastrófico"),CONCATENATE("R2C",'Mapa final'!$Y$12),"")</f>
        <v/>
      </c>
      <c r="AI37" s="53" t="str">
        <f>IF(AND('Mapa final'!$AI$13="Baja",'Mapa final'!$AK$13="Catastrófico"),CONCATENATE("R2C",'Mapa final'!$Y$13),"")</f>
        <v/>
      </c>
      <c r="AJ37" s="53" t="e">
        <f>IF(AND('Mapa final'!#REF!="Baja",'Mapa final'!#REF!="Catastrófico"),CONCATENATE("R2C",'Mapa final'!#REF!),"")</f>
        <v>#REF!</v>
      </c>
      <c r="AK37" s="53" t="e">
        <f>IF(AND('Mapa final'!#REF!="Baja",'Mapa final'!#REF!="Catastrófico"),CONCATENATE("R2C",'Mapa final'!#REF!),"")</f>
        <v>#REF!</v>
      </c>
      <c r="AL37" s="53" t="e">
        <f>IF(AND('Mapa final'!#REF!="Baja",'Mapa final'!#REF!="Catastrófico"),CONCATENATE("R2C",'Mapa final'!#REF!),"")</f>
        <v>#REF!</v>
      </c>
      <c r="AM37" s="54" t="e">
        <f>IF(AND('Mapa final'!#REF!="Baja",'Mapa final'!#REF!="Catastrófico"),CONCATENATE("R2C",'Mapa final'!#REF!),"")</f>
        <v>#REF!</v>
      </c>
      <c r="AN37" s="80"/>
      <c r="AO37" s="474"/>
      <c r="AP37" s="475"/>
      <c r="AQ37" s="475"/>
      <c r="AR37" s="475"/>
      <c r="AS37" s="475"/>
      <c r="AT37" s="476"/>
      <c r="AU37" s="80"/>
      <c r="AV37" s="80"/>
      <c r="AW37" s="80"/>
      <c r="AX37" s="80"/>
      <c r="AY37" s="80"/>
      <c r="AZ37" s="80"/>
      <c r="BA37" s="80"/>
      <c r="BB37" s="80"/>
      <c r="BC37" s="80"/>
      <c r="BD37" s="80"/>
      <c r="BE37" s="80"/>
      <c r="BF37" s="80"/>
      <c r="BG37" s="80"/>
      <c r="BH37" s="80"/>
      <c r="BI37" s="80"/>
      <c r="BJ37" s="80"/>
      <c r="BK37" s="80"/>
      <c r="BL37" s="80"/>
      <c r="BM37" s="80"/>
      <c r="BN37" s="80"/>
      <c r="BO37" s="80"/>
      <c r="BP37" s="80"/>
      <c r="BQ37" s="80"/>
      <c r="BR37" s="80"/>
      <c r="BS37" s="80"/>
      <c r="BT37" s="80"/>
      <c r="BU37" s="80"/>
      <c r="BV37" s="80"/>
      <c r="BW37" s="80"/>
      <c r="BX37" s="80"/>
    </row>
    <row r="38" spans="1:80" ht="15" customHeight="1" x14ac:dyDescent="0.25">
      <c r="A38" s="80"/>
      <c r="B38" s="402"/>
      <c r="C38" s="402"/>
      <c r="D38" s="403"/>
      <c r="E38" s="443"/>
      <c r="F38" s="444"/>
      <c r="G38" s="444"/>
      <c r="H38" s="444"/>
      <c r="I38" s="444"/>
      <c r="J38" s="73" t="str">
        <f>IF(AND('Mapa final'!$AI$14="Baja",'Mapa final'!$AK$14="Leve"),CONCATENATE("R3C",'Mapa final'!$Y$14),"")</f>
        <v/>
      </c>
      <c r="K38" s="74" t="str">
        <f>IF(AND('Mapa final'!$AI$15="Baja",'Mapa final'!$AK$15="Leve"),CONCATENATE("R3C",'Mapa final'!$Y$15),"")</f>
        <v/>
      </c>
      <c r="L38" s="74" t="e">
        <f>IF(AND('Mapa final'!#REF!="Baja",'Mapa final'!#REF!="Leve"),CONCATENATE("R3C",'Mapa final'!#REF!),"")</f>
        <v>#REF!</v>
      </c>
      <c r="M38" s="74" t="e">
        <f>IF(AND('Mapa final'!#REF!="Baja",'Mapa final'!#REF!="Leve"),CONCATENATE("R3C",'Mapa final'!#REF!),"")</f>
        <v>#REF!</v>
      </c>
      <c r="N38" s="74" t="e">
        <f>IF(AND('Mapa final'!#REF!="Baja",'Mapa final'!#REF!="Leve"),CONCATENATE("R3C",'Mapa final'!#REF!),"")</f>
        <v>#REF!</v>
      </c>
      <c r="O38" s="75" t="e">
        <f>IF(AND('Mapa final'!#REF!="Baja",'Mapa final'!#REF!="Leve"),CONCATENATE("R3C",'Mapa final'!#REF!),"")</f>
        <v>#REF!</v>
      </c>
      <c r="P38" s="64" t="str">
        <f>IF(AND('Mapa final'!$AI$14="Baja",'Mapa final'!$AK$14="Menor"),CONCATENATE("R3C",'Mapa final'!$Y$14),"")</f>
        <v/>
      </c>
      <c r="Q38" s="65" t="str">
        <f>IF(AND('Mapa final'!$AI$15="Baja",'Mapa final'!$AK$15="Menor"),CONCATENATE("R3C",'Mapa final'!$Y$15),"")</f>
        <v/>
      </c>
      <c r="R38" s="65" t="e">
        <f>IF(AND('Mapa final'!#REF!="Baja",'Mapa final'!#REF!="Menor"),CONCATENATE("R3C",'Mapa final'!#REF!),"")</f>
        <v>#REF!</v>
      </c>
      <c r="S38" s="65" t="e">
        <f>IF(AND('Mapa final'!#REF!="Baja",'Mapa final'!#REF!="Menor"),CONCATENATE("R3C",'Mapa final'!#REF!),"")</f>
        <v>#REF!</v>
      </c>
      <c r="T38" s="65" t="e">
        <f>IF(AND('Mapa final'!#REF!="Baja",'Mapa final'!#REF!="Menor"),CONCATENATE("R3C",'Mapa final'!#REF!),"")</f>
        <v>#REF!</v>
      </c>
      <c r="U38" s="66" t="e">
        <f>IF(AND('Mapa final'!#REF!="Baja",'Mapa final'!#REF!="Menor"),CONCATENATE("R3C",'Mapa final'!#REF!),"")</f>
        <v>#REF!</v>
      </c>
      <c r="V38" s="64" t="str">
        <f>IF(AND('Mapa final'!$AI$14="Baja",'Mapa final'!$AK$14="Moderado"),CONCATENATE("R3C",'Mapa final'!$Y$14),"")</f>
        <v/>
      </c>
      <c r="W38" s="65" t="str">
        <f>IF(AND('Mapa final'!$AI$15="Baja",'Mapa final'!$AK$15="Moderado"),CONCATENATE("R3C",'Mapa final'!$Y$15),"")</f>
        <v/>
      </c>
      <c r="X38" s="65" t="e">
        <f>IF(AND('Mapa final'!#REF!="Baja",'Mapa final'!#REF!="Moderado"),CONCATENATE("R3C",'Mapa final'!#REF!),"")</f>
        <v>#REF!</v>
      </c>
      <c r="Y38" s="65" t="e">
        <f>IF(AND('Mapa final'!#REF!="Baja",'Mapa final'!#REF!="Moderado"),CONCATENATE("R3C",'Mapa final'!#REF!),"")</f>
        <v>#REF!</v>
      </c>
      <c r="Z38" s="65" t="e">
        <f>IF(AND('Mapa final'!#REF!="Baja",'Mapa final'!#REF!="Moderado"),CONCATENATE("R3C",'Mapa final'!#REF!),"")</f>
        <v>#REF!</v>
      </c>
      <c r="AA38" s="66" t="e">
        <f>IF(AND('Mapa final'!#REF!="Baja",'Mapa final'!#REF!="Moderado"),CONCATENATE("R3C",'Mapa final'!#REF!),"")</f>
        <v>#REF!</v>
      </c>
      <c r="AB38" s="49" t="str">
        <f>IF(AND('Mapa final'!$AI$14="Baja",'Mapa final'!$AK$14="Mayor"),CONCATENATE("R3C",'Mapa final'!$Y$14),"")</f>
        <v/>
      </c>
      <c r="AC38" s="50" t="str">
        <f>IF(AND('Mapa final'!$AI$15="Baja",'Mapa final'!$AK$15="Mayor"),CONCATENATE("R3C",'Mapa final'!$Y$15),"")</f>
        <v/>
      </c>
      <c r="AD38" s="50" t="e">
        <f>IF(AND('Mapa final'!#REF!="Baja",'Mapa final'!#REF!="Mayor"),CONCATENATE("R3C",'Mapa final'!#REF!),"")</f>
        <v>#REF!</v>
      </c>
      <c r="AE38" s="50" t="e">
        <f>IF(AND('Mapa final'!#REF!="Baja",'Mapa final'!#REF!="Mayor"),CONCATENATE("R3C",'Mapa final'!#REF!),"")</f>
        <v>#REF!</v>
      </c>
      <c r="AF38" s="50" t="e">
        <f>IF(AND('Mapa final'!#REF!="Baja",'Mapa final'!#REF!="Mayor"),CONCATENATE("R3C",'Mapa final'!#REF!),"")</f>
        <v>#REF!</v>
      </c>
      <c r="AG38" s="51" t="e">
        <f>IF(AND('Mapa final'!#REF!="Baja",'Mapa final'!#REF!="Mayor"),CONCATENATE("R3C",'Mapa final'!#REF!),"")</f>
        <v>#REF!</v>
      </c>
      <c r="AH38" s="52" t="str">
        <f>IF(AND('Mapa final'!$AI$14="Baja",'Mapa final'!$AK$14="Catastrófico"),CONCATENATE("R3C",'Mapa final'!$Y$14),"")</f>
        <v>R3C1</v>
      </c>
      <c r="AI38" s="53" t="str">
        <f>IF(AND('Mapa final'!$AI$15="Baja",'Mapa final'!$AK$15="Catastrófico"),CONCATENATE("R3C",'Mapa final'!$Y$15),"")</f>
        <v/>
      </c>
      <c r="AJ38" s="53" t="e">
        <f>IF(AND('Mapa final'!#REF!="Baja",'Mapa final'!#REF!="Catastrófico"),CONCATENATE("R3C",'Mapa final'!#REF!),"")</f>
        <v>#REF!</v>
      </c>
      <c r="AK38" s="53" t="e">
        <f>IF(AND('Mapa final'!#REF!="Baja",'Mapa final'!#REF!="Catastrófico"),CONCATENATE("R3C",'Mapa final'!#REF!),"")</f>
        <v>#REF!</v>
      </c>
      <c r="AL38" s="53" t="e">
        <f>IF(AND('Mapa final'!#REF!="Baja",'Mapa final'!#REF!="Catastrófico"),CONCATENATE("R3C",'Mapa final'!#REF!),"")</f>
        <v>#REF!</v>
      </c>
      <c r="AM38" s="54" t="e">
        <f>IF(AND('Mapa final'!#REF!="Baja",'Mapa final'!#REF!="Catastrófico"),CONCATENATE("R3C",'Mapa final'!#REF!),"")</f>
        <v>#REF!</v>
      </c>
      <c r="AN38" s="80"/>
      <c r="AO38" s="474"/>
      <c r="AP38" s="475"/>
      <c r="AQ38" s="475"/>
      <c r="AR38" s="475"/>
      <c r="AS38" s="475"/>
      <c r="AT38" s="476"/>
      <c r="AU38" s="80"/>
      <c r="AV38" s="80"/>
      <c r="AW38" s="80"/>
      <c r="AX38" s="80"/>
      <c r="AY38" s="80"/>
      <c r="AZ38" s="80"/>
      <c r="BA38" s="80"/>
      <c r="BB38" s="80"/>
      <c r="BC38" s="80"/>
      <c r="BD38" s="80"/>
      <c r="BE38" s="80"/>
      <c r="BF38" s="80"/>
      <c r="BG38" s="80"/>
      <c r="BH38" s="80"/>
      <c r="BI38" s="80"/>
      <c r="BJ38" s="80"/>
      <c r="BK38" s="80"/>
      <c r="BL38" s="80"/>
      <c r="BM38" s="80"/>
      <c r="BN38" s="80"/>
      <c r="BO38" s="80"/>
      <c r="BP38" s="80"/>
      <c r="BQ38" s="80"/>
      <c r="BR38" s="80"/>
      <c r="BS38" s="80"/>
      <c r="BT38" s="80"/>
      <c r="BU38" s="80"/>
      <c r="BV38" s="80"/>
      <c r="BW38" s="80"/>
      <c r="BX38" s="80"/>
    </row>
    <row r="39" spans="1:80" ht="15" customHeight="1" x14ac:dyDescent="0.25">
      <c r="A39" s="80"/>
      <c r="B39" s="402"/>
      <c r="C39" s="402"/>
      <c r="D39" s="403"/>
      <c r="E39" s="443"/>
      <c r="F39" s="444"/>
      <c r="G39" s="444"/>
      <c r="H39" s="444"/>
      <c r="I39" s="444"/>
      <c r="J39" s="73" t="str">
        <f>IF(AND('Mapa final'!$AI$16="Baja",'Mapa final'!$AK$16="Leve"),CONCATENATE("R4C",'Mapa final'!$Y$16),"")</f>
        <v/>
      </c>
      <c r="K39" s="74" t="str">
        <f>IF(AND('Mapa final'!$AI$17="Baja",'Mapa final'!$AK$17="Leve"),CONCATENATE("R4C",'Mapa final'!$Y$17),"")</f>
        <v/>
      </c>
      <c r="L39" s="74" t="str">
        <f>IF(AND('Mapa final'!$AI$18="Baja",'Mapa final'!$AK$18="Leve"),CONCATENATE("R4C",'Mapa final'!$Y$18),"")</f>
        <v/>
      </c>
      <c r="M39" s="74" t="e">
        <f>IF(AND('Mapa final'!#REF!="Baja",'Mapa final'!#REF!="Leve"),CONCATENATE("R4C",'Mapa final'!#REF!),"")</f>
        <v>#REF!</v>
      </c>
      <c r="N39" s="74" t="e">
        <f>IF(AND('Mapa final'!#REF!="Baja",'Mapa final'!#REF!="Leve"),CONCATENATE("R4C",'Mapa final'!#REF!),"")</f>
        <v>#REF!</v>
      </c>
      <c r="O39" s="75" t="e">
        <f>IF(AND('Mapa final'!#REF!="Baja",'Mapa final'!#REF!="Leve"),CONCATENATE("R4C",'Mapa final'!#REF!),"")</f>
        <v>#REF!</v>
      </c>
      <c r="P39" s="64" t="str">
        <f>IF(AND('Mapa final'!$AI$16="Baja",'Mapa final'!$AK$16="Menor"),CONCATENATE("R4C",'Mapa final'!$Y$16),"")</f>
        <v/>
      </c>
      <c r="Q39" s="65" t="str">
        <f>IF(AND('Mapa final'!$AI$17="Baja",'Mapa final'!$AK$17="Menor"),CONCATENATE("R4C",'Mapa final'!$Y$17),"")</f>
        <v/>
      </c>
      <c r="R39" s="65" t="str">
        <f>IF(AND('Mapa final'!$AI$18="Baja",'Mapa final'!$AK$18="Menor"),CONCATENATE("R4C",'Mapa final'!$Y$18),"")</f>
        <v/>
      </c>
      <c r="S39" s="65" t="e">
        <f>IF(AND('Mapa final'!#REF!="Baja",'Mapa final'!#REF!="Menor"),CONCATENATE("R4C",'Mapa final'!#REF!),"")</f>
        <v>#REF!</v>
      </c>
      <c r="T39" s="65" t="e">
        <f>IF(AND('Mapa final'!#REF!="Baja",'Mapa final'!#REF!="Menor"),CONCATENATE("R4C",'Mapa final'!#REF!),"")</f>
        <v>#REF!</v>
      </c>
      <c r="U39" s="66" t="e">
        <f>IF(AND('Mapa final'!#REF!="Baja",'Mapa final'!#REF!="Menor"),CONCATENATE("R4C",'Mapa final'!#REF!),"")</f>
        <v>#REF!</v>
      </c>
      <c r="V39" s="64" t="str">
        <f>IF(AND('Mapa final'!$AI$16="Baja",'Mapa final'!$AK$16="Moderado"),CONCATENATE("R4C",'Mapa final'!$Y$16),"")</f>
        <v/>
      </c>
      <c r="W39" s="65" t="str">
        <f>IF(AND('Mapa final'!$AI$17="Baja",'Mapa final'!$AK$17="Moderado"),CONCATENATE("R4C",'Mapa final'!$Y$17),"")</f>
        <v/>
      </c>
      <c r="X39" s="65" t="str">
        <f>IF(AND('Mapa final'!$AI$18="Baja",'Mapa final'!$AK$18="Moderado"),CONCATENATE("R4C",'Mapa final'!$Y$18),"")</f>
        <v/>
      </c>
      <c r="Y39" s="65" t="e">
        <f>IF(AND('Mapa final'!#REF!="Baja",'Mapa final'!#REF!="Moderado"),CONCATENATE("R4C",'Mapa final'!#REF!),"")</f>
        <v>#REF!</v>
      </c>
      <c r="Z39" s="65" t="e">
        <f>IF(AND('Mapa final'!#REF!="Baja",'Mapa final'!#REF!="Moderado"),CONCATENATE("R4C",'Mapa final'!#REF!),"")</f>
        <v>#REF!</v>
      </c>
      <c r="AA39" s="66" t="e">
        <f>IF(AND('Mapa final'!#REF!="Baja",'Mapa final'!#REF!="Moderado"),CONCATENATE("R4C",'Mapa final'!#REF!),"")</f>
        <v>#REF!</v>
      </c>
      <c r="AB39" s="49" t="str">
        <f>IF(AND('Mapa final'!$AI$16="Baja",'Mapa final'!$AK$16="Mayor"),CONCATENATE("R4C",'Mapa final'!$Y$16),"")</f>
        <v/>
      </c>
      <c r="AC39" s="50" t="str">
        <f>IF(AND('Mapa final'!$AI$17="Baja",'Mapa final'!$AK$17="Mayor"),CONCATENATE("R4C",'Mapa final'!$Y$17),"")</f>
        <v/>
      </c>
      <c r="AD39" s="50" t="str">
        <f>IF(AND('Mapa final'!$AI$18="Baja",'Mapa final'!$AK$18="Mayor"),CONCATENATE("R4C",'Mapa final'!$Y$18),"")</f>
        <v/>
      </c>
      <c r="AE39" s="50" t="e">
        <f>IF(AND('Mapa final'!#REF!="Baja",'Mapa final'!#REF!="Mayor"),CONCATENATE("R4C",'Mapa final'!#REF!),"")</f>
        <v>#REF!</v>
      </c>
      <c r="AF39" s="50" t="e">
        <f>IF(AND('Mapa final'!#REF!="Baja",'Mapa final'!#REF!="Mayor"),CONCATENATE("R4C",'Mapa final'!#REF!),"")</f>
        <v>#REF!</v>
      </c>
      <c r="AG39" s="51" t="e">
        <f>IF(AND('Mapa final'!#REF!="Baja",'Mapa final'!#REF!="Mayor"),CONCATENATE("R4C",'Mapa final'!#REF!),"")</f>
        <v>#REF!</v>
      </c>
      <c r="AH39" s="52" t="str">
        <f>IF(AND('Mapa final'!$AI$16="Baja",'Mapa final'!$AK$16="Catastrófico"),CONCATENATE("R4C",'Mapa final'!$Y$16),"")</f>
        <v/>
      </c>
      <c r="AI39" s="53" t="str">
        <f>IF(AND('Mapa final'!$AI$17="Baja",'Mapa final'!$AK$17="Catastrófico"),CONCATENATE("R4C",'Mapa final'!$Y$17),"")</f>
        <v/>
      </c>
      <c r="AJ39" s="53" t="str">
        <f>IF(AND('Mapa final'!$AI$18="Baja",'Mapa final'!$AK$18="Catastrófico"),CONCATENATE("R4C",'Mapa final'!$Y$18),"")</f>
        <v/>
      </c>
      <c r="AK39" s="53" t="e">
        <f>IF(AND('Mapa final'!#REF!="Baja",'Mapa final'!#REF!="Catastrófico"),CONCATENATE("R4C",'Mapa final'!#REF!),"")</f>
        <v>#REF!</v>
      </c>
      <c r="AL39" s="53" t="e">
        <f>IF(AND('Mapa final'!#REF!="Baja",'Mapa final'!#REF!="Catastrófico"),CONCATENATE("R4C",'Mapa final'!#REF!),"")</f>
        <v>#REF!</v>
      </c>
      <c r="AM39" s="54" t="e">
        <f>IF(AND('Mapa final'!#REF!="Baja",'Mapa final'!#REF!="Catastrófico"),CONCATENATE("R4C",'Mapa final'!#REF!),"")</f>
        <v>#REF!</v>
      </c>
      <c r="AN39" s="80"/>
      <c r="AO39" s="474"/>
      <c r="AP39" s="475"/>
      <c r="AQ39" s="475"/>
      <c r="AR39" s="475"/>
      <c r="AS39" s="475"/>
      <c r="AT39" s="476"/>
      <c r="AU39" s="80"/>
      <c r="AV39" s="80"/>
      <c r="AW39" s="80"/>
      <c r="AX39" s="80"/>
      <c r="AY39" s="80"/>
      <c r="AZ39" s="80"/>
      <c r="BA39" s="80"/>
      <c r="BB39" s="80"/>
      <c r="BC39" s="80"/>
      <c r="BD39" s="80"/>
      <c r="BE39" s="80"/>
      <c r="BF39" s="80"/>
      <c r="BG39" s="80"/>
      <c r="BH39" s="80"/>
      <c r="BI39" s="80"/>
      <c r="BJ39" s="80"/>
      <c r="BK39" s="80"/>
      <c r="BL39" s="80"/>
      <c r="BM39" s="80"/>
      <c r="BN39" s="80"/>
      <c r="BO39" s="80"/>
      <c r="BP39" s="80"/>
      <c r="BQ39" s="80"/>
      <c r="BR39" s="80"/>
      <c r="BS39" s="80"/>
      <c r="BT39" s="80"/>
      <c r="BU39" s="80"/>
      <c r="BV39" s="80"/>
      <c r="BW39" s="80"/>
      <c r="BX39" s="80"/>
    </row>
    <row r="40" spans="1:80" ht="15" customHeight="1" x14ac:dyDescent="0.25">
      <c r="A40" s="80"/>
      <c r="B40" s="402"/>
      <c r="C40" s="402"/>
      <c r="D40" s="403"/>
      <c r="E40" s="443"/>
      <c r="F40" s="444"/>
      <c r="G40" s="444"/>
      <c r="H40" s="444"/>
      <c r="I40" s="444"/>
      <c r="J40" s="73" t="str">
        <f>IF(AND('Mapa final'!$AI$19="Baja",'Mapa final'!$AK$19="Leve"),CONCATENATE("R5C",'Mapa final'!$Y$19),"")</f>
        <v/>
      </c>
      <c r="K40" s="74" t="str">
        <f>IF(AND('Mapa final'!$AI$20="Baja",'Mapa final'!$AK$20="Leve"),CONCATENATE("R5C",'Mapa final'!$Y$20),"")</f>
        <v/>
      </c>
      <c r="L40" s="74" t="str">
        <f>IF(AND('Mapa final'!$AI$21="Baja",'Mapa final'!$AK$21="Leve"),CONCATENATE("R5C",'Mapa final'!$Y$21),"")</f>
        <v/>
      </c>
      <c r="M40" s="74" t="str">
        <f>IF(AND('Mapa final'!$AI$22="Baja",'Mapa final'!$AK$22="Leve"),CONCATENATE("R5C",'Mapa final'!$Y$22),"")</f>
        <v/>
      </c>
      <c r="N40" s="74" t="str">
        <f>IF(AND('Mapa final'!$AI$23="Baja",'Mapa final'!$AK$23="Leve"),CONCATENATE("R5C",'Mapa final'!$Y$23),"")</f>
        <v/>
      </c>
      <c r="O40" s="75" t="str">
        <f>IF(AND('Mapa final'!$AI$24="Baja",'Mapa final'!$AK$24="Leve"),CONCATENATE("R5C",'Mapa final'!$Y$24),"")</f>
        <v/>
      </c>
      <c r="P40" s="64" t="str">
        <f>IF(AND('Mapa final'!$AI$19="Baja",'Mapa final'!$AK$19="Menor"),CONCATENATE("R5C",'Mapa final'!$Y$19),"")</f>
        <v/>
      </c>
      <c r="Q40" s="65" t="str">
        <f>IF(AND('Mapa final'!$AI$20="Baja",'Mapa final'!$AK$20="Menor"),CONCATENATE("R5C",'Mapa final'!$Y$20),"")</f>
        <v/>
      </c>
      <c r="R40" s="65" t="str">
        <f>IF(AND('Mapa final'!$AI$21="Baja",'Mapa final'!$AK$21="Menor"),CONCATENATE("R5C",'Mapa final'!$Y$21),"")</f>
        <v/>
      </c>
      <c r="S40" s="65" t="str">
        <f>IF(AND('Mapa final'!$AI$22="Baja",'Mapa final'!$AK$22="Menor"),CONCATENATE("R5C",'Mapa final'!$Y$22),"")</f>
        <v/>
      </c>
      <c r="T40" s="65" t="str">
        <f>IF(AND('Mapa final'!$AI$23="Baja",'Mapa final'!$AK$23="Menor"),CONCATENATE("R5C",'Mapa final'!$Y$23),"")</f>
        <v/>
      </c>
      <c r="U40" s="66" t="str">
        <f>IF(AND('Mapa final'!$AI$24="Baja",'Mapa final'!$AK$24="Menor"),CONCATENATE("R5C",'Mapa final'!$Y$24),"")</f>
        <v/>
      </c>
      <c r="V40" s="64" t="str">
        <f>IF(AND('Mapa final'!$AI$19="Baja",'Mapa final'!$AK$19="Moderado"),CONCATENATE("R5C",'Mapa final'!$Y$19),"")</f>
        <v/>
      </c>
      <c r="W40" s="65" t="str">
        <f>IF(AND('Mapa final'!$AI$20="Baja",'Mapa final'!$AK$20="Moderado"),CONCATENATE("R5C",'Mapa final'!$Y$20),"")</f>
        <v/>
      </c>
      <c r="X40" s="65" t="str">
        <f>IF(AND('Mapa final'!$AI$21="Baja",'Mapa final'!$AK$21="Moderado"),CONCATENATE("R5C",'Mapa final'!$Y$21),"")</f>
        <v/>
      </c>
      <c r="Y40" s="65" t="str">
        <f>IF(AND('Mapa final'!$AI$22="Baja",'Mapa final'!$AK$22="Moderado"),CONCATENATE("R5C",'Mapa final'!$Y$22),"")</f>
        <v/>
      </c>
      <c r="Z40" s="65" t="str">
        <f>IF(AND('Mapa final'!$AI$23="Baja",'Mapa final'!$AK$23="Moderado"),CONCATENATE("R5C",'Mapa final'!$Y$23),"")</f>
        <v/>
      </c>
      <c r="AA40" s="66" t="str">
        <f>IF(AND('Mapa final'!$AI$24="Baja",'Mapa final'!$AK$24="Moderado"),CONCATENATE("R5C",'Mapa final'!$Y$24),"")</f>
        <v/>
      </c>
      <c r="AB40" s="49" t="str">
        <f>IF(AND('Mapa final'!$AI$19="Baja",'Mapa final'!$AK$19="Mayor"),CONCATENATE("R5C",'Mapa final'!$Y$19),"")</f>
        <v/>
      </c>
      <c r="AC40" s="50" t="str">
        <f>IF(AND('Mapa final'!$AI$20="Baja",'Mapa final'!$AK$20="Mayor"),CONCATENATE("R5C",'Mapa final'!$Y$20),"")</f>
        <v/>
      </c>
      <c r="AD40" s="50" t="str">
        <f>IF(AND('Mapa final'!$AI$21="Baja",'Mapa final'!$AK$21="Mayor"),CONCATENATE("R5C",'Mapa final'!$Y$21),"")</f>
        <v/>
      </c>
      <c r="AE40" s="50" t="str">
        <f>IF(AND('Mapa final'!$AI$22="Baja",'Mapa final'!$AK$22="Mayor"),CONCATENATE("R5C",'Mapa final'!$Y$22),"")</f>
        <v/>
      </c>
      <c r="AF40" s="50" t="str">
        <f>IF(AND('Mapa final'!$AI$23="Baja",'Mapa final'!$AK$23="Mayor"),CONCATENATE("R5C",'Mapa final'!$Y$23),"")</f>
        <v/>
      </c>
      <c r="AG40" s="51" t="str">
        <f>IF(AND('Mapa final'!$AI$24="Baja",'Mapa final'!$AK$24="Mayor"),CONCATENATE("R5C",'Mapa final'!$Y$24),"")</f>
        <v/>
      </c>
      <c r="AH40" s="52" t="str">
        <f>IF(AND('Mapa final'!$AI$19="Baja",'Mapa final'!$AK$19="Catastrófico"),CONCATENATE("R5C",'Mapa final'!$Y$19),"")</f>
        <v/>
      </c>
      <c r="AI40" s="53" t="str">
        <f>IF(AND('Mapa final'!$AI$20="Baja",'Mapa final'!$AK$20="Catastrófico"),CONCATENATE("R5C",'Mapa final'!$Y$20),"")</f>
        <v/>
      </c>
      <c r="AJ40" s="53" t="str">
        <f>IF(AND('Mapa final'!$AI$21="Baja",'Mapa final'!$AK$21="Catastrófico"),CONCATENATE("R5C",'Mapa final'!$Y$21),"")</f>
        <v/>
      </c>
      <c r="AK40" s="53" t="str">
        <f>IF(AND('Mapa final'!$AI$22="Baja",'Mapa final'!$AK$22="Catastrófico"),CONCATENATE("R5C",'Mapa final'!$Y$22),"")</f>
        <v/>
      </c>
      <c r="AL40" s="53" t="str">
        <f>IF(AND('Mapa final'!$AI$23="Baja",'Mapa final'!$AK$23="Catastrófico"),CONCATENATE("R5C",'Mapa final'!$Y$23),"")</f>
        <v/>
      </c>
      <c r="AM40" s="54" t="str">
        <f>IF(AND('Mapa final'!$AI$24="Baja",'Mapa final'!$AK$24="Catastrófico"),CONCATENATE("R5C",'Mapa final'!$Y$24),"")</f>
        <v/>
      </c>
      <c r="AN40" s="80"/>
      <c r="AO40" s="474"/>
      <c r="AP40" s="475"/>
      <c r="AQ40" s="475"/>
      <c r="AR40" s="475"/>
      <c r="AS40" s="475"/>
      <c r="AT40" s="476"/>
      <c r="AU40" s="80"/>
      <c r="AV40" s="80"/>
      <c r="AW40" s="80"/>
      <c r="AX40" s="80"/>
      <c r="AY40" s="80"/>
      <c r="AZ40" s="80"/>
      <c r="BA40" s="80"/>
      <c r="BB40" s="80"/>
      <c r="BC40" s="80"/>
      <c r="BD40" s="80"/>
      <c r="BE40" s="80"/>
      <c r="BF40" s="80"/>
      <c r="BG40" s="80"/>
      <c r="BH40" s="80"/>
      <c r="BI40" s="80"/>
      <c r="BJ40" s="80"/>
      <c r="BK40" s="80"/>
      <c r="BL40" s="80"/>
      <c r="BM40" s="80"/>
      <c r="BN40" s="80"/>
      <c r="BO40" s="80"/>
      <c r="BP40" s="80"/>
      <c r="BQ40" s="80"/>
      <c r="BR40" s="80"/>
      <c r="BS40" s="80"/>
      <c r="BT40" s="80"/>
      <c r="BU40" s="80"/>
      <c r="BV40" s="80"/>
      <c r="BW40" s="80"/>
      <c r="BX40" s="80"/>
    </row>
    <row r="41" spans="1:80" ht="15" customHeight="1" x14ac:dyDescent="0.25">
      <c r="A41" s="80"/>
      <c r="B41" s="402"/>
      <c r="C41" s="402"/>
      <c r="D41" s="403"/>
      <c r="E41" s="443"/>
      <c r="F41" s="444"/>
      <c r="G41" s="444"/>
      <c r="H41" s="444"/>
      <c r="I41" s="444"/>
      <c r="J41" s="73" t="str">
        <f>IF(AND('Mapa final'!$AI$25="Baja",'Mapa final'!$AK$25="Leve"),CONCATENATE("R6C",'Mapa final'!$Y$25),"")</f>
        <v/>
      </c>
      <c r="K41" s="74" t="str">
        <f>IF(AND('Mapa final'!$AI$26="Baja",'Mapa final'!$AK$26="Leve"),CONCATENATE("R6C",'Mapa final'!$Y$26),"")</f>
        <v/>
      </c>
      <c r="L41" s="74" t="str">
        <f>IF(AND('Mapa final'!$AI$27="Baja",'Mapa final'!$AK$27="Leve"),CONCATENATE("R6C",'Mapa final'!$Y$27),"")</f>
        <v/>
      </c>
      <c r="M41" s="74" t="str">
        <f>IF(AND('Mapa final'!$AI$28="Baja",'Mapa final'!$AK$28="Leve"),CONCATENATE("R6C",'Mapa final'!$Y$28),"")</f>
        <v/>
      </c>
      <c r="N41" s="74" t="str">
        <f>IF(AND('Mapa final'!$AI$29="Baja",'Mapa final'!$AK$29="Leve"),CONCATENATE("R6C",'Mapa final'!$Y$29),"")</f>
        <v/>
      </c>
      <c r="O41" s="75" t="str">
        <f>IF(AND('Mapa final'!$AI$30="Baja",'Mapa final'!$AK$30="Leve"),CONCATENATE("R6C",'Mapa final'!$Y$30),"")</f>
        <v/>
      </c>
      <c r="P41" s="64" t="str">
        <f>IF(AND('Mapa final'!$AI$25="Baja",'Mapa final'!$AK$25="Menor"),CONCATENATE("R6C",'Mapa final'!$Y$25),"")</f>
        <v/>
      </c>
      <c r="Q41" s="65" t="str">
        <f>IF(AND('Mapa final'!$AI$26="Baja",'Mapa final'!$AK$26="Menor"),CONCATENATE("R6C",'Mapa final'!$Y$26),"")</f>
        <v/>
      </c>
      <c r="R41" s="65" t="str">
        <f>IF(AND('Mapa final'!$AI$27="Baja",'Mapa final'!$AK$27="Menor"),CONCATENATE("R6C",'Mapa final'!$Y$27),"")</f>
        <v/>
      </c>
      <c r="S41" s="65" t="str">
        <f>IF(AND('Mapa final'!$AI$28="Baja",'Mapa final'!$AK$28="Menor"),CONCATENATE("R6C",'Mapa final'!$Y$28),"")</f>
        <v/>
      </c>
      <c r="T41" s="65" t="str">
        <f>IF(AND('Mapa final'!$AI$29="Baja",'Mapa final'!$AK$29="Menor"),CONCATENATE("R6C",'Mapa final'!$Y$29),"")</f>
        <v/>
      </c>
      <c r="U41" s="66" t="str">
        <f>IF(AND('Mapa final'!$AI$30="Baja",'Mapa final'!$AK$30="Menor"),CONCATENATE("R6C",'Mapa final'!$Y$30),"")</f>
        <v/>
      </c>
      <c r="V41" s="64" t="str">
        <f>IF(AND('Mapa final'!$AI$25="Baja",'Mapa final'!$AK$25="Moderado"),CONCATENATE("R6C",'Mapa final'!$Y$25),"")</f>
        <v/>
      </c>
      <c r="W41" s="65" t="str">
        <f>IF(AND('Mapa final'!$AI$26="Baja",'Mapa final'!$AK$26="Moderado"),CONCATENATE("R6C",'Mapa final'!$Y$26),"")</f>
        <v/>
      </c>
      <c r="X41" s="65" t="str">
        <f>IF(AND('Mapa final'!$AI$27="Baja",'Mapa final'!$AK$27="Moderado"),CONCATENATE("R6C",'Mapa final'!$Y$27),"")</f>
        <v/>
      </c>
      <c r="Y41" s="65" t="str">
        <f>IF(AND('Mapa final'!$AI$28="Baja",'Mapa final'!$AK$28="Moderado"),CONCATENATE("R6C",'Mapa final'!$Y$28),"")</f>
        <v/>
      </c>
      <c r="Z41" s="65" t="str">
        <f>IF(AND('Mapa final'!$AI$29="Baja",'Mapa final'!$AK$29="Moderado"),CONCATENATE("R6C",'Mapa final'!$Y$29),"")</f>
        <v/>
      </c>
      <c r="AA41" s="66" t="str">
        <f>IF(AND('Mapa final'!$AI$30="Baja",'Mapa final'!$AK$30="Moderado"),CONCATENATE("R6C",'Mapa final'!$Y$30),"")</f>
        <v/>
      </c>
      <c r="AB41" s="49" t="str">
        <f>IF(AND('Mapa final'!$AI$25="Baja",'Mapa final'!$AK$25="Mayor"),CONCATENATE("R6C",'Mapa final'!$Y$25),"")</f>
        <v/>
      </c>
      <c r="AC41" s="50" t="str">
        <f>IF(AND('Mapa final'!$AI$26="Baja",'Mapa final'!$AK$26="Mayor"),CONCATENATE("R6C",'Mapa final'!$Y$26),"")</f>
        <v/>
      </c>
      <c r="AD41" s="50" t="str">
        <f>IF(AND('Mapa final'!$AI$27="Baja",'Mapa final'!$AK$27="Mayor"),CONCATENATE("R6C",'Mapa final'!$Y$27),"")</f>
        <v/>
      </c>
      <c r="AE41" s="50" t="str">
        <f>IF(AND('Mapa final'!$AI$28="Baja",'Mapa final'!$AK$28="Mayor"),CONCATENATE("R6C",'Mapa final'!$Y$28),"")</f>
        <v/>
      </c>
      <c r="AF41" s="50" t="str">
        <f>IF(AND('Mapa final'!$AI$29="Baja",'Mapa final'!$AK$29="Mayor"),CONCATENATE("R6C",'Mapa final'!$Y$29),"")</f>
        <v/>
      </c>
      <c r="AG41" s="51" t="str">
        <f>IF(AND('Mapa final'!$AI$30="Baja",'Mapa final'!$AK$30="Mayor"),CONCATENATE("R6C",'Mapa final'!$Y$30),"")</f>
        <v/>
      </c>
      <c r="AH41" s="52" t="str">
        <f>IF(AND('Mapa final'!$AI$25="Baja",'Mapa final'!$AK$25="Catastrófico"),CONCATENATE("R6C",'Mapa final'!$Y$25),"")</f>
        <v/>
      </c>
      <c r="AI41" s="53" t="str">
        <f>IF(AND('Mapa final'!$AI$26="Baja",'Mapa final'!$AK$26="Catastrófico"),CONCATENATE("R6C",'Mapa final'!$Y$26),"")</f>
        <v/>
      </c>
      <c r="AJ41" s="53" t="str">
        <f>IF(AND('Mapa final'!$AI$27="Baja",'Mapa final'!$AK$27="Catastrófico"),CONCATENATE("R6C",'Mapa final'!$Y$27),"")</f>
        <v/>
      </c>
      <c r="AK41" s="53" t="str">
        <f>IF(AND('Mapa final'!$AI$28="Baja",'Mapa final'!$AK$28="Catastrófico"),CONCATENATE("R6C",'Mapa final'!$Y$28),"")</f>
        <v/>
      </c>
      <c r="AL41" s="53" t="str">
        <f>IF(AND('Mapa final'!$AI$29="Baja",'Mapa final'!$AK$29="Catastrófico"),CONCATENATE("R6C",'Mapa final'!$Y$29),"")</f>
        <v/>
      </c>
      <c r="AM41" s="54" t="str">
        <f>IF(AND('Mapa final'!$AI$30="Baja",'Mapa final'!$AK$30="Catastrófico"),CONCATENATE("R6C",'Mapa final'!$Y$30),"")</f>
        <v/>
      </c>
      <c r="AN41" s="80"/>
      <c r="AO41" s="474"/>
      <c r="AP41" s="475"/>
      <c r="AQ41" s="475"/>
      <c r="AR41" s="475"/>
      <c r="AS41" s="475"/>
      <c r="AT41" s="476"/>
      <c r="AU41" s="80"/>
      <c r="AV41" s="80"/>
      <c r="AW41" s="80"/>
      <c r="AX41" s="80"/>
      <c r="AY41" s="80"/>
      <c r="AZ41" s="80"/>
      <c r="BA41" s="80"/>
      <c r="BB41" s="80"/>
      <c r="BC41" s="80"/>
      <c r="BD41" s="80"/>
      <c r="BE41" s="80"/>
      <c r="BF41" s="80"/>
      <c r="BG41" s="80"/>
      <c r="BH41" s="80"/>
      <c r="BI41" s="80"/>
      <c r="BJ41" s="80"/>
      <c r="BK41" s="80"/>
      <c r="BL41" s="80"/>
      <c r="BM41" s="80"/>
      <c r="BN41" s="80"/>
      <c r="BO41" s="80"/>
      <c r="BP41" s="80"/>
      <c r="BQ41" s="80"/>
      <c r="BR41" s="80"/>
      <c r="BS41" s="80"/>
      <c r="BT41" s="80"/>
      <c r="BU41" s="80"/>
      <c r="BV41" s="80"/>
      <c r="BW41" s="80"/>
      <c r="BX41" s="80"/>
    </row>
    <row r="42" spans="1:80" ht="15" customHeight="1" x14ac:dyDescent="0.25">
      <c r="A42" s="80"/>
      <c r="B42" s="402"/>
      <c r="C42" s="402"/>
      <c r="D42" s="403"/>
      <c r="E42" s="443"/>
      <c r="F42" s="444"/>
      <c r="G42" s="444"/>
      <c r="H42" s="444"/>
      <c r="I42" s="444"/>
      <c r="J42" s="73" t="str">
        <f>IF(AND('Mapa final'!$AI$31="Baja",'Mapa final'!$AK$31="Leve"),CONCATENATE("R7C",'Mapa final'!$Y$31),"")</f>
        <v/>
      </c>
      <c r="K42" s="74" t="str">
        <f>IF(AND('Mapa final'!$AI$32="Baja",'Mapa final'!$AK$32="Leve"),CONCATENATE("R7C",'Mapa final'!$Y$32),"")</f>
        <v/>
      </c>
      <c r="L42" s="74" t="str">
        <f>IF(AND('Mapa final'!$AI$33="Baja",'Mapa final'!$AK$33="Leve"),CONCATENATE("R7C",'Mapa final'!$Y$33),"")</f>
        <v/>
      </c>
      <c r="M42" s="74" t="str">
        <f>IF(AND('Mapa final'!$AI$34="Baja",'Mapa final'!$AK$34="Leve"),CONCATENATE("R7C",'Mapa final'!$Y$34),"")</f>
        <v/>
      </c>
      <c r="N42" s="74" t="str">
        <f>IF(AND('Mapa final'!$AI$35="Baja",'Mapa final'!$AK$35="Leve"),CONCATENATE("R7C",'Mapa final'!$Y$35),"")</f>
        <v/>
      </c>
      <c r="O42" s="75" t="str">
        <f>IF(AND('Mapa final'!$AI$36="Baja",'Mapa final'!$AK$36="Leve"),CONCATENATE("R7C",'Mapa final'!$Y$36),"")</f>
        <v/>
      </c>
      <c r="P42" s="64" t="str">
        <f>IF(AND('Mapa final'!$AI$31="Baja",'Mapa final'!$AK$31="Menor"),CONCATENATE("R7C",'Mapa final'!$Y$31),"")</f>
        <v/>
      </c>
      <c r="Q42" s="65" t="str">
        <f>IF(AND('Mapa final'!$AI$32="Baja",'Mapa final'!$AK$32="Menor"),CONCATENATE("R7C",'Mapa final'!$Y$32),"")</f>
        <v/>
      </c>
      <c r="R42" s="65" t="str">
        <f>IF(AND('Mapa final'!$AI$33="Baja",'Mapa final'!$AK$33="Menor"),CONCATENATE("R7C",'Mapa final'!$Y$33),"")</f>
        <v/>
      </c>
      <c r="S42" s="65" t="str">
        <f>IF(AND('Mapa final'!$AI$34="Baja",'Mapa final'!$AK$34="Menor"),CONCATENATE("R7C",'Mapa final'!$Y$34),"")</f>
        <v/>
      </c>
      <c r="T42" s="65" t="str">
        <f>IF(AND('Mapa final'!$AI$35="Baja",'Mapa final'!$AK$35="Menor"),CONCATENATE("R7C",'Mapa final'!$Y$35),"")</f>
        <v/>
      </c>
      <c r="U42" s="66" t="str">
        <f>IF(AND('Mapa final'!$AI$36="Baja",'Mapa final'!$AK$36="Menor"),CONCATENATE("R7C",'Mapa final'!$Y$36),"")</f>
        <v/>
      </c>
      <c r="V42" s="64" t="str">
        <f>IF(AND('Mapa final'!$AI$31="Baja",'Mapa final'!$AK$31="Moderado"),CONCATENATE("R7C",'Mapa final'!$Y$31),"")</f>
        <v/>
      </c>
      <c r="W42" s="65" t="str">
        <f>IF(AND('Mapa final'!$AI$32="Baja",'Mapa final'!$AK$32="Moderado"),CONCATENATE("R7C",'Mapa final'!$Y$32),"")</f>
        <v/>
      </c>
      <c r="X42" s="65" t="str">
        <f>IF(AND('Mapa final'!$AI$33="Baja",'Mapa final'!$AK$33="Moderado"),CONCATENATE("R7C",'Mapa final'!$Y$33),"")</f>
        <v/>
      </c>
      <c r="Y42" s="65" t="str">
        <f>IF(AND('Mapa final'!$AI$34="Baja",'Mapa final'!$AK$34="Moderado"),CONCATENATE("R7C",'Mapa final'!$Y$34),"")</f>
        <v/>
      </c>
      <c r="Z42" s="65" t="str">
        <f>IF(AND('Mapa final'!$AI$35="Baja",'Mapa final'!$AK$35="Moderado"),CONCATENATE("R7C",'Mapa final'!$Y$35),"")</f>
        <v/>
      </c>
      <c r="AA42" s="66" t="str">
        <f>IF(AND('Mapa final'!$AI$36="Baja",'Mapa final'!$AK$36="Moderado"),CONCATENATE("R7C",'Mapa final'!$Y$36),"")</f>
        <v/>
      </c>
      <c r="AB42" s="49" t="str">
        <f>IF(AND('Mapa final'!$AI$31="Baja",'Mapa final'!$AK$31="Mayor"),CONCATENATE("R7C",'Mapa final'!$Y$31),"")</f>
        <v/>
      </c>
      <c r="AC42" s="50" t="str">
        <f>IF(AND('Mapa final'!$AI$32="Baja",'Mapa final'!$AK$32="Mayor"),CONCATENATE("R7C",'Mapa final'!$Y$32),"")</f>
        <v/>
      </c>
      <c r="AD42" s="50" t="str">
        <f>IF(AND('Mapa final'!$AI$33="Baja",'Mapa final'!$AK$33="Mayor"),CONCATENATE("R7C",'Mapa final'!$Y$33),"")</f>
        <v/>
      </c>
      <c r="AE42" s="50" t="str">
        <f>IF(AND('Mapa final'!$AI$34="Baja",'Mapa final'!$AK$34="Mayor"),CONCATENATE("R7C",'Mapa final'!$Y$34),"")</f>
        <v/>
      </c>
      <c r="AF42" s="50" t="str">
        <f>IF(AND('Mapa final'!$AI$35="Baja",'Mapa final'!$AK$35="Mayor"),CONCATENATE("R7C",'Mapa final'!$Y$35),"")</f>
        <v/>
      </c>
      <c r="AG42" s="51" t="str">
        <f>IF(AND('Mapa final'!$AI$36="Baja",'Mapa final'!$AK$36="Mayor"),CONCATENATE("R7C",'Mapa final'!$Y$36),"")</f>
        <v/>
      </c>
      <c r="AH42" s="52" t="str">
        <f>IF(AND('Mapa final'!$AI$31="Baja",'Mapa final'!$AK$31="Catastrófico"),CONCATENATE("R7C",'Mapa final'!$Y$31),"")</f>
        <v/>
      </c>
      <c r="AI42" s="53" t="str">
        <f>IF(AND('Mapa final'!$AI$32="Baja",'Mapa final'!$AK$32="Catastrófico"),CONCATENATE("R7C",'Mapa final'!$Y$32),"")</f>
        <v/>
      </c>
      <c r="AJ42" s="53" t="str">
        <f>IF(AND('Mapa final'!$AI$33="Baja",'Mapa final'!$AK$33="Catastrófico"),CONCATENATE("R7C",'Mapa final'!$Y$33),"")</f>
        <v/>
      </c>
      <c r="AK42" s="53" t="str">
        <f>IF(AND('Mapa final'!$AI$34="Baja",'Mapa final'!$AK$34="Catastrófico"),CONCATENATE("R7C",'Mapa final'!$Y$34),"")</f>
        <v/>
      </c>
      <c r="AL42" s="53" t="str">
        <f>IF(AND('Mapa final'!$AI$35="Baja",'Mapa final'!$AK$35="Catastrófico"),CONCATENATE("R7C",'Mapa final'!$Y$35),"")</f>
        <v/>
      </c>
      <c r="AM42" s="54" t="str">
        <f>IF(AND('Mapa final'!$AI$36="Baja",'Mapa final'!$AK$36="Catastrófico"),CONCATENATE("R7C",'Mapa final'!$Y$36),"")</f>
        <v/>
      </c>
      <c r="AN42" s="80"/>
      <c r="AO42" s="474"/>
      <c r="AP42" s="475"/>
      <c r="AQ42" s="475"/>
      <c r="AR42" s="475"/>
      <c r="AS42" s="475"/>
      <c r="AT42" s="476"/>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row>
    <row r="43" spans="1:80" ht="15" customHeight="1" x14ac:dyDescent="0.25">
      <c r="A43" s="80"/>
      <c r="B43" s="402"/>
      <c r="C43" s="402"/>
      <c r="D43" s="403"/>
      <c r="E43" s="443"/>
      <c r="F43" s="444"/>
      <c r="G43" s="444"/>
      <c r="H43" s="444"/>
      <c r="I43" s="444"/>
      <c r="J43" s="73" t="str">
        <f>IF(AND('Mapa final'!$AI$37="Baja",'Mapa final'!$AK$37="Leve"),CONCATENATE("R8C",'Mapa final'!$Y$37),"")</f>
        <v/>
      </c>
      <c r="K43" s="74" t="str">
        <f>IF(AND('Mapa final'!$AI$38="Baja",'Mapa final'!$AK$38="Leve"),CONCATENATE("R8C",'Mapa final'!$Y$38),"")</f>
        <v/>
      </c>
      <c r="L43" s="74" t="str">
        <f>IF(AND('Mapa final'!$AI$39="Baja",'Mapa final'!$AK$39="Leve"),CONCATENATE("R8C",'Mapa final'!$Y$39),"")</f>
        <v/>
      </c>
      <c r="M43" s="74" t="str">
        <f>IF(AND('Mapa final'!$AI$40="Baja",'Mapa final'!$AK$40="Leve"),CONCATENATE("R8C",'Mapa final'!$Y$40),"")</f>
        <v/>
      </c>
      <c r="N43" s="74" t="str">
        <f>IF(AND('Mapa final'!$AI$41="Baja",'Mapa final'!$AK$41="Leve"),CONCATENATE("R8C",'Mapa final'!$Y$41),"")</f>
        <v/>
      </c>
      <c r="O43" s="75" t="str">
        <f>IF(AND('Mapa final'!$AI$42="Baja",'Mapa final'!$AK$42="Leve"),CONCATENATE("R8C",'Mapa final'!$Y$42),"")</f>
        <v/>
      </c>
      <c r="P43" s="64" t="str">
        <f>IF(AND('Mapa final'!$AI$37="Baja",'Mapa final'!$AK$37="Menor"),CONCATENATE("R8C",'Mapa final'!$Y$37),"")</f>
        <v/>
      </c>
      <c r="Q43" s="65" t="str">
        <f>IF(AND('Mapa final'!$AI$38="Baja",'Mapa final'!$AK$38="Menor"),CONCATENATE("R8C",'Mapa final'!$Y$38),"")</f>
        <v/>
      </c>
      <c r="R43" s="65" t="str">
        <f>IF(AND('Mapa final'!$AI$39="Baja",'Mapa final'!$AK$39="Menor"),CONCATENATE("R8C",'Mapa final'!$Y$39),"")</f>
        <v/>
      </c>
      <c r="S43" s="65" t="str">
        <f>IF(AND('Mapa final'!$AI$40="Baja",'Mapa final'!$AK$40="Menor"),CONCATENATE("R8C",'Mapa final'!$Y$40),"")</f>
        <v/>
      </c>
      <c r="T43" s="65" t="str">
        <f>IF(AND('Mapa final'!$AI$41="Baja",'Mapa final'!$AK$41="Menor"),CONCATENATE("R8C",'Mapa final'!$Y$41),"")</f>
        <v/>
      </c>
      <c r="U43" s="66" t="str">
        <f>IF(AND('Mapa final'!$AI$42="Baja",'Mapa final'!$AK$42="Menor"),CONCATENATE("R8C",'Mapa final'!$Y$42),"")</f>
        <v/>
      </c>
      <c r="V43" s="64" t="str">
        <f>IF(AND('Mapa final'!$AI$37="Baja",'Mapa final'!$AK$37="Moderado"),CONCATENATE("R8C",'Mapa final'!$Y$37),"")</f>
        <v/>
      </c>
      <c r="W43" s="65" t="str">
        <f>IF(AND('Mapa final'!$AI$38="Baja",'Mapa final'!$AK$38="Moderado"),CONCATENATE("R8C",'Mapa final'!$Y$38),"")</f>
        <v/>
      </c>
      <c r="X43" s="65" t="str">
        <f>IF(AND('Mapa final'!$AI$39="Baja",'Mapa final'!$AK$39="Moderado"),CONCATENATE("R8C",'Mapa final'!$Y$39),"")</f>
        <v/>
      </c>
      <c r="Y43" s="65" t="str">
        <f>IF(AND('Mapa final'!$AI$40="Baja",'Mapa final'!$AK$40="Moderado"),CONCATENATE("R8C",'Mapa final'!$Y$40),"")</f>
        <v/>
      </c>
      <c r="Z43" s="65" t="str">
        <f>IF(AND('Mapa final'!$AI$41="Baja",'Mapa final'!$AK$41="Moderado"),CONCATENATE("R8C",'Mapa final'!$Y$41),"")</f>
        <v/>
      </c>
      <c r="AA43" s="66" t="str">
        <f>IF(AND('Mapa final'!$AI$42="Baja",'Mapa final'!$AK$42="Moderado"),CONCATENATE("R8C",'Mapa final'!$Y$42),"")</f>
        <v/>
      </c>
      <c r="AB43" s="49" t="str">
        <f>IF(AND('Mapa final'!$AI$37="Baja",'Mapa final'!$AK$37="Mayor"),CONCATENATE("R8C",'Mapa final'!$Y$37),"")</f>
        <v/>
      </c>
      <c r="AC43" s="50" t="str">
        <f>IF(AND('Mapa final'!$AI$38="Baja",'Mapa final'!$AK$38="Mayor"),CONCATENATE("R8C",'Mapa final'!$Y$38),"")</f>
        <v/>
      </c>
      <c r="AD43" s="50" t="str">
        <f>IF(AND('Mapa final'!$AI$39="Baja",'Mapa final'!$AK$39="Mayor"),CONCATENATE("R8C",'Mapa final'!$Y$39),"")</f>
        <v/>
      </c>
      <c r="AE43" s="50" t="str">
        <f>IF(AND('Mapa final'!$AI$40="Baja",'Mapa final'!$AK$40="Mayor"),CONCATENATE("R8C",'Mapa final'!$Y$40),"")</f>
        <v/>
      </c>
      <c r="AF43" s="50" t="str">
        <f>IF(AND('Mapa final'!$AI$41="Baja",'Mapa final'!$AK$41="Mayor"),CONCATENATE("R8C",'Mapa final'!$Y$41),"")</f>
        <v/>
      </c>
      <c r="AG43" s="51" t="str">
        <f>IF(AND('Mapa final'!$AI$42="Baja",'Mapa final'!$AK$42="Mayor"),CONCATENATE("R8C",'Mapa final'!$Y$42),"")</f>
        <v/>
      </c>
      <c r="AH43" s="52" t="str">
        <f>IF(AND('Mapa final'!$AI$37="Baja",'Mapa final'!$AK$37="Catastrófico"),CONCATENATE("R8C",'Mapa final'!$Y$37),"")</f>
        <v/>
      </c>
      <c r="AI43" s="53" t="str">
        <f>IF(AND('Mapa final'!$AI$38="Baja",'Mapa final'!$AK$38="Catastrófico"),CONCATENATE("R8C",'Mapa final'!$Y$38),"")</f>
        <v/>
      </c>
      <c r="AJ43" s="53" t="str">
        <f>IF(AND('Mapa final'!$AI$39="Baja",'Mapa final'!$AK$39="Catastrófico"),CONCATENATE("R8C",'Mapa final'!$Y$39),"")</f>
        <v/>
      </c>
      <c r="AK43" s="53" t="str">
        <f>IF(AND('Mapa final'!$AI$40="Baja",'Mapa final'!$AK$40="Catastrófico"),CONCATENATE("R8C",'Mapa final'!$Y$40),"")</f>
        <v/>
      </c>
      <c r="AL43" s="53" t="str">
        <f>IF(AND('Mapa final'!$AI$41="Baja",'Mapa final'!$AK$41="Catastrófico"),CONCATENATE("R8C",'Mapa final'!$Y$41),"")</f>
        <v/>
      </c>
      <c r="AM43" s="54" t="str">
        <f>IF(AND('Mapa final'!$AI$42="Baja",'Mapa final'!$AK$42="Catastrófico"),CONCATENATE("R8C",'Mapa final'!$Y$42),"")</f>
        <v/>
      </c>
      <c r="AN43" s="80"/>
      <c r="AO43" s="474"/>
      <c r="AP43" s="475"/>
      <c r="AQ43" s="475"/>
      <c r="AR43" s="475"/>
      <c r="AS43" s="475"/>
      <c r="AT43" s="476"/>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row>
    <row r="44" spans="1:80" ht="15" customHeight="1" x14ac:dyDescent="0.25">
      <c r="A44" s="80"/>
      <c r="B44" s="402"/>
      <c r="C44" s="402"/>
      <c r="D44" s="403"/>
      <c r="E44" s="443"/>
      <c r="F44" s="444"/>
      <c r="G44" s="444"/>
      <c r="H44" s="444"/>
      <c r="I44" s="444"/>
      <c r="J44" s="73" t="str">
        <f>IF(AND('Mapa final'!$AI$43="Baja",'Mapa final'!$AK$43="Leve"),CONCATENATE("R9C",'Mapa final'!$Y$43),"")</f>
        <v/>
      </c>
      <c r="K44" s="74" t="str">
        <f>IF(AND('Mapa final'!$AI$44="Baja",'Mapa final'!$AK$44="Leve"),CONCATENATE("R9C",'Mapa final'!$Y$44),"")</f>
        <v/>
      </c>
      <c r="L44" s="74" t="str">
        <f>IF(AND('Mapa final'!$AI$45="Baja",'Mapa final'!$AK$45="Leve"),CONCATENATE("R9C",'Mapa final'!$Y$45),"")</f>
        <v/>
      </c>
      <c r="M44" s="74" t="str">
        <f>IF(AND('Mapa final'!$AI$46="Baja",'Mapa final'!$AK$46="Leve"),CONCATENATE("R9C",'Mapa final'!$Y$46),"")</f>
        <v/>
      </c>
      <c r="N44" s="74" t="str">
        <f>IF(AND('Mapa final'!$AI$47="Baja",'Mapa final'!$AK$47="Leve"),CONCATENATE("R9C",'Mapa final'!$Y$47),"")</f>
        <v/>
      </c>
      <c r="O44" s="75" t="str">
        <f>IF(AND('Mapa final'!$AI$48="Baja",'Mapa final'!$AK$48="Leve"),CONCATENATE("R9C",'Mapa final'!$Y$48),"")</f>
        <v/>
      </c>
      <c r="P44" s="64" t="str">
        <f>IF(AND('Mapa final'!$AI$43="Baja",'Mapa final'!$AK$43="Menor"),CONCATENATE("R9C",'Mapa final'!$Y$43),"")</f>
        <v/>
      </c>
      <c r="Q44" s="65" t="str">
        <f>IF(AND('Mapa final'!$AI$44="Baja",'Mapa final'!$AK$44="Menor"),CONCATENATE("R9C",'Mapa final'!$Y$44),"")</f>
        <v/>
      </c>
      <c r="R44" s="65" t="str">
        <f>IF(AND('Mapa final'!$AI$45="Baja",'Mapa final'!$AK$45="Menor"),CONCATENATE("R9C",'Mapa final'!$Y$45),"")</f>
        <v/>
      </c>
      <c r="S44" s="65" t="str">
        <f>IF(AND('Mapa final'!$AI$46="Baja",'Mapa final'!$AK$46="Menor"),CONCATENATE("R9C",'Mapa final'!$Y$46),"")</f>
        <v/>
      </c>
      <c r="T44" s="65" t="str">
        <f>IF(AND('Mapa final'!$AI$47="Baja",'Mapa final'!$AK$47="Menor"),CONCATENATE("R9C",'Mapa final'!$Y$47),"")</f>
        <v/>
      </c>
      <c r="U44" s="66" t="str">
        <f>IF(AND('Mapa final'!$AI$48="Baja",'Mapa final'!$AK$48="Menor"),CONCATENATE("R9C",'Mapa final'!$Y$48),"")</f>
        <v/>
      </c>
      <c r="V44" s="64" t="str">
        <f>IF(AND('Mapa final'!$AI$43="Baja",'Mapa final'!$AK$43="Moderado"),CONCATENATE("R9C",'Mapa final'!$Y$43),"")</f>
        <v/>
      </c>
      <c r="W44" s="65" t="str">
        <f>IF(AND('Mapa final'!$AI$44="Baja",'Mapa final'!$AK$44="Moderado"),CONCATENATE("R9C",'Mapa final'!$Y$44),"")</f>
        <v/>
      </c>
      <c r="X44" s="65" t="str">
        <f>IF(AND('Mapa final'!$AI$45="Baja",'Mapa final'!$AK$45="Moderado"),CONCATENATE("R9C",'Mapa final'!$Y$45),"")</f>
        <v/>
      </c>
      <c r="Y44" s="65" t="str">
        <f>IF(AND('Mapa final'!$AI$46="Baja",'Mapa final'!$AK$46="Moderado"),CONCATENATE("R9C",'Mapa final'!$Y$46),"")</f>
        <v/>
      </c>
      <c r="Z44" s="65" t="str">
        <f>IF(AND('Mapa final'!$AI$47="Baja",'Mapa final'!$AK$47="Moderado"),CONCATENATE("R9C",'Mapa final'!$Y$47),"")</f>
        <v/>
      </c>
      <c r="AA44" s="66" t="str">
        <f>IF(AND('Mapa final'!$AI$48="Baja",'Mapa final'!$AK$48="Moderado"),CONCATENATE("R9C",'Mapa final'!$Y$48),"")</f>
        <v/>
      </c>
      <c r="AB44" s="49" t="str">
        <f>IF(AND('Mapa final'!$AI$43="Baja",'Mapa final'!$AK$43="Mayor"),CONCATENATE("R9C",'Mapa final'!$Y$43),"")</f>
        <v/>
      </c>
      <c r="AC44" s="50" t="str">
        <f>IF(AND('Mapa final'!$AI$44="Baja",'Mapa final'!$AK$44="Mayor"),CONCATENATE("R9C",'Mapa final'!$Y$44),"")</f>
        <v/>
      </c>
      <c r="AD44" s="50" t="str">
        <f>IF(AND('Mapa final'!$AI$45="Baja",'Mapa final'!$AK$45="Mayor"),CONCATENATE("R9C",'Mapa final'!$Y$45),"")</f>
        <v/>
      </c>
      <c r="AE44" s="50" t="str">
        <f>IF(AND('Mapa final'!$AI$46="Baja",'Mapa final'!$AK$46="Mayor"),CONCATENATE("R9C",'Mapa final'!$Y$46),"")</f>
        <v/>
      </c>
      <c r="AF44" s="50" t="str">
        <f>IF(AND('Mapa final'!$AI$47="Baja",'Mapa final'!$AK$47="Mayor"),CONCATENATE("R9C",'Mapa final'!$Y$47),"")</f>
        <v/>
      </c>
      <c r="AG44" s="51" t="str">
        <f>IF(AND('Mapa final'!$AI$48="Baja",'Mapa final'!$AK$48="Mayor"),CONCATENATE("R9C",'Mapa final'!$Y$48),"")</f>
        <v/>
      </c>
      <c r="AH44" s="52" t="str">
        <f>IF(AND('Mapa final'!$AI$43="Baja",'Mapa final'!$AK$43="Catastrófico"),CONCATENATE("R9C",'Mapa final'!$Y$43),"")</f>
        <v/>
      </c>
      <c r="AI44" s="53" t="str">
        <f>IF(AND('Mapa final'!$AI$44="Baja",'Mapa final'!$AK$44="Catastrófico"),CONCATENATE("R9C",'Mapa final'!$Y$44),"")</f>
        <v/>
      </c>
      <c r="AJ44" s="53" t="str">
        <f>IF(AND('Mapa final'!$AI$45="Baja",'Mapa final'!$AK$45="Catastrófico"),CONCATENATE("R9C",'Mapa final'!$Y$45),"")</f>
        <v/>
      </c>
      <c r="AK44" s="53" t="str">
        <f>IF(AND('Mapa final'!$AI$46="Baja",'Mapa final'!$AK$46="Catastrófico"),CONCATENATE("R9C",'Mapa final'!$Y$46),"")</f>
        <v/>
      </c>
      <c r="AL44" s="53" t="str">
        <f>IF(AND('Mapa final'!$AI$47="Baja",'Mapa final'!$AK$47="Catastrófico"),CONCATENATE("R9C",'Mapa final'!$Y$47),"")</f>
        <v/>
      </c>
      <c r="AM44" s="54" t="str">
        <f>IF(AND('Mapa final'!$AI$48="Baja",'Mapa final'!$AK$48="Catastrófico"),CONCATENATE("R9C",'Mapa final'!$Y$48),"")</f>
        <v/>
      </c>
      <c r="AN44" s="80"/>
      <c r="AO44" s="474"/>
      <c r="AP44" s="475"/>
      <c r="AQ44" s="475"/>
      <c r="AR44" s="475"/>
      <c r="AS44" s="475"/>
      <c r="AT44" s="476"/>
      <c r="AU44" s="80"/>
      <c r="AV44" s="80"/>
      <c r="AW44" s="80"/>
      <c r="AX44" s="80"/>
      <c r="AY44" s="80"/>
      <c r="AZ44" s="80"/>
      <c r="BA44" s="80"/>
      <c r="BB44" s="80"/>
      <c r="BC44" s="80"/>
      <c r="BD44" s="80"/>
      <c r="BE44" s="80"/>
      <c r="BF44" s="80"/>
      <c r="BG44" s="80"/>
      <c r="BH44" s="80"/>
      <c r="BI44" s="80"/>
      <c r="BJ44" s="80"/>
      <c r="BK44" s="80"/>
      <c r="BL44" s="80"/>
      <c r="BM44" s="80"/>
      <c r="BN44" s="80"/>
      <c r="BO44" s="80"/>
      <c r="BP44" s="80"/>
      <c r="BQ44" s="80"/>
      <c r="BR44" s="80"/>
      <c r="BS44" s="80"/>
      <c r="BT44" s="80"/>
      <c r="BU44" s="80"/>
      <c r="BV44" s="80"/>
      <c r="BW44" s="80"/>
      <c r="BX44" s="80"/>
    </row>
    <row r="45" spans="1:80" ht="15.75" customHeight="1" thickBot="1" x14ac:dyDescent="0.3">
      <c r="A45" s="80"/>
      <c r="B45" s="402"/>
      <c r="C45" s="402"/>
      <c r="D45" s="403"/>
      <c r="E45" s="446"/>
      <c r="F45" s="447"/>
      <c r="G45" s="447"/>
      <c r="H45" s="447"/>
      <c r="I45" s="447"/>
      <c r="J45" s="76" t="str">
        <f>IF(AND('Mapa final'!$AI$49="Baja",'Mapa final'!$AK$49="Leve"),CONCATENATE("R10C",'Mapa final'!$Y$49),"")</f>
        <v/>
      </c>
      <c r="K45" s="77" t="str">
        <f>IF(AND('Mapa final'!$AI$50="Baja",'Mapa final'!$AK$50="Leve"),CONCATENATE("R10C",'Mapa final'!$Y$50),"")</f>
        <v/>
      </c>
      <c r="L45" s="77" t="str">
        <f>IF(AND('Mapa final'!$AI$51="Baja",'Mapa final'!$AK$51="Leve"),CONCATENATE("R10C",'Mapa final'!$Y$51),"")</f>
        <v/>
      </c>
      <c r="M45" s="77" t="str">
        <f>IF(AND('Mapa final'!$AI$52="Baja",'Mapa final'!$AK$52="Leve"),CONCATENATE("R10C",'Mapa final'!$Y$52),"")</f>
        <v/>
      </c>
      <c r="N45" s="77" t="str">
        <f>IF(AND('Mapa final'!$AI$53="Baja",'Mapa final'!$AK$53="Leve"),CONCATENATE("R10C",'Mapa final'!$Y$53),"")</f>
        <v/>
      </c>
      <c r="O45" s="78" t="str">
        <f>IF(AND('Mapa final'!$AI$54="Baja",'Mapa final'!$AK$54="Leve"),CONCATENATE("R10C",'Mapa final'!$Y$54),"")</f>
        <v/>
      </c>
      <c r="P45" s="64" t="str">
        <f>IF(AND('Mapa final'!$AI$49="Baja",'Mapa final'!$AK$49="Menor"),CONCATENATE("R10C",'Mapa final'!$Y$49),"")</f>
        <v/>
      </c>
      <c r="Q45" s="65" t="str">
        <f>IF(AND('Mapa final'!$AI$50="Baja",'Mapa final'!$AK$50="Menor"),CONCATENATE("R10C",'Mapa final'!$Y$50),"")</f>
        <v/>
      </c>
      <c r="R45" s="65" t="str">
        <f>IF(AND('Mapa final'!$AI$51="Baja",'Mapa final'!$AK$51="Menor"),CONCATENATE("R10C",'Mapa final'!$Y$51),"")</f>
        <v/>
      </c>
      <c r="S45" s="65" t="str">
        <f>IF(AND('Mapa final'!$AI$52="Baja",'Mapa final'!$AK$52="Menor"),CONCATENATE("R10C",'Mapa final'!$Y$52),"")</f>
        <v/>
      </c>
      <c r="T45" s="65" t="str">
        <f>IF(AND('Mapa final'!$AI$53="Baja",'Mapa final'!$AK$53="Menor"),CONCATENATE("R10C",'Mapa final'!$Y$53),"")</f>
        <v/>
      </c>
      <c r="U45" s="66" t="str">
        <f>IF(AND('Mapa final'!$AI$54="Baja",'Mapa final'!$AK$54="Menor"),CONCATENATE("R10C",'Mapa final'!$Y$54),"")</f>
        <v/>
      </c>
      <c r="V45" s="67" t="str">
        <f>IF(AND('Mapa final'!$AI$49="Baja",'Mapa final'!$AK$49="Moderado"),CONCATENATE("R10C",'Mapa final'!$Y$49),"")</f>
        <v/>
      </c>
      <c r="W45" s="68" t="str">
        <f>IF(AND('Mapa final'!$AI$50="Baja",'Mapa final'!$AK$50="Moderado"),CONCATENATE("R10C",'Mapa final'!$Y$50),"")</f>
        <v/>
      </c>
      <c r="X45" s="68" t="str">
        <f>IF(AND('Mapa final'!$AI$51="Baja",'Mapa final'!$AK$51="Moderado"),CONCATENATE("R10C",'Mapa final'!$Y$51),"")</f>
        <v/>
      </c>
      <c r="Y45" s="68" t="str">
        <f>IF(AND('Mapa final'!$AI$52="Baja",'Mapa final'!$AK$52="Moderado"),CONCATENATE("R10C",'Mapa final'!$Y$52),"")</f>
        <v/>
      </c>
      <c r="Z45" s="68" t="str">
        <f>IF(AND('Mapa final'!$AI$53="Baja",'Mapa final'!$AK$53="Moderado"),CONCATENATE("R10C",'Mapa final'!$Y$53),"")</f>
        <v/>
      </c>
      <c r="AA45" s="69" t="str">
        <f>IF(AND('Mapa final'!$AI$54="Baja",'Mapa final'!$AK$54="Moderado"),CONCATENATE("R10C",'Mapa final'!$Y$54),"")</f>
        <v/>
      </c>
      <c r="AB45" s="55" t="str">
        <f>IF(AND('Mapa final'!$AI$49="Baja",'Mapa final'!$AK$49="Mayor"),CONCATENATE("R10C",'Mapa final'!$Y$49),"")</f>
        <v/>
      </c>
      <c r="AC45" s="56" t="str">
        <f>IF(AND('Mapa final'!$AI$50="Baja",'Mapa final'!$AK$50="Mayor"),CONCATENATE("R10C",'Mapa final'!$Y$50),"")</f>
        <v/>
      </c>
      <c r="AD45" s="56" t="str">
        <f>IF(AND('Mapa final'!$AI$51="Baja",'Mapa final'!$AK$51="Mayor"),CONCATENATE("R10C",'Mapa final'!$Y$51),"")</f>
        <v/>
      </c>
      <c r="AE45" s="56" t="str">
        <f>IF(AND('Mapa final'!$AI$52="Baja",'Mapa final'!$AK$52="Mayor"),CONCATENATE("R10C",'Mapa final'!$Y$52),"")</f>
        <v/>
      </c>
      <c r="AF45" s="56" t="str">
        <f>IF(AND('Mapa final'!$AI$53="Baja",'Mapa final'!$AK$53="Mayor"),CONCATENATE("R10C",'Mapa final'!$Y$53),"")</f>
        <v/>
      </c>
      <c r="AG45" s="57" t="str">
        <f>IF(AND('Mapa final'!$AI$54="Baja",'Mapa final'!$AK$54="Mayor"),CONCATENATE("R10C",'Mapa final'!$Y$54),"")</f>
        <v/>
      </c>
      <c r="AH45" s="58" t="str">
        <f>IF(AND('Mapa final'!$AI$49="Baja",'Mapa final'!$AK$49="Catastrófico"),CONCATENATE("R10C",'Mapa final'!$Y$49),"")</f>
        <v/>
      </c>
      <c r="AI45" s="59" t="str">
        <f>IF(AND('Mapa final'!$AI$50="Baja",'Mapa final'!$AK$50="Catastrófico"),CONCATENATE("R10C",'Mapa final'!$Y$50),"")</f>
        <v/>
      </c>
      <c r="AJ45" s="59" t="str">
        <f>IF(AND('Mapa final'!$AI$51="Baja",'Mapa final'!$AK$51="Catastrófico"),CONCATENATE("R10C",'Mapa final'!$Y$51),"")</f>
        <v/>
      </c>
      <c r="AK45" s="59" t="str">
        <f>IF(AND('Mapa final'!$AI$52="Baja",'Mapa final'!$AK$52="Catastrófico"),CONCATENATE("R10C",'Mapa final'!$Y$52),"")</f>
        <v/>
      </c>
      <c r="AL45" s="59" t="str">
        <f>IF(AND('Mapa final'!$AI$53="Baja",'Mapa final'!$AK$53="Catastrófico"),CONCATENATE("R10C",'Mapa final'!$Y$53),"")</f>
        <v/>
      </c>
      <c r="AM45" s="60" t="str">
        <f>IF(AND('Mapa final'!$AI$54="Baja",'Mapa final'!$AK$54="Catastrófico"),CONCATENATE("R10C",'Mapa final'!$Y$54),"")</f>
        <v/>
      </c>
      <c r="AN45" s="80"/>
      <c r="AO45" s="477"/>
      <c r="AP45" s="478"/>
      <c r="AQ45" s="478"/>
      <c r="AR45" s="478"/>
      <c r="AS45" s="478"/>
      <c r="AT45" s="479"/>
    </row>
    <row r="46" spans="1:80" ht="46.5" customHeight="1" x14ac:dyDescent="0.35">
      <c r="A46" s="80"/>
      <c r="B46" s="402"/>
      <c r="C46" s="402"/>
      <c r="D46" s="403"/>
      <c r="E46" s="440" t="s">
        <v>146</v>
      </c>
      <c r="F46" s="441"/>
      <c r="G46" s="441"/>
      <c r="H46" s="441"/>
      <c r="I46" s="442"/>
      <c r="J46" s="70" t="str">
        <f>IF(AND('Mapa final'!$AI$11="Muy Baja",'Mapa final'!$AK$11="Leve"),CONCATENATE("R1C",'Mapa final'!$Y$11),"")</f>
        <v/>
      </c>
      <c r="K46" s="71" t="e">
        <f>IF(AND('Mapa final'!#REF!="Muy Baja",'Mapa final'!#REF!="Leve"),CONCATENATE("R1C",'Mapa final'!#REF!),"")</f>
        <v>#REF!</v>
      </c>
      <c r="L46" s="71" t="e">
        <f>IF(AND('Mapa final'!#REF!="Muy Baja",'Mapa final'!#REF!="Leve"),CONCATENATE("R1C",'Mapa final'!#REF!),"")</f>
        <v>#REF!</v>
      </c>
      <c r="M46" s="71" t="e">
        <f>IF(AND('Mapa final'!#REF!="Muy Baja",'Mapa final'!#REF!="Leve"),CONCATENATE("R1C",'Mapa final'!#REF!),"")</f>
        <v>#REF!</v>
      </c>
      <c r="N46" s="71" t="e">
        <f>IF(AND('Mapa final'!#REF!="Muy Baja",'Mapa final'!#REF!="Leve"),CONCATENATE("R1C",'Mapa final'!#REF!),"")</f>
        <v>#REF!</v>
      </c>
      <c r="O46" s="72" t="e">
        <f>IF(AND('Mapa final'!#REF!="Muy Baja",'Mapa final'!#REF!="Leve"),CONCATENATE("R1C",'Mapa final'!#REF!),"")</f>
        <v>#REF!</v>
      </c>
      <c r="P46" s="70" t="str">
        <f>IF(AND('Mapa final'!$AI$11="Muy Baja",'Mapa final'!$AK$11="Menor"),CONCATENATE("R1C",'Mapa final'!$Y$11),"")</f>
        <v/>
      </c>
      <c r="Q46" s="71" t="e">
        <f>IF(AND('Mapa final'!#REF!="Muy Baja",'Mapa final'!#REF!="Menor"),CONCATENATE("R1C",'Mapa final'!#REF!),"")</f>
        <v>#REF!</v>
      </c>
      <c r="R46" s="71" t="e">
        <f>IF(AND('Mapa final'!#REF!="Muy Baja",'Mapa final'!#REF!="Menor"),CONCATENATE("R1C",'Mapa final'!#REF!),"")</f>
        <v>#REF!</v>
      </c>
      <c r="S46" s="71" t="e">
        <f>IF(AND('Mapa final'!#REF!="Muy Baja",'Mapa final'!#REF!="Menor"),CONCATENATE("R1C",'Mapa final'!#REF!),"")</f>
        <v>#REF!</v>
      </c>
      <c r="T46" s="71" t="e">
        <f>IF(AND('Mapa final'!#REF!="Muy Baja",'Mapa final'!#REF!="Menor"),CONCATENATE("R1C",'Mapa final'!#REF!),"")</f>
        <v>#REF!</v>
      </c>
      <c r="U46" s="72" t="e">
        <f>IF(AND('Mapa final'!#REF!="Muy Baja",'Mapa final'!#REF!="Menor"),CONCATENATE("R1C",'Mapa final'!#REF!),"")</f>
        <v>#REF!</v>
      </c>
      <c r="V46" s="61" t="str">
        <f>IF(AND('Mapa final'!$AI$11="Muy Baja",'Mapa final'!$AK$11="Moderado"),CONCATENATE("R1C",'Mapa final'!$Y$11),"")</f>
        <v/>
      </c>
      <c r="W46" s="79" t="e">
        <f>IF(AND('Mapa final'!#REF!="Muy Baja",'Mapa final'!#REF!="Moderado"),CONCATENATE("R1C",'Mapa final'!#REF!),"")</f>
        <v>#REF!</v>
      </c>
      <c r="X46" s="62" t="e">
        <f>IF(AND('Mapa final'!#REF!="Muy Baja",'Mapa final'!#REF!="Moderado"),CONCATENATE("R1C",'Mapa final'!#REF!),"")</f>
        <v>#REF!</v>
      </c>
      <c r="Y46" s="62" t="e">
        <f>IF(AND('Mapa final'!#REF!="Muy Baja",'Mapa final'!#REF!="Moderado"),CONCATENATE("R1C",'Mapa final'!#REF!),"")</f>
        <v>#REF!</v>
      </c>
      <c r="Z46" s="62" t="e">
        <f>IF(AND('Mapa final'!#REF!="Muy Baja",'Mapa final'!#REF!="Moderado"),CONCATENATE("R1C",'Mapa final'!#REF!),"")</f>
        <v>#REF!</v>
      </c>
      <c r="AA46" s="63" t="e">
        <f>IF(AND('Mapa final'!#REF!="Muy Baja",'Mapa final'!#REF!="Moderado"),CONCATENATE("R1C",'Mapa final'!#REF!),"")</f>
        <v>#REF!</v>
      </c>
      <c r="AB46" s="43" t="str">
        <f>IF(AND('Mapa final'!$AI$11="Muy Baja",'Mapa final'!$AK$11="Mayor"),CONCATENATE("R1C",'Mapa final'!$Y$11),"")</f>
        <v/>
      </c>
      <c r="AC46" s="44" t="e">
        <f>IF(AND('Mapa final'!#REF!="Muy Baja",'Mapa final'!#REF!="Mayor"),CONCATENATE("R1C",'Mapa final'!#REF!),"")</f>
        <v>#REF!</v>
      </c>
      <c r="AD46" s="44" t="e">
        <f>IF(AND('Mapa final'!#REF!="Muy Baja",'Mapa final'!#REF!="Mayor"),CONCATENATE("R1C",'Mapa final'!#REF!),"")</f>
        <v>#REF!</v>
      </c>
      <c r="AE46" s="44" t="e">
        <f>IF(AND('Mapa final'!#REF!="Muy Baja",'Mapa final'!#REF!="Mayor"),CONCATENATE("R1C",'Mapa final'!#REF!),"")</f>
        <v>#REF!</v>
      </c>
      <c r="AF46" s="44" t="e">
        <f>IF(AND('Mapa final'!#REF!="Muy Baja",'Mapa final'!#REF!="Mayor"),CONCATENATE("R1C",'Mapa final'!#REF!),"")</f>
        <v>#REF!</v>
      </c>
      <c r="AG46" s="45" t="e">
        <f>IF(AND('Mapa final'!#REF!="Muy Baja",'Mapa final'!#REF!="Mayor"),CONCATENATE("R1C",'Mapa final'!#REF!),"")</f>
        <v>#REF!</v>
      </c>
      <c r="AH46" s="46" t="str">
        <f>IF(AND('Mapa final'!$AI$11="Muy Baja",'Mapa final'!$AK$11="Catastrófico"),CONCATENATE("R1C",'Mapa final'!$Y$11),"")</f>
        <v/>
      </c>
      <c r="AI46" s="47" t="e">
        <f>IF(AND('Mapa final'!#REF!="Muy Baja",'Mapa final'!#REF!="Catastrófico"),CONCATENATE("R1C",'Mapa final'!#REF!),"")</f>
        <v>#REF!</v>
      </c>
      <c r="AJ46" s="47" t="e">
        <f>IF(AND('Mapa final'!#REF!="Muy Baja",'Mapa final'!#REF!="Catastrófico"),CONCATENATE("R1C",'Mapa final'!#REF!),"")</f>
        <v>#REF!</v>
      </c>
      <c r="AK46" s="47" t="e">
        <f>IF(AND('Mapa final'!#REF!="Muy Baja",'Mapa final'!#REF!="Catastrófico"),CONCATENATE("R1C",'Mapa final'!#REF!),"")</f>
        <v>#REF!</v>
      </c>
      <c r="AL46" s="47" t="e">
        <f>IF(AND('Mapa final'!#REF!="Muy Baja",'Mapa final'!#REF!="Catastrófico"),CONCATENATE("R1C",'Mapa final'!#REF!),"")</f>
        <v>#REF!</v>
      </c>
      <c r="AM46" s="48" t="e">
        <f>IF(AND('Mapa final'!#REF!="Muy Baja",'Mapa final'!#REF!="Catastrófico"),CONCATENATE("R1C",'Mapa final'!#REF!),"")</f>
        <v>#REF!</v>
      </c>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row>
    <row r="47" spans="1:80" ht="46.5" customHeight="1" x14ac:dyDescent="0.25">
      <c r="A47" s="80"/>
      <c r="B47" s="402"/>
      <c r="C47" s="402"/>
      <c r="D47" s="403"/>
      <c r="E47" s="459"/>
      <c r="F47" s="444"/>
      <c r="G47" s="444"/>
      <c r="H47" s="444"/>
      <c r="I47" s="445"/>
      <c r="J47" s="73" t="str">
        <f>IF(AND('Mapa final'!$AI$12="Muy Baja",'Mapa final'!$AK$12="Leve"),CONCATENATE("R2C",'Mapa final'!$Y$12),"")</f>
        <v/>
      </c>
      <c r="K47" s="74" t="str">
        <f>IF(AND('Mapa final'!$AI$13="Muy Baja",'Mapa final'!$AK$13="Leve"),CONCATENATE("R2C",'Mapa final'!$Y$13),"")</f>
        <v/>
      </c>
      <c r="L47" s="74" t="e">
        <f>IF(AND('Mapa final'!#REF!="Muy Baja",'Mapa final'!#REF!="Leve"),CONCATENATE("R2C",'Mapa final'!#REF!),"")</f>
        <v>#REF!</v>
      </c>
      <c r="M47" s="74" t="e">
        <f>IF(AND('Mapa final'!#REF!="Muy Baja",'Mapa final'!#REF!="Leve"),CONCATENATE("R2C",'Mapa final'!#REF!),"")</f>
        <v>#REF!</v>
      </c>
      <c r="N47" s="74" t="e">
        <f>IF(AND('Mapa final'!#REF!="Muy Baja",'Mapa final'!#REF!="Leve"),CONCATENATE("R2C",'Mapa final'!#REF!),"")</f>
        <v>#REF!</v>
      </c>
      <c r="O47" s="75" t="e">
        <f>IF(AND('Mapa final'!#REF!="Muy Baja",'Mapa final'!#REF!="Leve"),CONCATENATE("R2C",'Mapa final'!#REF!),"")</f>
        <v>#REF!</v>
      </c>
      <c r="P47" s="73" t="str">
        <f>IF(AND('Mapa final'!$AI$12="Muy Baja",'Mapa final'!$AK$12="Menor"),CONCATENATE("R2C",'Mapa final'!$Y$12),"")</f>
        <v/>
      </c>
      <c r="Q47" s="74" t="str">
        <f>IF(AND('Mapa final'!$AI$13="Muy Baja",'Mapa final'!$AK$13="Menor"),CONCATENATE("R2C",'Mapa final'!$Y$13),"")</f>
        <v/>
      </c>
      <c r="R47" s="74" t="e">
        <f>IF(AND('Mapa final'!#REF!="Muy Baja",'Mapa final'!#REF!="Menor"),CONCATENATE("R2C",'Mapa final'!#REF!),"")</f>
        <v>#REF!</v>
      </c>
      <c r="S47" s="74" t="e">
        <f>IF(AND('Mapa final'!#REF!="Muy Baja",'Mapa final'!#REF!="Menor"),CONCATENATE("R2C",'Mapa final'!#REF!),"")</f>
        <v>#REF!</v>
      </c>
      <c r="T47" s="74" t="e">
        <f>IF(AND('Mapa final'!#REF!="Muy Baja",'Mapa final'!#REF!="Menor"),CONCATENATE("R2C",'Mapa final'!#REF!),"")</f>
        <v>#REF!</v>
      </c>
      <c r="U47" s="75" t="e">
        <f>IF(AND('Mapa final'!#REF!="Muy Baja",'Mapa final'!#REF!="Menor"),CONCATENATE("R2C",'Mapa final'!#REF!),"")</f>
        <v>#REF!</v>
      </c>
      <c r="V47" s="64" t="str">
        <f>IF(AND('Mapa final'!$AI$12="Muy Baja",'Mapa final'!$AK$12="Moderado"),CONCATENATE("R2C",'Mapa final'!$Y$12),"")</f>
        <v/>
      </c>
      <c r="W47" s="65" t="str">
        <f>IF(AND('Mapa final'!$AI$13="Muy Baja",'Mapa final'!$AK$13="Moderado"),CONCATENATE("R2C",'Mapa final'!$Y$13),"")</f>
        <v/>
      </c>
      <c r="X47" s="65" t="e">
        <f>IF(AND('Mapa final'!#REF!="Muy Baja",'Mapa final'!#REF!="Moderado"),CONCATENATE("R2C",'Mapa final'!#REF!),"")</f>
        <v>#REF!</v>
      </c>
      <c r="Y47" s="65" t="e">
        <f>IF(AND('Mapa final'!#REF!="Muy Baja",'Mapa final'!#REF!="Moderado"),CONCATENATE("R2C",'Mapa final'!#REF!),"")</f>
        <v>#REF!</v>
      </c>
      <c r="Z47" s="65" t="e">
        <f>IF(AND('Mapa final'!#REF!="Muy Baja",'Mapa final'!#REF!="Moderado"),CONCATENATE("R2C",'Mapa final'!#REF!),"")</f>
        <v>#REF!</v>
      </c>
      <c r="AA47" s="66" t="e">
        <f>IF(AND('Mapa final'!#REF!="Muy Baja",'Mapa final'!#REF!="Moderado"),CONCATENATE("R2C",'Mapa final'!#REF!),"")</f>
        <v>#REF!</v>
      </c>
      <c r="AB47" s="49" t="str">
        <f>IF(AND('Mapa final'!$AI$12="Muy Baja",'Mapa final'!$AK$12="Mayor"),CONCATENATE("R2C",'Mapa final'!$Y$12),"")</f>
        <v/>
      </c>
      <c r="AC47" s="50" t="str">
        <f>IF(AND('Mapa final'!$AI$13="Muy Baja",'Mapa final'!$AK$13="Mayor"),CONCATENATE("R2C",'Mapa final'!$Y$13),"")</f>
        <v/>
      </c>
      <c r="AD47" s="50" t="e">
        <f>IF(AND('Mapa final'!#REF!="Muy Baja",'Mapa final'!#REF!="Mayor"),CONCATENATE("R2C",'Mapa final'!#REF!),"")</f>
        <v>#REF!</v>
      </c>
      <c r="AE47" s="50" t="e">
        <f>IF(AND('Mapa final'!#REF!="Muy Baja",'Mapa final'!#REF!="Mayor"),CONCATENATE("R2C",'Mapa final'!#REF!),"")</f>
        <v>#REF!</v>
      </c>
      <c r="AF47" s="50" t="e">
        <f>IF(AND('Mapa final'!#REF!="Muy Baja",'Mapa final'!#REF!="Mayor"),CONCATENATE("R2C",'Mapa final'!#REF!),"")</f>
        <v>#REF!</v>
      </c>
      <c r="AG47" s="51" t="e">
        <f>IF(AND('Mapa final'!#REF!="Muy Baja",'Mapa final'!#REF!="Mayor"),CONCATENATE("R2C",'Mapa final'!#REF!),"")</f>
        <v>#REF!</v>
      </c>
      <c r="AH47" s="52" t="str">
        <f>IF(AND('Mapa final'!$AI$12="Muy Baja",'Mapa final'!$AK$12="Catastrófico"),CONCATENATE("R2C",'Mapa final'!$Y$12),"")</f>
        <v/>
      </c>
      <c r="AI47" s="53" t="str">
        <f>IF(AND('Mapa final'!$AI$13="Muy Baja",'Mapa final'!$AK$13="Catastrófico"),CONCATENATE("R2C",'Mapa final'!$Y$13),"")</f>
        <v/>
      </c>
      <c r="AJ47" s="53" t="e">
        <f>IF(AND('Mapa final'!#REF!="Muy Baja",'Mapa final'!#REF!="Catastrófico"),CONCATENATE("R2C",'Mapa final'!#REF!),"")</f>
        <v>#REF!</v>
      </c>
      <c r="AK47" s="53" t="e">
        <f>IF(AND('Mapa final'!#REF!="Muy Baja",'Mapa final'!#REF!="Catastrófico"),CONCATENATE("R2C",'Mapa final'!#REF!),"")</f>
        <v>#REF!</v>
      </c>
      <c r="AL47" s="53" t="e">
        <f>IF(AND('Mapa final'!#REF!="Muy Baja",'Mapa final'!#REF!="Catastrófico"),CONCATENATE("R2C",'Mapa final'!#REF!),"")</f>
        <v>#REF!</v>
      </c>
      <c r="AM47" s="54" t="e">
        <f>IF(AND('Mapa final'!#REF!="Muy Baja",'Mapa final'!#REF!="Catastrófico"),CONCATENATE("R2C",'Mapa final'!#REF!),"")</f>
        <v>#REF!</v>
      </c>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row>
    <row r="48" spans="1:80" ht="15" customHeight="1" x14ac:dyDescent="0.25">
      <c r="A48" s="80"/>
      <c r="B48" s="402"/>
      <c r="C48" s="402"/>
      <c r="D48" s="403"/>
      <c r="E48" s="459"/>
      <c r="F48" s="444"/>
      <c r="G48" s="444"/>
      <c r="H48" s="444"/>
      <c r="I48" s="445"/>
      <c r="J48" s="73" t="str">
        <f>IF(AND('Mapa final'!$AI$14="Muy Baja",'Mapa final'!$AK$14="Leve"),CONCATENATE("R3C",'Mapa final'!$Y$14),"")</f>
        <v/>
      </c>
      <c r="K48" s="74" t="str">
        <f>IF(AND('Mapa final'!$AI$15="Muy Baja",'Mapa final'!$AK$15="Leve"),CONCATENATE("R3C",'Mapa final'!$Y$15),"")</f>
        <v/>
      </c>
      <c r="L48" s="74" t="e">
        <f>IF(AND('Mapa final'!#REF!="Muy Baja",'Mapa final'!#REF!="Leve"),CONCATENATE("R3C",'Mapa final'!#REF!),"")</f>
        <v>#REF!</v>
      </c>
      <c r="M48" s="74" t="e">
        <f>IF(AND('Mapa final'!#REF!="Muy Baja",'Mapa final'!#REF!="Leve"),CONCATENATE("R3C",'Mapa final'!#REF!),"")</f>
        <v>#REF!</v>
      </c>
      <c r="N48" s="74" t="e">
        <f>IF(AND('Mapa final'!#REF!="Muy Baja",'Mapa final'!#REF!="Leve"),CONCATENATE("R3C",'Mapa final'!#REF!),"")</f>
        <v>#REF!</v>
      </c>
      <c r="O48" s="75" t="e">
        <f>IF(AND('Mapa final'!#REF!="Muy Baja",'Mapa final'!#REF!="Leve"),CONCATENATE("R3C",'Mapa final'!#REF!),"")</f>
        <v>#REF!</v>
      </c>
      <c r="P48" s="73" t="str">
        <f>IF(AND('Mapa final'!$AI$14="Muy Baja",'Mapa final'!$AK$14="Menor"),CONCATENATE("R3C",'Mapa final'!$Y$14),"")</f>
        <v/>
      </c>
      <c r="Q48" s="74" t="str">
        <f>IF(AND('Mapa final'!$AI$15="Muy Baja",'Mapa final'!$AK$15="Menor"),CONCATENATE("R3C",'Mapa final'!$Y$15),"")</f>
        <v/>
      </c>
      <c r="R48" s="74" t="e">
        <f>IF(AND('Mapa final'!#REF!="Muy Baja",'Mapa final'!#REF!="Menor"),CONCATENATE("R3C",'Mapa final'!#REF!),"")</f>
        <v>#REF!</v>
      </c>
      <c r="S48" s="74" t="e">
        <f>IF(AND('Mapa final'!#REF!="Muy Baja",'Mapa final'!#REF!="Menor"),CONCATENATE("R3C",'Mapa final'!#REF!),"")</f>
        <v>#REF!</v>
      </c>
      <c r="T48" s="74" t="e">
        <f>IF(AND('Mapa final'!#REF!="Muy Baja",'Mapa final'!#REF!="Menor"),CONCATENATE("R3C",'Mapa final'!#REF!),"")</f>
        <v>#REF!</v>
      </c>
      <c r="U48" s="75" t="e">
        <f>IF(AND('Mapa final'!#REF!="Muy Baja",'Mapa final'!#REF!="Menor"),CONCATENATE("R3C",'Mapa final'!#REF!),"")</f>
        <v>#REF!</v>
      </c>
      <c r="V48" s="64" t="str">
        <f>IF(AND('Mapa final'!$AI$14="Muy Baja",'Mapa final'!$AK$14="Moderado"),CONCATENATE("R3C",'Mapa final'!$Y$14),"")</f>
        <v/>
      </c>
      <c r="W48" s="65" t="str">
        <f>IF(AND('Mapa final'!$AI$15="Muy Baja",'Mapa final'!$AK$15="Moderado"),CONCATENATE("R3C",'Mapa final'!$Y$15),"")</f>
        <v/>
      </c>
      <c r="X48" s="65" t="e">
        <f>IF(AND('Mapa final'!#REF!="Muy Baja",'Mapa final'!#REF!="Moderado"),CONCATENATE("R3C",'Mapa final'!#REF!),"")</f>
        <v>#REF!</v>
      </c>
      <c r="Y48" s="65" t="e">
        <f>IF(AND('Mapa final'!#REF!="Muy Baja",'Mapa final'!#REF!="Moderado"),CONCATENATE("R3C",'Mapa final'!#REF!),"")</f>
        <v>#REF!</v>
      </c>
      <c r="Z48" s="65" t="e">
        <f>IF(AND('Mapa final'!#REF!="Muy Baja",'Mapa final'!#REF!="Moderado"),CONCATENATE("R3C",'Mapa final'!#REF!),"")</f>
        <v>#REF!</v>
      </c>
      <c r="AA48" s="66" t="e">
        <f>IF(AND('Mapa final'!#REF!="Muy Baja",'Mapa final'!#REF!="Moderado"),CONCATENATE("R3C",'Mapa final'!#REF!),"")</f>
        <v>#REF!</v>
      </c>
      <c r="AB48" s="49" t="str">
        <f>IF(AND('Mapa final'!$AI$14="Muy Baja",'Mapa final'!$AK$14="Mayor"),CONCATENATE("R3C",'Mapa final'!$Y$14),"")</f>
        <v/>
      </c>
      <c r="AC48" s="50" t="str">
        <f>IF(AND('Mapa final'!$AI$15="Muy Baja",'Mapa final'!$AK$15="Mayor"),CONCATENATE("R3C",'Mapa final'!$Y$15),"")</f>
        <v/>
      </c>
      <c r="AD48" s="50" t="e">
        <f>IF(AND('Mapa final'!#REF!="Muy Baja",'Mapa final'!#REF!="Mayor"),CONCATENATE("R3C",'Mapa final'!#REF!),"")</f>
        <v>#REF!</v>
      </c>
      <c r="AE48" s="50" t="e">
        <f>IF(AND('Mapa final'!#REF!="Muy Baja",'Mapa final'!#REF!="Mayor"),CONCATENATE("R3C",'Mapa final'!#REF!),"")</f>
        <v>#REF!</v>
      </c>
      <c r="AF48" s="50" t="e">
        <f>IF(AND('Mapa final'!#REF!="Muy Baja",'Mapa final'!#REF!="Mayor"),CONCATENATE("R3C",'Mapa final'!#REF!),"")</f>
        <v>#REF!</v>
      </c>
      <c r="AG48" s="51" t="e">
        <f>IF(AND('Mapa final'!#REF!="Muy Baja",'Mapa final'!#REF!="Mayor"),CONCATENATE("R3C",'Mapa final'!#REF!),"")</f>
        <v>#REF!</v>
      </c>
      <c r="AH48" s="52" t="str">
        <f>IF(AND('Mapa final'!$AI$14="Muy Baja",'Mapa final'!$AK$14="Catastrófico"),CONCATENATE("R3C",'Mapa final'!$Y$14),"")</f>
        <v/>
      </c>
      <c r="AI48" s="53" t="str">
        <f>IF(AND('Mapa final'!$AI$15="Muy Baja",'Mapa final'!$AK$15="Catastrófico"),CONCATENATE("R3C",'Mapa final'!$Y$15),"")</f>
        <v/>
      </c>
      <c r="AJ48" s="53" t="e">
        <f>IF(AND('Mapa final'!#REF!="Muy Baja",'Mapa final'!#REF!="Catastrófico"),CONCATENATE("R3C",'Mapa final'!#REF!),"")</f>
        <v>#REF!</v>
      </c>
      <c r="AK48" s="53" t="e">
        <f>IF(AND('Mapa final'!#REF!="Muy Baja",'Mapa final'!#REF!="Catastrófico"),CONCATENATE("R3C",'Mapa final'!#REF!),"")</f>
        <v>#REF!</v>
      </c>
      <c r="AL48" s="53" t="e">
        <f>IF(AND('Mapa final'!#REF!="Muy Baja",'Mapa final'!#REF!="Catastrófico"),CONCATENATE("R3C",'Mapa final'!#REF!),"")</f>
        <v>#REF!</v>
      </c>
      <c r="AM48" s="54" t="e">
        <f>IF(AND('Mapa final'!#REF!="Muy Baja",'Mapa final'!#REF!="Catastrófico"),CONCATENATE("R3C",'Mapa final'!#REF!),"")</f>
        <v>#REF!</v>
      </c>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row>
    <row r="49" spans="1:80" ht="15" customHeight="1" x14ac:dyDescent="0.25">
      <c r="A49" s="80"/>
      <c r="B49" s="402"/>
      <c r="C49" s="402"/>
      <c r="D49" s="403"/>
      <c r="E49" s="443"/>
      <c r="F49" s="444"/>
      <c r="G49" s="444"/>
      <c r="H49" s="444"/>
      <c r="I49" s="445"/>
      <c r="J49" s="73" t="str">
        <f>IF(AND('Mapa final'!$AI$16="Muy Baja",'Mapa final'!$AK$16="Leve"),CONCATENATE("R4C",'Mapa final'!$Y$16),"")</f>
        <v/>
      </c>
      <c r="K49" s="74" t="str">
        <f>IF(AND('Mapa final'!$AI$17="Muy Baja",'Mapa final'!$AK$17="Leve"),CONCATENATE("R4C",'Mapa final'!$Y$17),"")</f>
        <v/>
      </c>
      <c r="L49" s="74" t="str">
        <f>IF(AND('Mapa final'!$AI$18="Muy Baja",'Mapa final'!$AK$18="Leve"),CONCATENATE("R4C",'Mapa final'!$Y$18),"")</f>
        <v/>
      </c>
      <c r="M49" s="74" t="e">
        <f>IF(AND('Mapa final'!#REF!="Muy Baja",'Mapa final'!#REF!="Leve"),CONCATENATE("R4C",'Mapa final'!#REF!),"")</f>
        <v>#REF!</v>
      </c>
      <c r="N49" s="74" t="e">
        <f>IF(AND('Mapa final'!#REF!="Muy Baja",'Mapa final'!#REF!="Leve"),CONCATENATE("R4C",'Mapa final'!#REF!),"")</f>
        <v>#REF!</v>
      </c>
      <c r="O49" s="75" t="e">
        <f>IF(AND('Mapa final'!#REF!="Muy Baja",'Mapa final'!#REF!="Leve"),CONCATENATE("R4C",'Mapa final'!#REF!),"")</f>
        <v>#REF!</v>
      </c>
      <c r="P49" s="73" t="str">
        <f>IF(AND('Mapa final'!$AI$16="Muy Baja",'Mapa final'!$AK$16="Menor"),CONCATENATE("R4C",'Mapa final'!$Y$16),"")</f>
        <v>R4C1</v>
      </c>
      <c r="Q49" s="74" t="str">
        <f>IF(AND('Mapa final'!$AI$17="Muy Baja",'Mapa final'!$AK$17="Menor"),CONCATENATE("R4C",'Mapa final'!$Y$17),"")</f>
        <v/>
      </c>
      <c r="R49" s="74" t="str">
        <f>IF(AND('Mapa final'!$AI$18="Muy Baja",'Mapa final'!$AK$18="Menor"),CONCATENATE("R4C",'Mapa final'!$Y$18),"")</f>
        <v/>
      </c>
      <c r="S49" s="74" t="e">
        <f>IF(AND('Mapa final'!#REF!="Muy Baja",'Mapa final'!#REF!="Menor"),CONCATENATE("R4C",'Mapa final'!#REF!),"")</f>
        <v>#REF!</v>
      </c>
      <c r="T49" s="74" t="e">
        <f>IF(AND('Mapa final'!#REF!="Muy Baja",'Mapa final'!#REF!="Menor"),CONCATENATE("R4C",'Mapa final'!#REF!),"")</f>
        <v>#REF!</v>
      </c>
      <c r="U49" s="75" t="e">
        <f>IF(AND('Mapa final'!#REF!="Muy Baja",'Mapa final'!#REF!="Menor"),CONCATENATE("R4C",'Mapa final'!#REF!),"")</f>
        <v>#REF!</v>
      </c>
      <c r="V49" s="64" t="str">
        <f>IF(AND('Mapa final'!$AI$16="Muy Baja",'Mapa final'!$AK$16="Moderado"),CONCATENATE("R4C",'Mapa final'!$Y$16),"")</f>
        <v/>
      </c>
      <c r="W49" s="65" t="str">
        <f>IF(AND('Mapa final'!$AI$17="Muy Baja",'Mapa final'!$AK$17="Moderado"),CONCATENATE("R4C",'Mapa final'!$Y$17),"")</f>
        <v/>
      </c>
      <c r="X49" s="65" t="str">
        <f>IF(AND('Mapa final'!$AI$18="Muy Baja",'Mapa final'!$AK$18="Moderado"),CONCATENATE("R4C",'Mapa final'!$Y$18),"")</f>
        <v/>
      </c>
      <c r="Y49" s="65" t="e">
        <f>IF(AND('Mapa final'!#REF!="Muy Baja",'Mapa final'!#REF!="Moderado"),CONCATENATE("R4C",'Mapa final'!#REF!),"")</f>
        <v>#REF!</v>
      </c>
      <c r="Z49" s="65" t="e">
        <f>IF(AND('Mapa final'!#REF!="Muy Baja",'Mapa final'!#REF!="Moderado"),CONCATENATE("R4C",'Mapa final'!#REF!),"")</f>
        <v>#REF!</v>
      </c>
      <c r="AA49" s="66" t="e">
        <f>IF(AND('Mapa final'!#REF!="Muy Baja",'Mapa final'!#REF!="Moderado"),CONCATENATE("R4C",'Mapa final'!#REF!),"")</f>
        <v>#REF!</v>
      </c>
      <c r="AB49" s="49" t="str">
        <f>IF(AND('Mapa final'!$AI$16="Muy Baja",'Mapa final'!$AK$16="Mayor"),CONCATENATE("R4C",'Mapa final'!$Y$16),"")</f>
        <v/>
      </c>
      <c r="AC49" s="50" t="str">
        <f>IF(AND('Mapa final'!$AI$17="Muy Baja",'Mapa final'!$AK$17="Mayor"),CONCATENATE("R4C",'Mapa final'!$Y$17),"")</f>
        <v/>
      </c>
      <c r="AD49" s="50" t="str">
        <f>IF(AND('Mapa final'!$AI$18="Muy Baja",'Mapa final'!$AK$18="Mayor"),CONCATENATE("R4C",'Mapa final'!$Y$18),"")</f>
        <v/>
      </c>
      <c r="AE49" s="50" t="e">
        <f>IF(AND('Mapa final'!#REF!="Muy Baja",'Mapa final'!#REF!="Mayor"),CONCATENATE("R4C",'Mapa final'!#REF!),"")</f>
        <v>#REF!</v>
      </c>
      <c r="AF49" s="50" t="e">
        <f>IF(AND('Mapa final'!#REF!="Muy Baja",'Mapa final'!#REF!="Mayor"),CONCATENATE("R4C",'Mapa final'!#REF!),"")</f>
        <v>#REF!</v>
      </c>
      <c r="AG49" s="51" t="e">
        <f>IF(AND('Mapa final'!#REF!="Muy Baja",'Mapa final'!#REF!="Mayor"),CONCATENATE("R4C",'Mapa final'!#REF!),"")</f>
        <v>#REF!</v>
      </c>
      <c r="AH49" s="52" t="str">
        <f>IF(AND('Mapa final'!$AI$16="Muy Baja",'Mapa final'!$AK$16="Catastrófico"),CONCATENATE("R4C",'Mapa final'!$Y$16),"")</f>
        <v/>
      </c>
      <c r="AI49" s="53" t="str">
        <f>IF(AND('Mapa final'!$AI$17="Muy Baja",'Mapa final'!$AK$17="Catastrófico"),CONCATENATE("R4C",'Mapa final'!$Y$17),"")</f>
        <v/>
      </c>
      <c r="AJ49" s="53" t="str">
        <f>IF(AND('Mapa final'!$AI$18="Muy Baja",'Mapa final'!$AK$18="Catastrófico"),CONCATENATE("R4C",'Mapa final'!$Y$18),"")</f>
        <v/>
      </c>
      <c r="AK49" s="53" t="e">
        <f>IF(AND('Mapa final'!#REF!="Muy Baja",'Mapa final'!#REF!="Catastrófico"),CONCATENATE("R4C",'Mapa final'!#REF!),"")</f>
        <v>#REF!</v>
      </c>
      <c r="AL49" s="53" t="e">
        <f>IF(AND('Mapa final'!#REF!="Muy Baja",'Mapa final'!#REF!="Catastrófico"),CONCATENATE("R4C",'Mapa final'!#REF!),"")</f>
        <v>#REF!</v>
      </c>
      <c r="AM49" s="54" t="e">
        <f>IF(AND('Mapa final'!#REF!="Muy Baja",'Mapa final'!#REF!="Catastrófico"),CONCATENATE("R4C",'Mapa final'!#REF!),"")</f>
        <v>#REF!</v>
      </c>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c r="BQ49" s="80"/>
      <c r="BR49" s="80"/>
      <c r="BS49" s="80"/>
      <c r="BT49" s="80"/>
      <c r="BU49" s="80"/>
      <c r="BV49" s="80"/>
      <c r="BW49" s="80"/>
      <c r="BX49" s="80"/>
      <c r="BY49" s="80"/>
      <c r="BZ49" s="80"/>
      <c r="CA49" s="80"/>
      <c r="CB49" s="80"/>
    </row>
    <row r="50" spans="1:80" ht="15" customHeight="1" x14ac:dyDescent="0.25">
      <c r="A50" s="80"/>
      <c r="B50" s="402"/>
      <c r="C50" s="402"/>
      <c r="D50" s="403"/>
      <c r="E50" s="443"/>
      <c r="F50" s="444"/>
      <c r="G50" s="444"/>
      <c r="H50" s="444"/>
      <c r="I50" s="445"/>
      <c r="J50" s="73" t="str">
        <f>IF(AND('Mapa final'!$AI$19="Muy Baja",'Mapa final'!$AK$19="Leve"),CONCATENATE("R5C",'Mapa final'!$Y$19),"")</f>
        <v/>
      </c>
      <c r="K50" s="74" t="str">
        <f>IF(AND('Mapa final'!$AI$20="Muy Baja",'Mapa final'!$AK$20="Leve"),CONCATENATE("R5C",'Mapa final'!$Y$20),"")</f>
        <v/>
      </c>
      <c r="L50" s="74" t="str">
        <f>IF(AND('Mapa final'!$AI$21="Muy Baja",'Mapa final'!$AK$21="Leve"),CONCATENATE("R5C",'Mapa final'!$Y$21),"")</f>
        <v/>
      </c>
      <c r="M50" s="74" t="str">
        <f>IF(AND('Mapa final'!$AI$22="Muy Baja",'Mapa final'!$AK$22="Leve"),CONCATENATE("R5C",'Mapa final'!$Y$22),"")</f>
        <v/>
      </c>
      <c r="N50" s="74" t="str">
        <f>IF(AND('Mapa final'!$AI$23="Muy Baja",'Mapa final'!$AK$23="Leve"),CONCATENATE("R5C",'Mapa final'!$Y$23),"")</f>
        <v/>
      </c>
      <c r="O50" s="75" t="str">
        <f>IF(AND('Mapa final'!$AI$24="Muy Baja",'Mapa final'!$AK$24="Leve"),CONCATENATE("R5C",'Mapa final'!$Y$24),"")</f>
        <v/>
      </c>
      <c r="P50" s="73" t="str">
        <f>IF(AND('Mapa final'!$AI$19="Muy Baja",'Mapa final'!$AK$19="Menor"),CONCATENATE("R5C",'Mapa final'!$Y$19),"")</f>
        <v/>
      </c>
      <c r="Q50" s="74" t="str">
        <f>IF(AND('Mapa final'!$AI$20="Muy Baja",'Mapa final'!$AK$20="Menor"),CONCATENATE("R5C",'Mapa final'!$Y$20),"")</f>
        <v/>
      </c>
      <c r="R50" s="74" t="str">
        <f>IF(AND('Mapa final'!$AI$21="Muy Baja",'Mapa final'!$AK$21="Menor"),CONCATENATE("R5C",'Mapa final'!$Y$21),"")</f>
        <v/>
      </c>
      <c r="S50" s="74" t="str">
        <f>IF(AND('Mapa final'!$AI$22="Muy Baja",'Mapa final'!$AK$22="Menor"),CONCATENATE("R5C",'Mapa final'!$Y$22),"")</f>
        <v/>
      </c>
      <c r="T50" s="74" t="str">
        <f>IF(AND('Mapa final'!$AI$23="Muy Baja",'Mapa final'!$AK$23="Menor"),CONCATENATE("R5C",'Mapa final'!$Y$23),"")</f>
        <v/>
      </c>
      <c r="U50" s="75" t="str">
        <f>IF(AND('Mapa final'!$AI$24="Muy Baja",'Mapa final'!$AK$24="Menor"),CONCATENATE("R5C",'Mapa final'!$Y$24),"")</f>
        <v/>
      </c>
      <c r="V50" s="64" t="str">
        <f>IF(AND('Mapa final'!$AI$19="Muy Baja",'Mapa final'!$AK$19="Moderado"),CONCATENATE("R5C",'Mapa final'!$Y$19),"")</f>
        <v>R5C1</v>
      </c>
      <c r="W50" s="65" t="str">
        <f>IF(AND('Mapa final'!$AI$20="Muy Baja",'Mapa final'!$AK$20="Moderado"),CONCATENATE("R5C",'Mapa final'!$Y$20),"")</f>
        <v/>
      </c>
      <c r="X50" s="65" t="str">
        <f>IF(AND('Mapa final'!$AI$21="Muy Baja",'Mapa final'!$AK$21="Moderado"),CONCATENATE("R5C",'Mapa final'!$Y$21),"")</f>
        <v/>
      </c>
      <c r="Y50" s="65" t="str">
        <f>IF(AND('Mapa final'!$AI$22="Muy Baja",'Mapa final'!$AK$22="Moderado"),CONCATENATE("R5C",'Mapa final'!$Y$22),"")</f>
        <v/>
      </c>
      <c r="Z50" s="65" t="str">
        <f>IF(AND('Mapa final'!$AI$23="Muy Baja",'Mapa final'!$AK$23="Moderado"),CONCATENATE("R5C",'Mapa final'!$Y$23),"")</f>
        <v/>
      </c>
      <c r="AA50" s="66" t="str">
        <f>IF(AND('Mapa final'!$AI$24="Muy Baja",'Mapa final'!$AK$24="Moderado"),CONCATENATE("R5C",'Mapa final'!$Y$24),"")</f>
        <v/>
      </c>
      <c r="AB50" s="49" t="str">
        <f>IF(AND('Mapa final'!$AI$19="Muy Baja",'Mapa final'!$AK$19="Mayor"),CONCATENATE("R5C",'Mapa final'!$Y$19),"")</f>
        <v/>
      </c>
      <c r="AC50" s="50" t="str">
        <f>IF(AND('Mapa final'!$AI$20="Muy Baja",'Mapa final'!$AK$20="Mayor"),CONCATENATE("R5C",'Mapa final'!$Y$20),"")</f>
        <v/>
      </c>
      <c r="AD50" s="50" t="str">
        <f>IF(AND('Mapa final'!$AI$21="Muy Baja",'Mapa final'!$AK$21="Mayor"),CONCATENATE("R5C",'Mapa final'!$Y$21),"")</f>
        <v/>
      </c>
      <c r="AE50" s="50" t="str">
        <f>IF(AND('Mapa final'!$AI$22="Muy Baja",'Mapa final'!$AK$22="Mayor"),CONCATENATE("R5C",'Mapa final'!$Y$22),"")</f>
        <v/>
      </c>
      <c r="AF50" s="50" t="str">
        <f>IF(AND('Mapa final'!$AI$23="Muy Baja",'Mapa final'!$AK$23="Mayor"),CONCATENATE("R5C",'Mapa final'!$Y$23),"")</f>
        <v/>
      </c>
      <c r="AG50" s="51" t="str">
        <f>IF(AND('Mapa final'!$AI$24="Muy Baja",'Mapa final'!$AK$24="Mayor"),CONCATENATE("R5C",'Mapa final'!$Y$24),"")</f>
        <v/>
      </c>
      <c r="AH50" s="52" t="str">
        <f>IF(AND('Mapa final'!$AI$19="Muy Baja",'Mapa final'!$AK$19="Catastrófico"),CONCATENATE("R5C",'Mapa final'!$Y$19),"")</f>
        <v/>
      </c>
      <c r="AI50" s="53" t="str">
        <f>IF(AND('Mapa final'!$AI$20="Muy Baja",'Mapa final'!$AK$20="Catastrófico"),CONCATENATE("R5C",'Mapa final'!$Y$20),"")</f>
        <v/>
      </c>
      <c r="AJ50" s="53" t="str">
        <f>IF(AND('Mapa final'!$AI$21="Muy Baja",'Mapa final'!$AK$21="Catastrófico"),CONCATENATE("R5C",'Mapa final'!$Y$21),"")</f>
        <v/>
      </c>
      <c r="AK50" s="53" t="str">
        <f>IF(AND('Mapa final'!$AI$22="Muy Baja",'Mapa final'!$AK$22="Catastrófico"),CONCATENATE("R5C",'Mapa final'!$Y$22),"")</f>
        <v/>
      </c>
      <c r="AL50" s="53" t="str">
        <f>IF(AND('Mapa final'!$AI$23="Muy Baja",'Mapa final'!$AK$23="Catastrófico"),CONCATENATE("R5C",'Mapa final'!$Y$23),"")</f>
        <v/>
      </c>
      <c r="AM50" s="54" t="str">
        <f>IF(AND('Mapa final'!$AI$24="Muy Baja",'Mapa final'!$AK$24="Catastrófico"),CONCATENATE("R5C",'Mapa final'!$Y$24),"")</f>
        <v/>
      </c>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row>
    <row r="51" spans="1:80" ht="15" customHeight="1" x14ac:dyDescent="0.25">
      <c r="A51" s="80"/>
      <c r="B51" s="402"/>
      <c r="C51" s="402"/>
      <c r="D51" s="403"/>
      <c r="E51" s="443"/>
      <c r="F51" s="444"/>
      <c r="G51" s="444"/>
      <c r="H51" s="444"/>
      <c r="I51" s="445"/>
      <c r="J51" s="73" t="str">
        <f>IF(AND('Mapa final'!$AI$25="Muy Baja",'Mapa final'!$AK$25="Leve"),CONCATENATE("R6C",'Mapa final'!$Y$25),"")</f>
        <v/>
      </c>
      <c r="K51" s="74" t="str">
        <f>IF(AND('Mapa final'!$AI$26="Muy Baja",'Mapa final'!$AK$26="Leve"),CONCATENATE("R6C",'Mapa final'!$Y$26),"")</f>
        <v/>
      </c>
      <c r="L51" s="74" t="str">
        <f>IF(AND('Mapa final'!$AI$27="Muy Baja",'Mapa final'!$AK$27="Leve"),CONCATENATE("R6C",'Mapa final'!$Y$27),"")</f>
        <v/>
      </c>
      <c r="M51" s="74" t="str">
        <f>IF(AND('Mapa final'!$AI$28="Muy Baja",'Mapa final'!$AK$28="Leve"),CONCATENATE("R6C",'Mapa final'!$Y$28),"")</f>
        <v/>
      </c>
      <c r="N51" s="74" t="str">
        <f>IF(AND('Mapa final'!$AI$29="Muy Baja",'Mapa final'!$AK$29="Leve"),CONCATENATE("R6C",'Mapa final'!$Y$29),"")</f>
        <v/>
      </c>
      <c r="O51" s="75" t="str">
        <f>IF(AND('Mapa final'!$AI$30="Muy Baja",'Mapa final'!$AK$30="Leve"),CONCATENATE("R6C",'Mapa final'!$Y$30),"")</f>
        <v/>
      </c>
      <c r="P51" s="73" t="str">
        <f>IF(AND('Mapa final'!$AI$25="Muy Baja",'Mapa final'!$AK$25="Menor"),CONCATENATE("R6C",'Mapa final'!$Y$25),"")</f>
        <v/>
      </c>
      <c r="Q51" s="74" t="str">
        <f>IF(AND('Mapa final'!$AI$26="Muy Baja",'Mapa final'!$AK$26="Menor"),CONCATENATE("R6C",'Mapa final'!$Y$26),"")</f>
        <v/>
      </c>
      <c r="R51" s="74" t="str">
        <f>IF(AND('Mapa final'!$AI$27="Muy Baja",'Mapa final'!$AK$27="Menor"),CONCATENATE("R6C",'Mapa final'!$Y$27),"")</f>
        <v/>
      </c>
      <c r="S51" s="74" t="str">
        <f>IF(AND('Mapa final'!$AI$28="Muy Baja",'Mapa final'!$AK$28="Menor"),CONCATENATE("R6C",'Mapa final'!$Y$28),"")</f>
        <v/>
      </c>
      <c r="T51" s="74" t="str">
        <f>IF(AND('Mapa final'!$AI$29="Muy Baja",'Mapa final'!$AK$29="Menor"),CONCATENATE("R6C",'Mapa final'!$Y$29),"")</f>
        <v/>
      </c>
      <c r="U51" s="75" t="str">
        <f>IF(AND('Mapa final'!$AI$30="Muy Baja",'Mapa final'!$AK$30="Menor"),CONCATENATE("R6C",'Mapa final'!$Y$30),"")</f>
        <v/>
      </c>
      <c r="V51" s="64" t="str">
        <f>IF(AND('Mapa final'!$AI$25="Muy Baja",'Mapa final'!$AK$25="Moderado"),CONCATENATE("R6C",'Mapa final'!$Y$25),"")</f>
        <v/>
      </c>
      <c r="W51" s="65" t="str">
        <f>IF(AND('Mapa final'!$AI$26="Muy Baja",'Mapa final'!$AK$26="Moderado"),CONCATENATE("R6C",'Mapa final'!$Y$26),"")</f>
        <v/>
      </c>
      <c r="X51" s="65" t="str">
        <f>IF(AND('Mapa final'!$AI$27="Muy Baja",'Mapa final'!$AK$27="Moderado"),CONCATENATE("R6C",'Mapa final'!$Y$27),"")</f>
        <v/>
      </c>
      <c r="Y51" s="65" t="str">
        <f>IF(AND('Mapa final'!$AI$28="Muy Baja",'Mapa final'!$AK$28="Moderado"),CONCATENATE("R6C",'Mapa final'!$Y$28),"")</f>
        <v/>
      </c>
      <c r="Z51" s="65" t="str">
        <f>IF(AND('Mapa final'!$AI$29="Muy Baja",'Mapa final'!$AK$29="Moderado"),CONCATENATE("R6C",'Mapa final'!$Y$29),"")</f>
        <v/>
      </c>
      <c r="AA51" s="66" t="str">
        <f>IF(AND('Mapa final'!$AI$30="Muy Baja",'Mapa final'!$AK$30="Moderado"),CONCATENATE("R6C",'Mapa final'!$Y$30),"")</f>
        <v/>
      </c>
      <c r="AB51" s="49" t="str">
        <f>IF(AND('Mapa final'!$AI$25="Muy Baja",'Mapa final'!$AK$25="Mayor"),CONCATENATE("R6C",'Mapa final'!$Y$25),"")</f>
        <v/>
      </c>
      <c r="AC51" s="50" t="str">
        <f>IF(AND('Mapa final'!$AI$26="Muy Baja",'Mapa final'!$AK$26="Mayor"),CONCATENATE("R6C",'Mapa final'!$Y$26),"")</f>
        <v/>
      </c>
      <c r="AD51" s="50" t="str">
        <f>IF(AND('Mapa final'!$AI$27="Muy Baja",'Mapa final'!$AK$27="Mayor"),CONCATENATE("R6C",'Mapa final'!$Y$27),"")</f>
        <v/>
      </c>
      <c r="AE51" s="50" t="str">
        <f>IF(AND('Mapa final'!$AI$28="Muy Baja",'Mapa final'!$AK$28="Mayor"),CONCATENATE("R6C",'Mapa final'!$Y$28),"")</f>
        <v/>
      </c>
      <c r="AF51" s="50" t="str">
        <f>IF(AND('Mapa final'!$AI$29="Muy Baja",'Mapa final'!$AK$29="Mayor"),CONCATENATE("R6C",'Mapa final'!$Y$29),"")</f>
        <v/>
      </c>
      <c r="AG51" s="51" t="str">
        <f>IF(AND('Mapa final'!$AI$30="Muy Baja",'Mapa final'!$AK$30="Mayor"),CONCATENATE("R6C",'Mapa final'!$Y$30),"")</f>
        <v/>
      </c>
      <c r="AH51" s="52" t="str">
        <f>IF(AND('Mapa final'!$AI$25="Muy Baja",'Mapa final'!$AK$25="Catastrófico"),CONCATENATE("R6C",'Mapa final'!$Y$25),"")</f>
        <v/>
      </c>
      <c r="AI51" s="53" t="str">
        <f>IF(AND('Mapa final'!$AI$26="Muy Baja",'Mapa final'!$AK$26="Catastrófico"),CONCATENATE("R6C",'Mapa final'!$Y$26),"")</f>
        <v/>
      </c>
      <c r="AJ51" s="53" t="str">
        <f>IF(AND('Mapa final'!$AI$27="Muy Baja",'Mapa final'!$AK$27="Catastrófico"),CONCATENATE("R6C",'Mapa final'!$Y$27),"")</f>
        <v/>
      </c>
      <c r="AK51" s="53" t="str">
        <f>IF(AND('Mapa final'!$AI$28="Muy Baja",'Mapa final'!$AK$28="Catastrófico"),CONCATENATE("R6C",'Mapa final'!$Y$28),"")</f>
        <v/>
      </c>
      <c r="AL51" s="53" t="str">
        <f>IF(AND('Mapa final'!$AI$29="Muy Baja",'Mapa final'!$AK$29="Catastrófico"),CONCATENATE("R6C",'Mapa final'!$Y$29),"")</f>
        <v/>
      </c>
      <c r="AM51" s="54" t="str">
        <f>IF(AND('Mapa final'!$AI$30="Muy Baja",'Mapa final'!$AK$30="Catastrófico"),CONCATENATE("R6C",'Mapa final'!$Y$30),"")</f>
        <v/>
      </c>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c r="BO51" s="80"/>
      <c r="BP51" s="80"/>
      <c r="BQ51" s="80"/>
      <c r="BR51" s="80"/>
      <c r="BS51" s="80"/>
      <c r="BT51" s="80"/>
      <c r="BU51" s="80"/>
      <c r="BV51" s="80"/>
      <c r="BW51" s="80"/>
      <c r="BX51" s="80"/>
      <c r="BY51" s="80"/>
      <c r="BZ51" s="80"/>
      <c r="CA51" s="80"/>
      <c r="CB51" s="80"/>
    </row>
    <row r="52" spans="1:80" ht="15" customHeight="1" x14ac:dyDescent="0.25">
      <c r="A52" s="80"/>
      <c r="B52" s="402"/>
      <c r="C52" s="402"/>
      <c r="D52" s="403"/>
      <c r="E52" s="443"/>
      <c r="F52" s="444"/>
      <c r="G52" s="444"/>
      <c r="H52" s="444"/>
      <c r="I52" s="445"/>
      <c r="J52" s="73" t="str">
        <f>IF(AND('Mapa final'!$AI$31="Muy Baja",'Mapa final'!$AK$31="Leve"),CONCATENATE("R7C",'Mapa final'!$Y$31),"")</f>
        <v/>
      </c>
      <c r="K52" s="74" t="str">
        <f>IF(AND('Mapa final'!$AI$32="Muy Baja",'Mapa final'!$AK$32="Leve"),CONCATENATE("R7C",'Mapa final'!$Y$32),"")</f>
        <v/>
      </c>
      <c r="L52" s="74" t="str">
        <f>IF(AND('Mapa final'!$AI$33="Muy Baja",'Mapa final'!$AK$33="Leve"),CONCATENATE("R7C",'Mapa final'!$Y$33),"")</f>
        <v/>
      </c>
      <c r="M52" s="74" t="str">
        <f>IF(AND('Mapa final'!$AI$34="Muy Baja",'Mapa final'!$AK$34="Leve"),CONCATENATE("R7C",'Mapa final'!$Y$34),"")</f>
        <v/>
      </c>
      <c r="N52" s="74" t="str">
        <f>IF(AND('Mapa final'!$AI$35="Muy Baja",'Mapa final'!$AK$35="Leve"),CONCATENATE("R7C",'Mapa final'!$Y$35),"")</f>
        <v/>
      </c>
      <c r="O52" s="75" t="str">
        <f>IF(AND('Mapa final'!$AI$36="Muy Baja",'Mapa final'!$AK$36="Leve"),CONCATENATE("R7C",'Mapa final'!$Y$36),"")</f>
        <v/>
      </c>
      <c r="P52" s="73" t="str">
        <f>IF(AND('Mapa final'!$AI$31="Muy Baja",'Mapa final'!$AK$31="Menor"),CONCATENATE("R7C",'Mapa final'!$Y$31),"")</f>
        <v/>
      </c>
      <c r="Q52" s="74" t="str">
        <f>IF(AND('Mapa final'!$AI$32="Muy Baja",'Mapa final'!$AK$32="Menor"),CONCATENATE("R7C",'Mapa final'!$Y$32),"")</f>
        <v/>
      </c>
      <c r="R52" s="74" t="str">
        <f>IF(AND('Mapa final'!$AI$33="Muy Baja",'Mapa final'!$AK$33="Menor"),CONCATENATE("R7C",'Mapa final'!$Y$33),"")</f>
        <v/>
      </c>
      <c r="S52" s="74" t="str">
        <f>IF(AND('Mapa final'!$AI$34="Muy Baja",'Mapa final'!$AK$34="Menor"),CONCATENATE("R7C",'Mapa final'!$Y$34),"")</f>
        <v/>
      </c>
      <c r="T52" s="74" t="str">
        <f>IF(AND('Mapa final'!$AI$35="Muy Baja",'Mapa final'!$AK$35="Menor"),CONCATENATE("R7C",'Mapa final'!$Y$35),"")</f>
        <v/>
      </c>
      <c r="U52" s="75" t="str">
        <f>IF(AND('Mapa final'!$AI$36="Muy Baja",'Mapa final'!$AK$36="Menor"),CONCATENATE("R7C",'Mapa final'!$Y$36),"")</f>
        <v/>
      </c>
      <c r="V52" s="64" t="str">
        <f>IF(AND('Mapa final'!$AI$31="Muy Baja",'Mapa final'!$AK$31="Moderado"),CONCATENATE("R7C",'Mapa final'!$Y$31),"")</f>
        <v/>
      </c>
      <c r="W52" s="65" t="str">
        <f>IF(AND('Mapa final'!$AI$32="Muy Baja",'Mapa final'!$AK$32="Moderado"),CONCATENATE("R7C",'Mapa final'!$Y$32),"")</f>
        <v/>
      </c>
      <c r="X52" s="65" t="str">
        <f>IF(AND('Mapa final'!$AI$33="Muy Baja",'Mapa final'!$AK$33="Moderado"),CONCATENATE("R7C",'Mapa final'!$Y$33),"")</f>
        <v/>
      </c>
      <c r="Y52" s="65" t="str">
        <f>IF(AND('Mapa final'!$AI$34="Muy Baja",'Mapa final'!$AK$34="Moderado"),CONCATENATE("R7C",'Mapa final'!$Y$34),"")</f>
        <v/>
      </c>
      <c r="Z52" s="65" t="str">
        <f>IF(AND('Mapa final'!$AI$35="Muy Baja",'Mapa final'!$AK$35="Moderado"),CONCATENATE("R7C",'Mapa final'!$Y$35),"")</f>
        <v/>
      </c>
      <c r="AA52" s="66" t="str">
        <f>IF(AND('Mapa final'!$AI$36="Muy Baja",'Mapa final'!$AK$36="Moderado"),CONCATENATE("R7C",'Mapa final'!$Y$36),"")</f>
        <v/>
      </c>
      <c r="AB52" s="49" t="str">
        <f>IF(AND('Mapa final'!$AI$31="Muy Baja",'Mapa final'!$AK$31="Mayor"),CONCATENATE("R7C",'Mapa final'!$Y$31),"")</f>
        <v/>
      </c>
      <c r="AC52" s="50" t="str">
        <f>IF(AND('Mapa final'!$AI$32="Muy Baja",'Mapa final'!$AK$32="Mayor"),CONCATENATE("R7C",'Mapa final'!$Y$32),"")</f>
        <v/>
      </c>
      <c r="AD52" s="50" t="str">
        <f>IF(AND('Mapa final'!$AI$33="Muy Baja",'Mapa final'!$AK$33="Mayor"),CONCATENATE("R7C",'Mapa final'!$Y$33),"")</f>
        <v/>
      </c>
      <c r="AE52" s="50" t="str">
        <f>IF(AND('Mapa final'!$AI$34="Muy Baja",'Mapa final'!$AK$34="Mayor"),CONCATENATE("R7C",'Mapa final'!$Y$34),"")</f>
        <v/>
      </c>
      <c r="AF52" s="50" t="str">
        <f>IF(AND('Mapa final'!$AI$35="Muy Baja",'Mapa final'!$AK$35="Mayor"),CONCATENATE("R7C",'Mapa final'!$Y$35),"")</f>
        <v/>
      </c>
      <c r="AG52" s="51" t="str">
        <f>IF(AND('Mapa final'!$AI$36="Muy Baja",'Mapa final'!$AK$36="Mayor"),CONCATENATE("R7C",'Mapa final'!$Y$36),"")</f>
        <v/>
      </c>
      <c r="AH52" s="52" t="str">
        <f>IF(AND('Mapa final'!$AI$31="Muy Baja",'Mapa final'!$AK$31="Catastrófico"),CONCATENATE("R7C",'Mapa final'!$Y$31),"")</f>
        <v/>
      </c>
      <c r="AI52" s="53" t="str">
        <f>IF(AND('Mapa final'!$AI$32="Muy Baja",'Mapa final'!$AK$32="Catastrófico"),CONCATENATE("R7C",'Mapa final'!$Y$32),"")</f>
        <v/>
      </c>
      <c r="AJ52" s="53" t="str">
        <f>IF(AND('Mapa final'!$AI$33="Muy Baja",'Mapa final'!$AK$33="Catastrófico"),CONCATENATE("R7C",'Mapa final'!$Y$33),"")</f>
        <v/>
      </c>
      <c r="AK52" s="53" t="str">
        <f>IF(AND('Mapa final'!$AI$34="Muy Baja",'Mapa final'!$AK$34="Catastrófico"),CONCATENATE("R7C",'Mapa final'!$Y$34),"")</f>
        <v/>
      </c>
      <c r="AL52" s="53" t="str">
        <f>IF(AND('Mapa final'!$AI$35="Muy Baja",'Mapa final'!$AK$35="Catastrófico"),CONCATENATE("R7C",'Mapa final'!$Y$35),"")</f>
        <v/>
      </c>
      <c r="AM52" s="54" t="str">
        <f>IF(AND('Mapa final'!$AI$36="Muy Baja",'Mapa final'!$AK$36="Catastrófico"),CONCATENATE("R7C",'Mapa final'!$Y$36),"")</f>
        <v/>
      </c>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c r="BO52" s="80"/>
      <c r="BP52" s="80"/>
      <c r="BQ52" s="80"/>
      <c r="BR52" s="80"/>
      <c r="BS52" s="80"/>
      <c r="BT52" s="80"/>
      <c r="BU52" s="80"/>
      <c r="BV52" s="80"/>
      <c r="BW52" s="80"/>
      <c r="BX52" s="80"/>
      <c r="BY52" s="80"/>
      <c r="BZ52" s="80"/>
      <c r="CA52" s="80"/>
      <c r="CB52" s="80"/>
    </row>
    <row r="53" spans="1:80" ht="15" customHeight="1" x14ac:dyDescent="0.25">
      <c r="A53" s="80"/>
      <c r="B53" s="402"/>
      <c r="C53" s="402"/>
      <c r="D53" s="403"/>
      <c r="E53" s="443"/>
      <c r="F53" s="444"/>
      <c r="G53" s="444"/>
      <c r="H53" s="444"/>
      <c r="I53" s="445"/>
      <c r="J53" s="73" t="str">
        <f>IF(AND('Mapa final'!$AI$37="Muy Baja",'Mapa final'!$AK$37="Leve"),CONCATENATE("R8C",'Mapa final'!$Y$37),"")</f>
        <v/>
      </c>
      <c r="K53" s="74" t="str">
        <f>IF(AND('Mapa final'!$AI$38="Muy Baja",'Mapa final'!$AK$38="Leve"),CONCATENATE("R8C",'Mapa final'!$Y$38),"")</f>
        <v/>
      </c>
      <c r="L53" s="74" t="str">
        <f>IF(AND('Mapa final'!$AI$39="Muy Baja",'Mapa final'!$AK$39="Leve"),CONCATENATE("R8C",'Mapa final'!$Y$39),"")</f>
        <v/>
      </c>
      <c r="M53" s="74" t="str">
        <f>IF(AND('Mapa final'!$AI$40="Muy Baja",'Mapa final'!$AK$40="Leve"),CONCATENATE("R8C",'Mapa final'!$Y$40),"")</f>
        <v/>
      </c>
      <c r="N53" s="74" t="str">
        <f>IF(AND('Mapa final'!$AI$41="Muy Baja",'Mapa final'!$AK$41="Leve"),CONCATENATE("R8C",'Mapa final'!$Y$41),"")</f>
        <v/>
      </c>
      <c r="O53" s="75" t="str">
        <f>IF(AND('Mapa final'!$AI$42="Muy Baja",'Mapa final'!$AK$42="Leve"),CONCATENATE("R8C",'Mapa final'!$Y$42),"")</f>
        <v/>
      </c>
      <c r="P53" s="73" t="str">
        <f>IF(AND('Mapa final'!$AI$37="Muy Baja",'Mapa final'!$AK$37="Menor"),CONCATENATE("R8C",'Mapa final'!$Y$37),"")</f>
        <v/>
      </c>
      <c r="Q53" s="74" t="str">
        <f>IF(AND('Mapa final'!$AI$38="Muy Baja",'Mapa final'!$AK$38="Menor"),CONCATENATE("R8C",'Mapa final'!$Y$38),"")</f>
        <v/>
      </c>
      <c r="R53" s="74" t="str">
        <f>IF(AND('Mapa final'!$AI$39="Muy Baja",'Mapa final'!$AK$39="Menor"),CONCATENATE("R8C",'Mapa final'!$Y$39),"")</f>
        <v/>
      </c>
      <c r="S53" s="74" t="str">
        <f>IF(AND('Mapa final'!$AI$40="Muy Baja",'Mapa final'!$AK$40="Menor"),CONCATENATE("R8C",'Mapa final'!$Y$40),"")</f>
        <v/>
      </c>
      <c r="T53" s="74" t="str">
        <f>IF(AND('Mapa final'!$AI$41="Muy Baja",'Mapa final'!$AK$41="Menor"),CONCATENATE("R8C",'Mapa final'!$Y$41),"")</f>
        <v/>
      </c>
      <c r="U53" s="75" t="str">
        <f>IF(AND('Mapa final'!$AI$42="Muy Baja",'Mapa final'!$AK$42="Menor"),CONCATENATE("R8C",'Mapa final'!$Y$42),"")</f>
        <v/>
      </c>
      <c r="V53" s="64" t="str">
        <f>IF(AND('Mapa final'!$AI$37="Muy Baja",'Mapa final'!$AK$37="Moderado"),CONCATENATE("R8C",'Mapa final'!$Y$37),"")</f>
        <v/>
      </c>
      <c r="W53" s="65" t="str">
        <f>IF(AND('Mapa final'!$AI$38="Muy Baja",'Mapa final'!$AK$38="Moderado"),CONCATENATE("R8C",'Mapa final'!$Y$38),"")</f>
        <v/>
      </c>
      <c r="X53" s="65" t="str">
        <f>IF(AND('Mapa final'!$AI$39="Muy Baja",'Mapa final'!$AK$39="Moderado"),CONCATENATE("R8C",'Mapa final'!$Y$39),"")</f>
        <v/>
      </c>
      <c r="Y53" s="65" t="str">
        <f>IF(AND('Mapa final'!$AI$40="Muy Baja",'Mapa final'!$AK$40="Moderado"),CONCATENATE("R8C",'Mapa final'!$Y$40),"")</f>
        <v/>
      </c>
      <c r="Z53" s="65" t="str">
        <f>IF(AND('Mapa final'!$AI$41="Muy Baja",'Mapa final'!$AK$41="Moderado"),CONCATENATE("R8C",'Mapa final'!$Y$41),"")</f>
        <v/>
      </c>
      <c r="AA53" s="66" t="str">
        <f>IF(AND('Mapa final'!$AI$42="Muy Baja",'Mapa final'!$AK$42="Moderado"),CONCATENATE("R8C",'Mapa final'!$Y$42),"")</f>
        <v/>
      </c>
      <c r="AB53" s="49" t="str">
        <f>IF(AND('Mapa final'!$AI$37="Muy Baja",'Mapa final'!$AK$37="Mayor"),CONCATENATE("R8C",'Mapa final'!$Y$37),"")</f>
        <v/>
      </c>
      <c r="AC53" s="50" t="str">
        <f>IF(AND('Mapa final'!$AI$38="Muy Baja",'Mapa final'!$AK$38="Mayor"),CONCATENATE("R8C",'Mapa final'!$Y$38),"")</f>
        <v/>
      </c>
      <c r="AD53" s="50" t="str">
        <f>IF(AND('Mapa final'!$AI$39="Muy Baja",'Mapa final'!$AK$39="Mayor"),CONCATENATE("R8C",'Mapa final'!$Y$39),"")</f>
        <v/>
      </c>
      <c r="AE53" s="50" t="str">
        <f>IF(AND('Mapa final'!$AI$40="Muy Baja",'Mapa final'!$AK$40="Mayor"),CONCATENATE("R8C",'Mapa final'!$Y$40),"")</f>
        <v/>
      </c>
      <c r="AF53" s="50" t="str">
        <f>IF(AND('Mapa final'!$AI$41="Muy Baja",'Mapa final'!$AK$41="Mayor"),CONCATENATE("R8C",'Mapa final'!$Y$41),"")</f>
        <v/>
      </c>
      <c r="AG53" s="51" t="str">
        <f>IF(AND('Mapa final'!$AI$42="Muy Baja",'Mapa final'!$AK$42="Mayor"),CONCATENATE("R8C",'Mapa final'!$Y$42),"")</f>
        <v/>
      </c>
      <c r="AH53" s="52" t="str">
        <f>IF(AND('Mapa final'!$AI$37="Muy Baja",'Mapa final'!$AK$37="Catastrófico"),CONCATENATE("R8C",'Mapa final'!$Y$37),"")</f>
        <v/>
      </c>
      <c r="AI53" s="53" t="str">
        <f>IF(AND('Mapa final'!$AI$38="Muy Baja",'Mapa final'!$AK$38="Catastrófico"),CONCATENATE("R8C",'Mapa final'!$Y$38),"")</f>
        <v/>
      </c>
      <c r="AJ53" s="53" t="str">
        <f>IF(AND('Mapa final'!$AI$39="Muy Baja",'Mapa final'!$AK$39="Catastrófico"),CONCATENATE("R8C",'Mapa final'!$Y$39),"")</f>
        <v/>
      </c>
      <c r="AK53" s="53" t="str">
        <f>IF(AND('Mapa final'!$AI$40="Muy Baja",'Mapa final'!$AK$40="Catastrófico"),CONCATENATE("R8C",'Mapa final'!$Y$40),"")</f>
        <v/>
      </c>
      <c r="AL53" s="53" t="str">
        <f>IF(AND('Mapa final'!$AI$41="Muy Baja",'Mapa final'!$AK$41="Catastrófico"),CONCATENATE("R8C",'Mapa final'!$Y$41),"")</f>
        <v/>
      </c>
      <c r="AM53" s="54" t="str">
        <f>IF(AND('Mapa final'!$AI$42="Muy Baja",'Mapa final'!$AK$42="Catastrófico"),CONCATENATE("R8C",'Mapa final'!$Y$42),"")</f>
        <v/>
      </c>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c r="BO53" s="80"/>
      <c r="BP53" s="80"/>
      <c r="BQ53" s="80"/>
      <c r="BR53" s="80"/>
      <c r="BS53" s="80"/>
      <c r="BT53" s="80"/>
      <c r="BU53" s="80"/>
      <c r="BV53" s="80"/>
      <c r="BW53" s="80"/>
      <c r="BX53" s="80"/>
      <c r="BY53" s="80"/>
      <c r="BZ53" s="80"/>
      <c r="CA53" s="80"/>
      <c r="CB53" s="80"/>
    </row>
    <row r="54" spans="1:80" ht="15" customHeight="1" x14ac:dyDescent="0.25">
      <c r="A54" s="80"/>
      <c r="B54" s="402"/>
      <c r="C54" s="402"/>
      <c r="D54" s="403"/>
      <c r="E54" s="443"/>
      <c r="F54" s="444"/>
      <c r="G54" s="444"/>
      <c r="H54" s="444"/>
      <c r="I54" s="445"/>
      <c r="J54" s="73" t="str">
        <f>IF(AND('Mapa final'!$AI$43="Muy Baja",'Mapa final'!$AK$43="Leve"),CONCATENATE("R9C",'Mapa final'!$Y$43),"")</f>
        <v/>
      </c>
      <c r="K54" s="74" t="str">
        <f>IF(AND('Mapa final'!$AI$44="Muy Baja",'Mapa final'!$AK$44="Leve"),CONCATENATE("R9C",'Mapa final'!$Y$44),"")</f>
        <v/>
      </c>
      <c r="L54" s="74" t="str">
        <f>IF(AND('Mapa final'!$AI$45="Muy Baja",'Mapa final'!$AK$45="Leve"),CONCATENATE("R9C",'Mapa final'!$Y$45),"")</f>
        <v/>
      </c>
      <c r="M54" s="74" t="str">
        <f>IF(AND('Mapa final'!$AI$46="Muy Baja",'Mapa final'!$AK$46="Leve"),CONCATENATE("R9C",'Mapa final'!$Y$46),"")</f>
        <v/>
      </c>
      <c r="N54" s="74" t="str">
        <f>IF(AND('Mapa final'!$AI$47="Muy Baja",'Mapa final'!$AK$47="Leve"),CONCATENATE("R9C",'Mapa final'!$Y$47),"")</f>
        <v/>
      </c>
      <c r="O54" s="75" t="str">
        <f>IF(AND('Mapa final'!$AI$48="Muy Baja",'Mapa final'!$AK$48="Leve"),CONCATENATE("R9C",'Mapa final'!$Y$48),"")</f>
        <v/>
      </c>
      <c r="P54" s="73" t="str">
        <f>IF(AND('Mapa final'!$AI$43="Muy Baja",'Mapa final'!$AK$43="Menor"),CONCATENATE("R9C",'Mapa final'!$Y$43),"")</f>
        <v/>
      </c>
      <c r="Q54" s="74" t="str">
        <f>IF(AND('Mapa final'!$AI$44="Muy Baja",'Mapa final'!$AK$44="Menor"),CONCATENATE("R9C",'Mapa final'!$Y$44),"")</f>
        <v/>
      </c>
      <c r="R54" s="74" t="str">
        <f>IF(AND('Mapa final'!$AI$45="Muy Baja",'Mapa final'!$AK$45="Menor"),CONCATENATE("R9C",'Mapa final'!$Y$45),"")</f>
        <v/>
      </c>
      <c r="S54" s="74" t="str">
        <f>IF(AND('Mapa final'!$AI$46="Muy Baja",'Mapa final'!$AK$46="Menor"),CONCATENATE("R9C",'Mapa final'!$Y$46),"")</f>
        <v/>
      </c>
      <c r="T54" s="74" t="str">
        <f>IF(AND('Mapa final'!$AI$47="Muy Baja",'Mapa final'!$AK$47="Menor"),CONCATENATE("R9C",'Mapa final'!$Y$47),"")</f>
        <v/>
      </c>
      <c r="U54" s="75" t="str">
        <f>IF(AND('Mapa final'!$AI$48="Muy Baja",'Mapa final'!$AK$48="Menor"),CONCATENATE("R9C",'Mapa final'!$Y$48),"")</f>
        <v/>
      </c>
      <c r="V54" s="64" t="str">
        <f>IF(AND('Mapa final'!$AI$43="Muy Baja",'Mapa final'!$AK$43="Moderado"),CONCATENATE("R9C",'Mapa final'!$Y$43),"")</f>
        <v/>
      </c>
      <c r="W54" s="65" t="str">
        <f>IF(AND('Mapa final'!$AI$44="Muy Baja",'Mapa final'!$AK$44="Moderado"),CONCATENATE("R9C",'Mapa final'!$Y$44),"")</f>
        <v/>
      </c>
      <c r="X54" s="65" t="str">
        <f>IF(AND('Mapa final'!$AI$45="Muy Baja",'Mapa final'!$AK$45="Moderado"),CONCATENATE("R9C",'Mapa final'!$Y$45),"")</f>
        <v/>
      </c>
      <c r="Y54" s="65" t="str">
        <f>IF(AND('Mapa final'!$AI$46="Muy Baja",'Mapa final'!$AK$46="Moderado"),CONCATENATE("R9C",'Mapa final'!$Y$46),"")</f>
        <v/>
      </c>
      <c r="Z54" s="65" t="str">
        <f>IF(AND('Mapa final'!$AI$47="Muy Baja",'Mapa final'!$AK$47="Moderado"),CONCATENATE("R9C",'Mapa final'!$Y$47),"")</f>
        <v/>
      </c>
      <c r="AA54" s="66" t="str">
        <f>IF(AND('Mapa final'!$AI$48="Muy Baja",'Mapa final'!$AK$48="Moderado"),CONCATENATE("R9C",'Mapa final'!$Y$48),"")</f>
        <v/>
      </c>
      <c r="AB54" s="49" t="str">
        <f>IF(AND('Mapa final'!$AI$43="Muy Baja",'Mapa final'!$AK$43="Mayor"),CONCATENATE("R9C",'Mapa final'!$Y$43),"")</f>
        <v/>
      </c>
      <c r="AC54" s="50" t="str">
        <f>IF(AND('Mapa final'!$AI$44="Muy Baja",'Mapa final'!$AK$44="Mayor"),CONCATENATE("R9C",'Mapa final'!$Y$44),"")</f>
        <v/>
      </c>
      <c r="AD54" s="50" t="str">
        <f>IF(AND('Mapa final'!$AI$45="Muy Baja",'Mapa final'!$AK$45="Mayor"),CONCATENATE("R9C",'Mapa final'!$Y$45),"")</f>
        <v/>
      </c>
      <c r="AE54" s="50" t="str">
        <f>IF(AND('Mapa final'!$AI$46="Muy Baja",'Mapa final'!$AK$46="Mayor"),CONCATENATE("R9C",'Mapa final'!$Y$46),"")</f>
        <v/>
      </c>
      <c r="AF54" s="50" t="str">
        <f>IF(AND('Mapa final'!$AI$47="Muy Baja",'Mapa final'!$AK$47="Mayor"),CONCATENATE("R9C",'Mapa final'!$Y$47),"")</f>
        <v/>
      </c>
      <c r="AG54" s="51" t="str">
        <f>IF(AND('Mapa final'!$AI$48="Muy Baja",'Mapa final'!$AK$48="Mayor"),CONCATENATE("R9C",'Mapa final'!$Y$48),"")</f>
        <v/>
      </c>
      <c r="AH54" s="52" t="str">
        <f>IF(AND('Mapa final'!$AI$43="Muy Baja",'Mapa final'!$AK$43="Catastrófico"),CONCATENATE("R9C",'Mapa final'!$Y$43),"")</f>
        <v/>
      </c>
      <c r="AI54" s="53" t="str">
        <f>IF(AND('Mapa final'!$AI$44="Muy Baja",'Mapa final'!$AK$44="Catastrófico"),CONCATENATE("R9C",'Mapa final'!$Y$44),"")</f>
        <v/>
      </c>
      <c r="AJ54" s="53" t="str">
        <f>IF(AND('Mapa final'!$AI$45="Muy Baja",'Mapa final'!$AK$45="Catastrófico"),CONCATENATE("R9C",'Mapa final'!$Y$45),"")</f>
        <v/>
      </c>
      <c r="AK54" s="53" t="str">
        <f>IF(AND('Mapa final'!$AI$46="Muy Baja",'Mapa final'!$AK$46="Catastrófico"),CONCATENATE("R9C",'Mapa final'!$Y$46),"")</f>
        <v/>
      </c>
      <c r="AL54" s="53" t="str">
        <f>IF(AND('Mapa final'!$AI$47="Muy Baja",'Mapa final'!$AK$47="Catastrófico"),CONCATENATE("R9C",'Mapa final'!$Y$47),"")</f>
        <v/>
      </c>
      <c r="AM54" s="54" t="str">
        <f>IF(AND('Mapa final'!$AI$48="Muy Baja",'Mapa final'!$AK$48="Catastrófico"),CONCATENATE("R9C",'Mapa final'!$Y$48),"")</f>
        <v/>
      </c>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c r="BO54" s="80"/>
      <c r="BP54" s="80"/>
      <c r="BQ54" s="80"/>
      <c r="BR54" s="80"/>
      <c r="BS54" s="80"/>
      <c r="BT54" s="80"/>
      <c r="BU54" s="80"/>
      <c r="BV54" s="80"/>
      <c r="BW54" s="80"/>
      <c r="BX54" s="80"/>
      <c r="BY54" s="80"/>
      <c r="BZ54" s="80"/>
      <c r="CA54" s="80"/>
      <c r="CB54" s="80"/>
    </row>
    <row r="55" spans="1:80" ht="15.75" customHeight="1" thickBot="1" x14ac:dyDescent="0.3">
      <c r="A55" s="80"/>
      <c r="B55" s="402"/>
      <c r="C55" s="402"/>
      <c r="D55" s="403"/>
      <c r="E55" s="446"/>
      <c r="F55" s="447"/>
      <c r="G55" s="447"/>
      <c r="H55" s="447"/>
      <c r="I55" s="448"/>
      <c r="J55" s="76" t="str">
        <f>IF(AND('Mapa final'!$AI$49="Muy Baja",'Mapa final'!$AK$49="Leve"),CONCATENATE("R10C",'Mapa final'!$Y$49),"")</f>
        <v/>
      </c>
      <c r="K55" s="77" t="str">
        <f>IF(AND('Mapa final'!$AI$50="Muy Baja",'Mapa final'!$AK$50="Leve"),CONCATENATE("R10C",'Mapa final'!$Y$50),"")</f>
        <v/>
      </c>
      <c r="L55" s="77" t="str">
        <f>IF(AND('Mapa final'!$AI$51="Muy Baja",'Mapa final'!$AK$51="Leve"),CONCATENATE("R10C",'Mapa final'!$Y$51),"")</f>
        <v/>
      </c>
      <c r="M55" s="77" t="str">
        <f>IF(AND('Mapa final'!$AI$52="Muy Baja",'Mapa final'!$AK$52="Leve"),CONCATENATE("R10C",'Mapa final'!$Y$52),"")</f>
        <v/>
      </c>
      <c r="N55" s="77" t="str">
        <f>IF(AND('Mapa final'!$AI$53="Muy Baja",'Mapa final'!$AK$53="Leve"),CONCATENATE("R10C",'Mapa final'!$Y$53),"")</f>
        <v/>
      </c>
      <c r="O55" s="78" t="str">
        <f>IF(AND('Mapa final'!$AI$54="Muy Baja",'Mapa final'!$AK$54="Leve"),CONCATENATE("R10C",'Mapa final'!$Y$54),"")</f>
        <v/>
      </c>
      <c r="P55" s="76" t="str">
        <f>IF(AND('Mapa final'!$AI$49="Muy Baja",'Mapa final'!$AK$49="Menor"),CONCATENATE("R10C",'Mapa final'!$Y$49),"")</f>
        <v/>
      </c>
      <c r="Q55" s="77" t="str">
        <f>IF(AND('Mapa final'!$AI$50="Muy Baja",'Mapa final'!$AK$50="Menor"),CONCATENATE("R10C",'Mapa final'!$Y$50),"")</f>
        <v/>
      </c>
      <c r="R55" s="77" t="str">
        <f>IF(AND('Mapa final'!$AI$51="Muy Baja",'Mapa final'!$AK$51="Menor"),CONCATENATE("R10C",'Mapa final'!$Y$51),"")</f>
        <v/>
      </c>
      <c r="S55" s="77" t="str">
        <f>IF(AND('Mapa final'!$AI$52="Muy Baja",'Mapa final'!$AK$52="Menor"),CONCATENATE("R10C",'Mapa final'!$Y$52),"")</f>
        <v/>
      </c>
      <c r="T55" s="77" t="str">
        <f>IF(AND('Mapa final'!$AI$53="Muy Baja",'Mapa final'!$AK$53="Menor"),CONCATENATE("R10C",'Mapa final'!$Y$53),"")</f>
        <v/>
      </c>
      <c r="U55" s="78" t="str">
        <f>IF(AND('Mapa final'!$AI$54="Muy Baja",'Mapa final'!$AK$54="Menor"),CONCATENATE("R10C",'Mapa final'!$Y$54),"")</f>
        <v/>
      </c>
      <c r="V55" s="67" t="str">
        <f>IF(AND('Mapa final'!$AI$49="Muy Baja",'Mapa final'!$AK$49="Moderado"),CONCATENATE("R10C",'Mapa final'!$Y$49),"")</f>
        <v/>
      </c>
      <c r="W55" s="68" t="str">
        <f>IF(AND('Mapa final'!$AI$50="Muy Baja",'Mapa final'!$AK$50="Moderado"),CONCATENATE("R10C",'Mapa final'!$Y$50),"")</f>
        <v/>
      </c>
      <c r="X55" s="68" t="str">
        <f>IF(AND('Mapa final'!$AI$51="Muy Baja",'Mapa final'!$AK$51="Moderado"),CONCATENATE("R10C",'Mapa final'!$Y$51),"")</f>
        <v/>
      </c>
      <c r="Y55" s="68" t="str">
        <f>IF(AND('Mapa final'!$AI$52="Muy Baja",'Mapa final'!$AK$52="Moderado"),CONCATENATE("R10C",'Mapa final'!$Y$52),"")</f>
        <v/>
      </c>
      <c r="Z55" s="68" t="str">
        <f>IF(AND('Mapa final'!$AI$53="Muy Baja",'Mapa final'!$AK$53="Moderado"),CONCATENATE("R10C",'Mapa final'!$Y$53),"")</f>
        <v/>
      </c>
      <c r="AA55" s="69" t="str">
        <f>IF(AND('Mapa final'!$AI$54="Muy Baja",'Mapa final'!$AK$54="Moderado"),CONCATENATE("R10C",'Mapa final'!$Y$54),"")</f>
        <v/>
      </c>
      <c r="AB55" s="55" t="str">
        <f>IF(AND('Mapa final'!$AI$49="Muy Baja",'Mapa final'!$AK$49="Mayor"),CONCATENATE("R10C",'Mapa final'!$Y$49),"")</f>
        <v/>
      </c>
      <c r="AC55" s="56" t="str">
        <f>IF(AND('Mapa final'!$AI$50="Muy Baja",'Mapa final'!$AK$50="Mayor"),CONCATENATE("R10C",'Mapa final'!$Y$50),"")</f>
        <v/>
      </c>
      <c r="AD55" s="56" t="str">
        <f>IF(AND('Mapa final'!$AI$51="Muy Baja",'Mapa final'!$AK$51="Mayor"),CONCATENATE("R10C",'Mapa final'!$Y$51),"")</f>
        <v/>
      </c>
      <c r="AE55" s="56" t="str">
        <f>IF(AND('Mapa final'!$AI$52="Muy Baja",'Mapa final'!$AK$52="Mayor"),CONCATENATE("R10C",'Mapa final'!$Y$52),"")</f>
        <v/>
      </c>
      <c r="AF55" s="56" t="str">
        <f>IF(AND('Mapa final'!$AI$53="Muy Baja",'Mapa final'!$AK$53="Mayor"),CONCATENATE("R10C",'Mapa final'!$Y$53),"")</f>
        <v/>
      </c>
      <c r="AG55" s="57" t="str">
        <f>IF(AND('Mapa final'!$AI$54="Muy Baja",'Mapa final'!$AK$54="Mayor"),CONCATENATE("R10C",'Mapa final'!$Y$54),"")</f>
        <v/>
      </c>
      <c r="AH55" s="58" t="str">
        <f>IF(AND('Mapa final'!$AI$49="Muy Baja",'Mapa final'!$AK$49="Catastrófico"),CONCATENATE("R10C",'Mapa final'!$Y$49),"")</f>
        <v/>
      </c>
      <c r="AI55" s="59" t="str">
        <f>IF(AND('Mapa final'!$AI$50="Muy Baja",'Mapa final'!$AK$50="Catastrófico"),CONCATENATE("R10C",'Mapa final'!$Y$50),"")</f>
        <v/>
      </c>
      <c r="AJ55" s="59" t="str">
        <f>IF(AND('Mapa final'!$AI$51="Muy Baja",'Mapa final'!$AK$51="Catastrófico"),CONCATENATE("R10C",'Mapa final'!$Y$51),"")</f>
        <v/>
      </c>
      <c r="AK55" s="59" t="str">
        <f>IF(AND('Mapa final'!$AI$52="Muy Baja",'Mapa final'!$AK$52="Catastrófico"),CONCATENATE("R10C",'Mapa final'!$Y$52),"")</f>
        <v/>
      </c>
      <c r="AL55" s="59" t="str">
        <f>IF(AND('Mapa final'!$AI$53="Muy Baja",'Mapa final'!$AK$53="Catastrófico"),CONCATENATE("R10C",'Mapa final'!$Y$53),"")</f>
        <v/>
      </c>
      <c r="AM55" s="60" t="str">
        <f>IF(AND('Mapa final'!$AI$54="Muy Baja",'Mapa final'!$AK$54="Catastrófico"),CONCATENATE("R10C",'Mapa final'!$Y$54),"")</f>
        <v/>
      </c>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c r="BO55" s="80"/>
      <c r="BP55" s="80"/>
      <c r="BQ55" s="80"/>
      <c r="BR55" s="80"/>
      <c r="BS55" s="80"/>
      <c r="BT55" s="80"/>
      <c r="BU55" s="80"/>
      <c r="BV55" s="80"/>
      <c r="BW55" s="80"/>
      <c r="BX55" s="80"/>
      <c r="BY55" s="80"/>
      <c r="BZ55" s="80"/>
      <c r="CA55" s="80"/>
      <c r="CB55" s="80"/>
    </row>
    <row r="56" spans="1:80" x14ac:dyDescent="0.25">
      <c r="A56" s="80"/>
      <c r="B56" s="80"/>
      <c r="C56" s="80"/>
      <c r="D56" s="80"/>
      <c r="E56" s="80"/>
      <c r="F56" s="80"/>
      <c r="G56" s="80"/>
      <c r="H56" s="80"/>
      <c r="I56" s="80"/>
      <c r="J56" s="440" t="s">
        <v>147</v>
      </c>
      <c r="K56" s="441"/>
      <c r="L56" s="441"/>
      <c r="M56" s="441"/>
      <c r="N56" s="441"/>
      <c r="O56" s="442"/>
      <c r="P56" s="440" t="s">
        <v>148</v>
      </c>
      <c r="Q56" s="441"/>
      <c r="R56" s="441"/>
      <c r="S56" s="441"/>
      <c r="T56" s="441"/>
      <c r="U56" s="442"/>
      <c r="V56" s="440" t="s">
        <v>149</v>
      </c>
      <c r="W56" s="441"/>
      <c r="X56" s="441"/>
      <c r="Y56" s="441"/>
      <c r="Z56" s="441"/>
      <c r="AA56" s="442"/>
      <c r="AB56" s="440" t="s">
        <v>150</v>
      </c>
      <c r="AC56" s="449"/>
      <c r="AD56" s="441"/>
      <c r="AE56" s="441"/>
      <c r="AF56" s="441"/>
      <c r="AG56" s="442"/>
      <c r="AH56" s="440" t="s">
        <v>151</v>
      </c>
      <c r="AI56" s="441"/>
      <c r="AJ56" s="441"/>
      <c r="AK56" s="441"/>
      <c r="AL56" s="441"/>
      <c r="AM56" s="442"/>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row>
    <row r="57" spans="1:80" x14ac:dyDescent="0.25">
      <c r="A57" s="80"/>
      <c r="B57" s="80"/>
      <c r="C57" s="80"/>
      <c r="D57" s="80"/>
      <c r="E57" s="80"/>
      <c r="F57" s="80"/>
      <c r="G57" s="80"/>
      <c r="H57" s="80"/>
      <c r="I57" s="80"/>
      <c r="J57" s="443"/>
      <c r="K57" s="444"/>
      <c r="L57" s="444"/>
      <c r="M57" s="444"/>
      <c r="N57" s="444"/>
      <c r="O57" s="445"/>
      <c r="P57" s="443"/>
      <c r="Q57" s="444"/>
      <c r="R57" s="444"/>
      <c r="S57" s="444"/>
      <c r="T57" s="444"/>
      <c r="U57" s="445"/>
      <c r="V57" s="443"/>
      <c r="W57" s="444"/>
      <c r="X57" s="444"/>
      <c r="Y57" s="444"/>
      <c r="Z57" s="444"/>
      <c r="AA57" s="445"/>
      <c r="AB57" s="443"/>
      <c r="AC57" s="444"/>
      <c r="AD57" s="444"/>
      <c r="AE57" s="444"/>
      <c r="AF57" s="444"/>
      <c r="AG57" s="445"/>
      <c r="AH57" s="443"/>
      <c r="AI57" s="444"/>
      <c r="AJ57" s="444"/>
      <c r="AK57" s="444"/>
      <c r="AL57" s="444"/>
      <c r="AM57" s="445"/>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80"/>
      <c r="BM57" s="80"/>
      <c r="BN57" s="80"/>
      <c r="BO57" s="80"/>
      <c r="BP57" s="80"/>
      <c r="BQ57" s="80"/>
      <c r="BR57" s="80"/>
      <c r="BS57" s="80"/>
      <c r="BT57" s="80"/>
      <c r="BU57" s="80"/>
      <c r="BV57" s="80"/>
      <c r="BW57" s="80"/>
      <c r="BX57" s="80"/>
      <c r="BY57" s="80"/>
      <c r="BZ57" s="80"/>
      <c r="CA57" s="80"/>
      <c r="CB57" s="80"/>
    </row>
    <row r="58" spans="1:80" x14ac:dyDescent="0.25">
      <c r="A58" s="80"/>
      <c r="B58" s="80"/>
      <c r="C58" s="80"/>
      <c r="D58" s="80"/>
      <c r="E58" s="80"/>
      <c r="F58" s="80"/>
      <c r="G58" s="80"/>
      <c r="H58" s="80"/>
      <c r="I58" s="80"/>
      <c r="J58" s="443"/>
      <c r="K58" s="444"/>
      <c r="L58" s="444"/>
      <c r="M58" s="444"/>
      <c r="N58" s="444"/>
      <c r="O58" s="445"/>
      <c r="P58" s="443"/>
      <c r="Q58" s="444"/>
      <c r="R58" s="444"/>
      <c r="S58" s="444"/>
      <c r="T58" s="444"/>
      <c r="U58" s="445"/>
      <c r="V58" s="443"/>
      <c r="W58" s="444"/>
      <c r="X58" s="444"/>
      <c r="Y58" s="444"/>
      <c r="Z58" s="444"/>
      <c r="AA58" s="445"/>
      <c r="AB58" s="443"/>
      <c r="AC58" s="444"/>
      <c r="AD58" s="444"/>
      <c r="AE58" s="444"/>
      <c r="AF58" s="444"/>
      <c r="AG58" s="445"/>
      <c r="AH58" s="443"/>
      <c r="AI58" s="444"/>
      <c r="AJ58" s="444"/>
      <c r="AK58" s="444"/>
      <c r="AL58" s="444"/>
      <c r="AM58" s="445"/>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0"/>
      <c r="BX58" s="80"/>
      <c r="BY58" s="80"/>
      <c r="BZ58" s="80"/>
      <c r="CA58" s="80"/>
      <c r="CB58" s="80"/>
    </row>
    <row r="59" spans="1:80" x14ac:dyDescent="0.25">
      <c r="A59" s="80"/>
      <c r="B59" s="80"/>
      <c r="C59" s="80"/>
      <c r="D59" s="80"/>
      <c r="E59" s="80"/>
      <c r="F59" s="80"/>
      <c r="G59" s="80"/>
      <c r="H59" s="80"/>
      <c r="I59" s="80"/>
      <c r="J59" s="443"/>
      <c r="K59" s="444"/>
      <c r="L59" s="444"/>
      <c r="M59" s="444"/>
      <c r="N59" s="444"/>
      <c r="O59" s="445"/>
      <c r="P59" s="443"/>
      <c r="Q59" s="444"/>
      <c r="R59" s="444"/>
      <c r="S59" s="444"/>
      <c r="T59" s="444"/>
      <c r="U59" s="445"/>
      <c r="V59" s="443"/>
      <c r="W59" s="444"/>
      <c r="X59" s="444"/>
      <c r="Y59" s="444"/>
      <c r="Z59" s="444"/>
      <c r="AA59" s="445"/>
      <c r="AB59" s="443"/>
      <c r="AC59" s="444"/>
      <c r="AD59" s="444"/>
      <c r="AE59" s="444"/>
      <c r="AF59" s="444"/>
      <c r="AG59" s="445"/>
      <c r="AH59" s="443"/>
      <c r="AI59" s="444"/>
      <c r="AJ59" s="444"/>
      <c r="AK59" s="444"/>
      <c r="AL59" s="444"/>
      <c r="AM59" s="445"/>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0"/>
      <c r="BX59" s="80"/>
      <c r="BY59" s="80"/>
      <c r="BZ59" s="80"/>
      <c r="CA59" s="80"/>
      <c r="CB59" s="80"/>
    </row>
    <row r="60" spans="1:80" x14ac:dyDescent="0.25">
      <c r="A60" s="80"/>
      <c r="B60" s="80"/>
      <c r="C60" s="80"/>
      <c r="D60" s="80"/>
      <c r="E60" s="80"/>
      <c r="F60" s="80"/>
      <c r="G60" s="80"/>
      <c r="H60" s="80"/>
      <c r="I60" s="80"/>
      <c r="J60" s="443"/>
      <c r="K60" s="444"/>
      <c r="L60" s="444"/>
      <c r="M60" s="444"/>
      <c r="N60" s="444"/>
      <c r="O60" s="445"/>
      <c r="P60" s="443"/>
      <c r="Q60" s="444"/>
      <c r="R60" s="444"/>
      <c r="S60" s="444"/>
      <c r="T60" s="444"/>
      <c r="U60" s="445"/>
      <c r="V60" s="443"/>
      <c r="W60" s="444"/>
      <c r="X60" s="444"/>
      <c r="Y60" s="444"/>
      <c r="Z60" s="444"/>
      <c r="AA60" s="445"/>
      <c r="AB60" s="443"/>
      <c r="AC60" s="444"/>
      <c r="AD60" s="444"/>
      <c r="AE60" s="444"/>
      <c r="AF60" s="444"/>
      <c r="AG60" s="445"/>
      <c r="AH60" s="443"/>
      <c r="AI60" s="444"/>
      <c r="AJ60" s="444"/>
      <c r="AK60" s="444"/>
      <c r="AL60" s="444"/>
      <c r="AM60" s="445"/>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c r="BO60" s="80"/>
      <c r="BP60" s="80"/>
      <c r="BQ60" s="80"/>
      <c r="BR60" s="80"/>
      <c r="BS60" s="80"/>
      <c r="BT60" s="80"/>
      <c r="BU60" s="80"/>
      <c r="BV60" s="80"/>
      <c r="BW60" s="80"/>
      <c r="BX60" s="80"/>
      <c r="BY60" s="80"/>
      <c r="BZ60" s="80"/>
      <c r="CA60" s="80"/>
      <c r="CB60" s="80"/>
    </row>
    <row r="61" spans="1:80" ht="15.75" thickBot="1" x14ac:dyDescent="0.3">
      <c r="A61" s="80"/>
      <c r="B61" s="80"/>
      <c r="C61" s="80"/>
      <c r="D61" s="80"/>
      <c r="E61" s="80"/>
      <c r="F61" s="80"/>
      <c r="G61" s="80"/>
      <c r="H61" s="80"/>
      <c r="I61" s="80"/>
      <c r="J61" s="446"/>
      <c r="K61" s="447"/>
      <c r="L61" s="447"/>
      <c r="M61" s="447"/>
      <c r="N61" s="447"/>
      <c r="O61" s="448"/>
      <c r="P61" s="446"/>
      <c r="Q61" s="447"/>
      <c r="R61" s="447"/>
      <c r="S61" s="447"/>
      <c r="T61" s="447"/>
      <c r="U61" s="448"/>
      <c r="V61" s="446"/>
      <c r="W61" s="447"/>
      <c r="X61" s="447"/>
      <c r="Y61" s="447"/>
      <c r="Z61" s="447"/>
      <c r="AA61" s="448"/>
      <c r="AB61" s="446"/>
      <c r="AC61" s="447"/>
      <c r="AD61" s="447"/>
      <c r="AE61" s="447"/>
      <c r="AF61" s="447"/>
      <c r="AG61" s="448"/>
      <c r="AH61" s="446"/>
      <c r="AI61" s="447"/>
      <c r="AJ61" s="447"/>
      <c r="AK61" s="447"/>
      <c r="AL61" s="447"/>
      <c r="AM61" s="448"/>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c r="BO61" s="80"/>
      <c r="BP61" s="80"/>
      <c r="BQ61" s="80"/>
      <c r="BR61" s="80"/>
      <c r="BS61" s="80"/>
      <c r="BT61" s="80"/>
      <c r="BU61" s="80"/>
      <c r="BV61" s="80"/>
      <c r="BW61" s="80"/>
      <c r="BX61" s="80"/>
      <c r="BY61" s="80"/>
      <c r="BZ61" s="80"/>
      <c r="CA61" s="80"/>
      <c r="CB61" s="80"/>
    </row>
    <row r="62" spans="1:80" x14ac:dyDescent="0.25">
      <c r="A62" s="80"/>
      <c r="B62" s="80"/>
      <c r="C62" s="80"/>
      <c r="D62" s="80"/>
      <c r="E62" s="80"/>
      <c r="F62" s="80"/>
      <c r="G62" s="80"/>
      <c r="H62" s="80"/>
      <c r="I62" s="80"/>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row>
    <row r="63" spans="1:80" ht="15" customHeight="1" x14ac:dyDescent="0.25">
      <c r="A63" s="80"/>
      <c r="B63" s="84"/>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0"/>
      <c r="AV63" s="80"/>
      <c r="AW63" s="80"/>
      <c r="AX63" s="80"/>
      <c r="AY63" s="80"/>
      <c r="AZ63" s="80"/>
      <c r="BA63" s="80"/>
      <c r="BB63" s="80"/>
      <c r="BC63" s="80"/>
      <c r="BD63" s="80"/>
      <c r="BE63" s="80"/>
      <c r="BF63" s="80"/>
      <c r="BG63" s="80"/>
      <c r="BH63" s="80"/>
    </row>
    <row r="64" spans="1:80" ht="15" customHeight="1" x14ac:dyDescent="0.25">
      <c r="A64" s="80"/>
      <c r="B64" s="84"/>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c r="AO64" s="84"/>
      <c r="AP64" s="84"/>
      <c r="AQ64" s="84"/>
      <c r="AR64" s="84"/>
      <c r="AS64" s="84"/>
      <c r="AT64" s="84"/>
      <c r="AU64" s="80"/>
      <c r="AV64" s="80"/>
      <c r="AW64" s="80"/>
      <c r="AX64" s="80"/>
      <c r="AY64" s="80"/>
      <c r="AZ64" s="80"/>
      <c r="BA64" s="80"/>
      <c r="BB64" s="80"/>
      <c r="BC64" s="80"/>
      <c r="BD64" s="80"/>
      <c r="BE64" s="80"/>
      <c r="BF64" s="80"/>
      <c r="BG64" s="80"/>
      <c r="BH64" s="80"/>
    </row>
    <row r="65" spans="1:60" x14ac:dyDescent="0.25">
      <c r="A65" s="80"/>
      <c r="B65" s="80"/>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row>
    <row r="66" spans="1:60" x14ac:dyDescent="0.25">
      <c r="A66" s="80"/>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row>
    <row r="67" spans="1:60" x14ac:dyDescent="0.25">
      <c r="A67" s="80"/>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row>
    <row r="68" spans="1:60" x14ac:dyDescent="0.25">
      <c r="A68" s="80"/>
      <c r="B68" s="80"/>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row>
    <row r="69" spans="1:60" x14ac:dyDescent="0.25">
      <c r="A69" s="80"/>
      <c r="B69" s="80"/>
      <c r="C69" s="80"/>
      <c r="D69" s="80"/>
      <c r="E69" s="80"/>
      <c r="F69" s="80"/>
      <c r="G69" s="80"/>
      <c r="H69" s="80"/>
      <c r="I69" s="80"/>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80"/>
      <c r="AO69" s="80"/>
      <c r="AP69" s="80"/>
      <c r="AQ69" s="80"/>
      <c r="AR69" s="80"/>
      <c r="AS69" s="80"/>
      <c r="AT69" s="80"/>
      <c r="AU69" s="80"/>
      <c r="AV69" s="80"/>
      <c r="AW69" s="80"/>
      <c r="AX69" s="80"/>
      <c r="AY69" s="80"/>
      <c r="AZ69" s="80"/>
      <c r="BA69" s="80"/>
      <c r="BB69" s="80"/>
      <c r="BC69" s="80"/>
      <c r="BD69" s="80"/>
      <c r="BE69" s="80"/>
      <c r="BF69" s="80"/>
      <c r="BG69" s="80"/>
      <c r="BH69" s="80"/>
    </row>
    <row r="70" spans="1:60" x14ac:dyDescent="0.25">
      <c r="A70" s="80"/>
      <c r="B70" s="80"/>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row>
    <row r="71" spans="1:60" x14ac:dyDescent="0.25">
      <c r="A71" s="80"/>
      <c r="B71" s="80"/>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row>
    <row r="72" spans="1:60" x14ac:dyDescent="0.2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row>
    <row r="73" spans="1:60" x14ac:dyDescent="0.2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row>
    <row r="74" spans="1:60" x14ac:dyDescent="0.2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row>
    <row r="75" spans="1:60" x14ac:dyDescent="0.2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c r="AQ75" s="80"/>
      <c r="AR75" s="80"/>
      <c r="AS75" s="80"/>
      <c r="AT75" s="80"/>
      <c r="AU75" s="80"/>
      <c r="AV75" s="80"/>
      <c r="AW75" s="80"/>
      <c r="AX75" s="80"/>
      <c r="AY75" s="80"/>
      <c r="AZ75" s="80"/>
      <c r="BA75" s="80"/>
      <c r="BB75" s="80"/>
      <c r="BC75" s="80"/>
      <c r="BD75" s="80"/>
      <c r="BE75" s="80"/>
      <c r="BF75" s="80"/>
      <c r="BG75" s="80"/>
      <c r="BH75" s="80"/>
    </row>
    <row r="76" spans="1:60" x14ac:dyDescent="0.2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c r="BB76" s="80"/>
      <c r="BC76" s="80"/>
      <c r="BD76" s="80"/>
      <c r="BE76" s="80"/>
      <c r="BF76" s="80"/>
      <c r="BG76" s="80"/>
      <c r="BH76" s="80"/>
    </row>
    <row r="77" spans="1:60" x14ac:dyDescent="0.2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80"/>
      <c r="AO77" s="80"/>
      <c r="AP77" s="80"/>
      <c r="AQ77" s="80"/>
      <c r="AR77" s="80"/>
      <c r="AS77" s="80"/>
      <c r="AT77" s="80"/>
      <c r="AU77" s="80"/>
      <c r="AV77" s="80"/>
      <c r="AW77" s="80"/>
      <c r="AX77" s="80"/>
      <c r="AY77" s="80"/>
      <c r="AZ77" s="80"/>
      <c r="BA77" s="80"/>
      <c r="BB77" s="80"/>
      <c r="BC77" s="80"/>
      <c r="BD77" s="80"/>
      <c r="BE77" s="80"/>
      <c r="BF77" s="80"/>
      <c r="BG77" s="80"/>
      <c r="BH77" s="80"/>
    </row>
    <row r="78" spans="1:60" x14ac:dyDescent="0.2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row>
    <row r="79" spans="1:60" x14ac:dyDescent="0.2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row>
    <row r="80" spans="1:60" x14ac:dyDescent="0.2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row>
    <row r="81" spans="1:60" x14ac:dyDescent="0.2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row>
    <row r="82" spans="1:60" x14ac:dyDescent="0.2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row>
    <row r="83" spans="1:60" x14ac:dyDescent="0.2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row>
    <row r="84" spans="1:60" x14ac:dyDescent="0.2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row>
    <row r="85" spans="1:60" x14ac:dyDescent="0.2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row>
    <row r="86" spans="1:60" x14ac:dyDescent="0.2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row>
    <row r="87" spans="1:60" x14ac:dyDescent="0.2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row>
    <row r="88" spans="1:60" x14ac:dyDescent="0.2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80"/>
      <c r="AO88" s="80"/>
      <c r="AP88" s="80"/>
      <c r="AQ88" s="80"/>
      <c r="AR88" s="80"/>
      <c r="AS88" s="80"/>
      <c r="AT88" s="80"/>
      <c r="AU88" s="80"/>
      <c r="AV88" s="80"/>
      <c r="AW88" s="80"/>
      <c r="AX88" s="80"/>
      <c r="AY88" s="80"/>
      <c r="AZ88" s="80"/>
      <c r="BA88" s="80"/>
      <c r="BB88" s="80"/>
      <c r="BC88" s="80"/>
      <c r="BD88" s="80"/>
      <c r="BE88" s="80"/>
      <c r="BF88" s="80"/>
      <c r="BG88" s="80"/>
      <c r="BH88" s="80"/>
    </row>
    <row r="89" spans="1:60" x14ac:dyDescent="0.2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80"/>
      <c r="AO89" s="80"/>
      <c r="AP89" s="80"/>
      <c r="AQ89" s="80"/>
      <c r="AR89" s="80"/>
      <c r="AS89" s="80"/>
      <c r="AT89" s="80"/>
      <c r="AU89" s="80"/>
      <c r="AV89" s="80"/>
      <c r="AW89" s="80"/>
      <c r="AX89" s="80"/>
      <c r="AY89" s="80"/>
      <c r="AZ89" s="80"/>
      <c r="BA89" s="80"/>
      <c r="BB89" s="80"/>
      <c r="BC89" s="80"/>
      <c r="BD89" s="80"/>
      <c r="BE89" s="80"/>
      <c r="BF89" s="80"/>
      <c r="BG89" s="80"/>
      <c r="BH89" s="80"/>
    </row>
    <row r="90" spans="1:60" x14ac:dyDescent="0.2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80"/>
      <c r="AO90" s="80"/>
      <c r="AP90" s="80"/>
      <c r="AQ90" s="80"/>
      <c r="AR90" s="80"/>
      <c r="AS90" s="80"/>
      <c r="AT90" s="80"/>
      <c r="AU90" s="80"/>
      <c r="AV90" s="80"/>
      <c r="AW90" s="80"/>
      <c r="AX90" s="80"/>
      <c r="AY90" s="80"/>
      <c r="AZ90" s="80"/>
      <c r="BA90" s="80"/>
      <c r="BB90" s="80"/>
      <c r="BC90" s="80"/>
      <c r="BD90" s="80"/>
      <c r="BE90" s="80"/>
      <c r="BF90" s="80"/>
      <c r="BG90" s="80"/>
      <c r="BH90" s="80"/>
    </row>
    <row r="91" spans="1:60" x14ac:dyDescent="0.2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80"/>
      <c r="AO91" s="80"/>
      <c r="AP91" s="80"/>
      <c r="AQ91" s="80"/>
      <c r="AR91" s="80"/>
      <c r="AS91" s="80"/>
      <c r="AT91" s="80"/>
      <c r="AU91" s="80"/>
      <c r="AV91" s="80"/>
      <c r="AW91" s="80"/>
      <c r="AX91" s="80"/>
      <c r="AY91" s="80"/>
      <c r="AZ91" s="80"/>
      <c r="BA91" s="80"/>
      <c r="BB91" s="80"/>
      <c r="BC91" s="80"/>
      <c r="BD91" s="80"/>
      <c r="BE91" s="80"/>
      <c r="BF91" s="80"/>
      <c r="BG91" s="80"/>
      <c r="BH91" s="80"/>
    </row>
    <row r="92" spans="1:60" x14ac:dyDescent="0.2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80"/>
      <c r="BB92" s="80"/>
      <c r="BC92" s="80"/>
      <c r="BD92" s="80"/>
      <c r="BE92" s="80"/>
      <c r="BF92" s="80"/>
      <c r="BG92" s="80"/>
      <c r="BH92" s="80"/>
    </row>
    <row r="93" spans="1:60" x14ac:dyDescent="0.2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80"/>
      <c r="AO93" s="80"/>
      <c r="AP93" s="80"/>
      <c r="AQ93" s="80"/>
      <c r="AR93" s="80"/>
      <c r="AS93" s="80"/>
      <c r="AT93" s="80"/>
      <c r="AU93" s="80"/>
      <c r="AV93" s="80"/>
      <c r="AW93" s="80"/>
      <c r="AX93" s="80"/>
      <c r="AY93" s="80"/>
      <c r="AZ93" s="80"/>
      <c r="BA93" s="80"/>
      <c r="BB93" s="80"/>
      <c r="BC93" s="80"/>
      <c r="BD93" s="80"/>
      <c r="BE93" s="80"/>
      <c r="BF93" s="80"/>
      <c r="BG93" s="80"/>
      <c r="BH93" s="80"/>
    </row>
    <row r="94" spans="1:60" x14ac:dyDescent="0.2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80"/>
      <c r="BF94" s="80"/>
      <c r="BG94" s="80"/>
      <c r="BH94" s="80"/>
    </row>
    <row r="95" spans="1:60" x14ac:dyDescent="0.2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c r="AQ95" s="80"/>
      <c r="AR95" s="80"/>
      <c r="AS95" s="80"/>
      <c r="AT95" s="80"/>
      <c r="AU95" s="80"/>
      <c r="AV95" s="80"/>
      <c r="AW95" s="80"/>
      <c r="AX95" s="80"/>
      <c r="AY95" s="80"/>
      <c r="AZ95" s="80"/>
      <c r="BA95" s="80"/>
      <c r="BB95" s="80"/>
      <c r="BC95" s="80"/>
      <c r="BD95" s="80"/>
      <c r="BE95" s="80"/>
      <c r="BF95" s="80"/>
      <c r="BG95" s="80"/>
      <c r="BH95" s="80"/>
    </row>
    <row r="96" spans="1:60" x14ac:dyDescent="0.2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80"/>
      <c r="AO96" s="80"/>
      <c r="AP96" s="80"/>
      <c r="AQ96" s="80"/>
      <c r="AR96" s="80"/>
      <c r="AS96" s="80"/>
      <c r="AT96" s="80"/>
      <c r="AU96" s="80"/>
      <c r="AV96" s="80"/>
      <c r="AW96" s="80"/>
      <c r="AX96" s="80"/>
      <c r="AY96" s="80"/>
      <c r="AZ96" s="80"/>
      <c r="BA96" s="80"/>
      <c r="BB96" s="80"/>
      <c r="BC96" s="80"/>
      <c r="BD96" s="80"/>
      <c r="BE96" s="80"/>
      <c r="BF96" s="80"/>
      <c r="BG96" s="80"/>
      <c r="BH96" s="80"/>
    </row>
    <row r="97" spans="1:60" x14ac:dyDescent="0.25">
      <c r="A97" s="80"/>
      <c r="B97" s="80"/>
      <c r="C97" s="80"/>
      <c r="D97" s="80"/>
      <c r="E97" s="80"/>
      <c r="F97" s="80"/>
      <c r="G97" s="80"/>
      <c r="H97" s="80"/>
      <c r="I97" s="80"/>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80"/>
      <c r="AO97" s="80"/>
      <c r="AP97" s="80"/>
      <c r="AQ97" s="80"/>
      <c r="AR97" s="80"/>
      <c r="AS97" s="80"/>
      <c r="AT97" s="80"/>
      <c r="AU97" s="80"/>
      <c r="AV97" s="80"/>
      <c r="AW97" s="80"/>
      <c r="AX97" s="80"/>
      <c r="AY97" s="80"/>
      <c r="AZ97" s="80"/>
      <c r="BA97" s="80"/>
      <c r="BB97" s="80"/>
      <c r="BC97" s="80"/>
      <c r="BD97" s="80"/>
      <c r="BE97" s="80"/>
      <c r="BF97" s="80"/>
      <c r="BG97" s="80"/>
      <c r="BH97" s="80"/>
    </row>
    <row r="98" spans="1:60" x14ac:dyDescent="0.25">
      <c r="A98" s="80"/>
      <c r="B98" s="80"/>
      <c r="C98" s="80"/>
      <c r="D98" s="80"/>
      <c r="E98" s="80"/>
      <c r="F98" s="80"/>
      <c r="G98" s="80"/>
      <c r="H98" s="80"/>
      <c r="I98" s="80"/>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80"/>
      <c r="AO98" s="80"/>
      <c r="AP98" s="80"/>
      <c r="AQ98" s="80"/>
      <c r="AR98" s="80"/>
      <c r="AS98" s="80"/>
      <c r="AT98" s="80"/>
      <c r="AU98" s="80"/>
      <c r="AV98" s="80"/>
      <c r="AW98" s="80"/>
      <c r="AX98" s="80"/>
      <c r="AY98" s="80"/>
      <c r="AZ98" s="80"/>
      <c r="BA98" s="80"/>
      <c r="BB98" s="80"/>
      <c r="BC98" s="80"/>
      <c r="BD98" s="80"/>
      <c r="BE98" s="80"/>
      <c r="BF98" s="80"/>
      <c r="BG98" s="80"/>
      <c r="BH98" s="80"/>
    </row>
    <row r="99" spans="1:60" x14ac:dyDescent="0.25">
      <c r="A99" s="80"/>
      <c r="B99" s="80"/>
      <c r="C99" s="80"/>
      <c r="D99" s="80"/>
      <c r="E99" s="80"/>
      <c r="F99" s="80"/>
      <c r="G99" s="80"/>
      <c r="H99" s="80"/>
      <c r="I99" s="80"/>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80"/>
      <c r="AO99" s="80"/>
      <c r="AP99" s="80"/>
      <c r="AQ99" s="80"/>
      <c r="AR99" s="80"/>
      <c r="AS99" s="80"/>
      <c r="AT99" s="80"/>
      <c r="AU99" s="80"/>
      <c r="AV99" s="80"/>
      <c r="AW99" s="80"/>
      <c r="AX99" s="80"/>
      <c r="AY99" s="80"/>
      <c r="AZ99" s="80"/>
      <c r="BA99" s="80"/>
      <c r="BB99" s="80"/>
      <c r="BC99" s="80"/>
      <c r="BD99" s="80"/>
      <c r="BE99" s="80"/>
      <c r="BF99" s="80"/>
      <c r="BG99" s="80"/>
      <c r="BH99" s="80"/>
    </row>
    <row r="100" spans="1:60" x14ac:dyDescent="0.25">
      <c r="A100" s="80"/>
      <c r="B100" s="80"/>
      <c r="C100" s="80"/>
      <c r="D100" s="80"/>
      <c r="E100" s="80"/>
      <c r="F100" s="80"/>
      <c r="G100" s="80"/>
      <c r="H100" s="80"/>
      <c r="I100" s="80"/>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row>
    <row r="101" spans="1:60" x14ac:dyDescent="0.25">
      <c r="A101" s="80"/>
      <c r="B101" s="80"/>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row>
    <row r="102" spans="1:60" x14ac:dyDescent="0.25">
      <c r="A102" s="80"/>
      <c r="B102" s="80"/>
      <c r="C102" s="80"/>
      <c r="D102" s="80"/>
      <c r="E102" s="80"/>
      <c r="F102" s="80"/>
      <c r="G102" s="80"/>
      <c r="H102" s="80"/>
      <c r="I102" s="80"/>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row>
    <row r="103" spans="1:60" x14ac:dyDescent="0.25">
      <c r="A103" s="80"/>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row>
    <row r="104" spans="1:60" x14ac:dyDescent="0.25">
      <c r="A104" s="80"/>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row>
    <row r="105" spans="1:60" x14ac:dyDescent="0.25">
      <c r="A105" s="80"/>
      <c r="B105" s="80"/>
      <c r="C105" s="80"/>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row>
    <row r="106" spans="1:60" x14ac:dyDescent="0.25">
      <c r="A106" s="80"/>
      <c r="B106" s="80"/>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80"/>
      <c r="AQ106" s="80"/>
      <c r="AR106" s="80"/>
      <c r="AS106" s="80"/>
      <c r="AT106" s="80"/>
      <c r="AU106" s="80"/>
      <c r="AV106" s="80"/>
      <c r="AW106" s="80"/>
      <c r="AX106" s="80"/>
      <c r="AY106" s="80"/>
      <c r="AZ106" s="80"/>
      <c r="BA106" s="80"/>
      <c r="BB106" s="80"/>
      <c r="BC106" s="80"/>
      <c r="BD106" s="80"/>
      <c r="BE106" s="80"/>
      <c r="BF106" s="80"/>
      <c r="BG106" s="80"/>
      <c r="BH106" s="80"/>
    </row>
    <row r="107" spans="1:60" x14ac:dyDescent="0.25">
      <c r="A107" s="80"/>
      <c r="B107" s="80"/>
      <c r="C107" s="80"/>
      <c r="D107" s="80"/>
      <c r="E107" s="80"/>
      <c r="F107" s="80"/>
      <c r="G107" s="80"/>
      <c r="H107" s="80"/>
      <c r="I107" s="80"/>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row>
    <row r="108" spans="1:60" x14ac:dyDescent="0.25">
      <c r="A108" s="80"/>
      <c r="B108" s="80"/>
      <c r="C108" s="80"/>
      <c r="D108" s="80"/>
      <c r="E108" s="80"/>
      <c r="F108" s="80"/>
      <c r="G108" s="80"/>
      <c r="H108" s="80"/>
      <c r="I108" s="80"/>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row>
    <row r="109" spans="1:60" x14ac:dyDescent="0.25">
      <c r="A109" s="80"/>
      <c r="B109" s="80"/>
      <c r="C109" s="80"/>
      <c r="D109" s="80"/>
      <c r="E109" s="80"/>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row>
    <row r="110" spans="1:60" x14ac:dyDescent="0.25">
      <c r="A110" s="80"/>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row>
    <row r="111" spans="1:60" x14ac:dyDescent="0.25">
      <c r="A111" s="80"/>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row>
    <row r="112" spans="1:60" x14ac:dyDescent="0.25">
      <c r="A112" s="80"/>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row>
    <row r="113" spans="1:60" x14ac:dyDescent="0.25">
      <c r="A113" s="80"/>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row>
    <row r="114" spans="1:60" x14ac:dyDescent="0.25">
      <c r="A114" s="80"/>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row>
    <row r="115" spans="1:60" x14ac:dyDescent="0.25">
      <c r="A115" s="80"/>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row>
    <row r="116" spans="1:60" x14ac:dyDescent="0.25">
      <c r="A116" s="80"/>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row>
    <row r="117" spans="1:60" x14ac:dyDescent="0.25">
      <c r="A117" s="80"/>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row>
    <row r="118" spans="1:60" x14ac:dyDescent="0.25">
      <c r="A118" s="80"/>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row>
    <row r="119" spans="1:60" x14ac:dyDescent="0.25">
      <c r="A119" s="80"/>
      <c r="B119" s="80"/>
      <c r="C119" s="80"/>
      <c r="D119" s="80"/>
      <c r="E119" s="80"/>
      <c r="F119" s="80"/>
      <c r="G119" s="80"/>
      <c r="H119" s="80"/>
      <c r="I119" s="80"/>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row>
    <row r="120" spans="1:60" x14ac:dyDescent="0.25">
      <c r="A120" s="80"/>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80"/>
      <c r="AW120" s="80"/>
      <c r="AX120" s="80"/>
      <c r="AY120" s="80"/>
      <c r="AZ120" s="80"/>
      <c r="BA120" s="80"/>
      <c r="BB120" s="80"/>
      <c r="BC120" s="80"/>
      <c r="BD120" s="80"/>
      <c r="BE120" s="80"/>
      <c r="BF120" s="80"/>
      <c r="BG120" s="80"/>
      <c r="BH120" s="80"/>
    </row>
    <row r="121" spans="1:60" x14ac:dyDescent="0.25">
      <c r="A121" s="80"/>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80"/>
      <c r="AW121" s="80"/>
      <c r="AX121" s="80"/>
      <c r="AY121" s="80"/>
      <c r="AZ121" s="80"/>
      <c r="BA121" s="80"/>
      <c r="BB121" s="80"/>
      <c r="BC121" s="80"/>
      <c r="BD121" s="80"/>
      <c r="BE121" s="80"/>
      <c r="BF121" s="80"/>
      <c r="BG121" s="80"/>
      <c r="BH121" s="80"/>
    </row>
    <row r="122" spans="1:60" x14ac:dyDescent="0.25">
      <c r="A122" s="80"/>
      <c r="B122" s="80"/>
      <c r="C122" s="80"/>
      <c r="D122" s="80"/>
      <c r="E122" s="80"/>
      <c r="F122" s="80"/>
      <c r="G122" s="80"/>
      <c r="H122" s="80"/>
      <c r="I122" s="80"/>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80"/>
      <c r="AO122" s="80"/>
      <c r="AP122" s="80"/>
      <c r="AQ122" s="80"/>
      <c r="AR122" s="80"/>
      <c r="AS122" s="80"/>
      <c r="AT122" s="80"/>
      <c r="AU122" s="80"/>
      <c r="AV122" s="80"/>
      <c r="AW122" s="80"/>
      <c r="AX122" s="80"/>
      <c r="AY122" s="80"/>
      <c r="AZ122" s="80"/>
      <c r="BA122" s="80"/>
      <c r="BB122" s="80"/>
      <c r="BC122" s="80"/>
      <c r="BD122" s="80"/>
      <c r="BE122" s="80"/>
      <c r="BF122" s="80"/>
      <c r="BG122" s="80"/>
      <c r="BH122" s="80"/>
    </row>
    <row r="123" spans="1:60" x14ac:dyDescent="0.25">
      <c r="A123" s="80"/>
      <c r="B123" s="80"/>
      <c r="C123" s="80"/>
      <c r="D123" s="80"/>
      <c r="E123" s="80"/>
      <c r="F123" s="80"/>
      <c r="G123" s="80"/>
      <c r="H123" s="80"/>
      <c r="I123" s="80"/>
      <c r="J123" s="80"/>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80"/>
      <c r="AO123" s="80"/>
      <c r="AP123" s="80"/>
      <c r="AQ123" s="80"/>
      <c r="AR123" s="80"/>
      <c r="AS123" s="80"/>
      <c r="AT123" s="80"/>
      <c r="AU123" s="80"/>
      <c r="AV123" s="80"/>
      <c r="AW123" s="80"/>
      <c r="AX123" s="80"/>
      <c r="AY123" s="80"/>
      <c r="AZ123" s="80"/>
      <c r="BA123" s="80"/>
      <c r="BB123" s="80"/>
      <c r="BC123" s="80"/>
      <c r="BD123" s="80"/>
      <c r="BE123" s="80"/>
      <c r="BF123" s="80"/>
      <c r="BG123" s="80"/>
      <c r="BH123" s="80"/>
    </row>
    <row r="124" spans="1:60" x14ac:dyDescent="0.25">
      <c r="A124" s="80"/>
      <c r="B124" s="80"/>
      <c r="C124" s="80"/>
      <c r="D124" s="80"/>
      <c r="E124" s="80"/>
      <c r="F124" s="80"/>
      <c r="G124" s="80"/>
      <c r="H124" s="80"/>
      <c r="I124" s="80"/>
      <c r="J124" s="80"/>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80"/>
      <c r="AO124" s="80"/>
      <c r="AP124" s="80"/>
      <c r="AQ124" s="80"/>
      <c r="AR124" s="80"/>
      <c r="AS124" s="80"/>
      <c r="AT124" s="80"/>
      <c r="AU124" s="80"/>
      <c r="AV124" s="80"/>
      <c r="AW124" s="80"/>
      <c r="AX124" s="80"/>
      <c r="AY124" s="80"/>
      <c r="AZ124" s="80"/>
      <c r="BA124" s="80"/>
      <c r="BB124" s="80"/>
      <c r="BC124" s="80"/>
      <c r="BD124" s="80"/>
      <c r="BE124" s="80"/>
      <c r="BF124" s="80"/>
      <c r="BG124" s="80"/>
      <c r="BH124" s="80"/>
    </row>
    <row r="125" spans="1:60" x14ac:dyDescent="0.25">
      <c r="A125" s="80"/>
      <c r="B125" s="80"/>
      <c r="C125" s="80"/>
      <c r="D125" s="80"/>
      <c r="E125" s="80"/>
      <c r="F125" s="80"/>
      <c r="G125" s="80"/>
      <c r="H125" s="80"/>
      <c r="I125" s="80"/>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80"/>
      <c r="BG125" s="80"/>
      <c r="BH125" s="80"/>
    </row>
    <row r="126" spans="1:60" x14ac:dyDescent="0.25">
      <c r="A126" s="80"/>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80"/>
      <c r="BG126" s="80"/>
      <c r="BH126" s="80"/>
    </row>
    <row r="127" spans="1:60" x14ac:dyDescent="0.25">
      <c r="A127" s="80"/>
      <c r="B127" s="80"/>
      <c r="C127" s="80"/>
      <c r="D127" s="80"/>
      <c r="E127" s="80"/>
      <c r="F127" s="80"/>
      <c r="G127" s="80"/>
      <c r="H127" s="80"/>
      <c r="I127" s="80"/>
      <c r="J127" s="80"/>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80"/>
      <c r="BG127" s="80"/>
      <c r="BH127" s="80"/>
    </row>
    <row r="128" spans="1:60" x14ac:dyDescent="0.25">
      <c r="A128" s="80"/>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0"/>
      <c r="AW128" s="80"/>
      <c r="AX128" s="80"/>
      <c r="AY128" s="80"/>
      <c r="AZ128" s="80"/>
      <c r="BA128" s="80"/>
      <c r="BB128" s="80"/>
      <c r="BC128" s="80"/>
      <c r="BD128" s="80"/>
      <c r="BE128" s="80"/>
      <c r="BF128" s="80"/>
      <c r="BG128" s="80"/>
      <c r="BH128" s="80"/>
    </row>
    <row r="129" spans="1:60" x14ac:dyDescent="0.25">
      <c r="A129" s="80"/>
      <c r="B129" s="80"/>
      <c r="C129" s="80"/>
      <c r="D129" s="80"/>
      <c r="E129" s="80"/>
      <c r="F129" s="80"/>
      <c r="G129" s="80"/>
      <c r="H129" s="80"/>
      <c r="I129" s="80"/>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80"/>
      <c r="AO129" s="80"/>
      <c r="AP129" s="80"/>
      <c r="AQ129" s="80"/>
      <c r="AR129" s="80"/>
      <c r="AS129" s="80"/>
      <c r="AT129" s="80"/>
      <c r="AU129" s="80"/>
      <c r="AV129" s="80"/>
      <c r="AW129" s="80"/>
      <c r="AX129" s="80"/>
      <c r="AY129" s="80"/>
      <c r="AZ129" s="80"/>
      <c r="BA129" s="80"/>
      <c r="BB129" s="80"/>
      <c r="BC129" s="80"/>
      <c r="BD129" s="80"/>
      <c r="BE129" s="80"/>
      <c r="BF129" s="80"/>
      <c r="BG129" s="80"/>
      <c r="BH129" s="80"/>
    </row>
    <row r="130" spans="1:60" x14ac:dyDescent="0.25">
      <c r="A130" s="80"/>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0"/>
      <c r="AW130" s="80"/>
      <c r="AX130" s="80"/>
      <c r="AY130" s="80"/>
      <c r="AZ130" s="80"/>
      <c r="BA130" s="80"/>
      <c r="BB130" s="80"/>
      <c r="BC130" s="80"/>
      <c r="BD130" s="80"/>
      <c r="BE130" s="80"/>
      <c r="BF130" s="80"/>
      <c r="BG130" s="80"/>
      <c r="BH130" s="80"/>
    </row>
    <row r="131" spans="1:60" x14ac:dyDescent="0.25">
      <c r="A131" s="80"/>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80"/>
      <c r="AW131" s="80"/>
      <c r="AX131" s="80"/>
      <c r="AY131" s="80"/>
      <c r="AZ131" s="80"/>
      <c r="BA131" s="80"/>
      <c r="BB131" s="80"/>
      <c r="BC131" s="80"/>
      <c r="BD131" s="80"/>
      <c r="BE131" s="80"/>
      <c r="BF131" s="80"/>
      <c r="BG131" s="80"/>
      <c r="BH131" s="80"/>
    </row>
    <row r="132" spans="1:60" x14ac:dyDescent="0.25">
      <c r="A132" s="80"/>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0"/>
      <c r="AY132" s="80"/>
      <c r="AZ132" s="80"/>
      <c r="BA132" s="80"/>
      <c r="BB132" s="80"/>
      <c r="BC132" s="80"/>
      <c r="BD132" s="80"/>
      <c r="BE132" s="80"/>
      <c r="BF132" s="80"/>
      <c r="BG132" s="80"/>
      <c r="BH132" s="80"/>
    </row>
    <row r="133" spans="1:60" x14ac:dyDescent="0.25">
      <c r="A133" s="80"/>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80"/>
      <c r="AW133" s="80"/>
      <c r="AX133" s="80"/>
      <c r="AY133" s="80"/>
      <c r="AZ133" s="80"/>
      <c r="BA133" s="80"/>
      <c r="BB133" s="80"/>
      <c r="BC133" s="80"/>
      <c r="BD133" s="80"/>
      <c r="BE133" s="80"/>
      <c r="BF133" s="80"/>
      <c r="BG133" s="80"/>
      <c r="BH133" s="80"/>
    </row>
    <row r="134" spans="1:60" x14ac:dyDescent="0.25">
      <c r="A134" s="80"/>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80"/>
      <c r="AW134" s="80"/>
      <c r="AX134" s="80"/>
      <c r="AY134" s="80"/>
      <c r="AZ134" s="80"/>
      <c r="BA134" s="80"/>
      <c r="BB134" s="80"/>
      <c r="BC134" s="80"/>
      <c r="BD134" s="80"/>
      <c r="BE134" s="80"/>
      <c r="BF134" s="80"/>
      <c r="BG134" s="80"/>
      <c r="BH134" s="80"/>
    </row>
    <row r="135" spans="1:60" x14ac:dyDescent="0.25">
      <c r="A135" s="80"/>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80"/>
      <c r="AW135" s="80"/>
      <c r="AX135" s="80"/>
      <c r="AY135" s="80"/>
      <c r="AZ135" s="80"/>
      <c r="BA135" s="80"/>
      <c r="BB135" s="80"/>
      <c r="BC135" s="80"/>
      <c r="BD135" s="80"/>
      <c r="BE135" s="80"/>
      <c r="BF135" s="80"/>
      <c r="BG135" s="80"/>
      <c r="BH135" s="80"/>
    </row>
    <row r="136" spans="1:60" x14ac:dyDescent="0.25">
      <c r="A136" s="80"/>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80"/>
      <c r="AW136" s="80"/>
      <c r="AX136" s="80"/>
      <c r="AY136" s="80"/>
      <c r="AZ136" s="80"/>
      <c r="BA136" s="80"/>
      <c r="BB136" s="80"/>
      <c r="BC136" s="80"/>
      <c r="BD136" s="80"/>
      <c r="BE136" s="80"/>
      <c r="BF136" s="80"/>
      <c r="BG136" s="80"/>
      <c r="BH136" s="80"/>
    </row>
    <row r="137" spans="1:60" x14ac:dyDescent="0.25">
      <c r="A137" s="80"/>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80"/>
      <c r="AW137" s="80"/>
      <c r="AX137" s="80"/>
      <c r="AY137" s="80"/>
      <c r="AZ137" s="80"/>
      <c r="BA137" s="80"/>
      <c r="BB137" s="80"/>
      <c r="BC137" s="80"/>
      <c r="BD137" s="80"/>
      <c r="BE137" s="80"/>
      <c r="BF137" s="80"/>
      <c r="BG137" s="80"/>
      <c r="BH137" s="80"/>
    </row>
    <row r="138" spans="1:60" x14ac:dyDescent="0.25">
      <c r="A138" s="80"/>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80"/>
      <c r="AW138" s="80"/>
      <c r="AX138" s="80"/>
      <c r="AY138" s="80"/>
      <c r="AZ138" s="80"/>
      <c r="BA138" s="80"/>
      <c r="BB138" s="80"/>
      <c r="BC138" s="80"/>
      <c r="BD138" s="80"/>
      <c r="BE138" s="80"/>
      <c r="BF138" s="80"/>
      <c r="BG138" s="80"/>
      <c r="BH138" s="80"/>
    </row>
    <row r="139" spans="1:60" x14ac:dyDescent="0.25">
      <c r="A139" s="80"/>
      <c r="B139" s="80"/>
      <c r="C139" s="80"/>
      <c r="D139" s="80"/>
      <c r="E139" s="80"/>
      <c r="F139" s="80"/>
      <c r="G139" s="80"/>
      <c r="H139" s="80"/>
      <c r="I139" s="80"/>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80"/>
      <c r="AO139" s="80"/>
      <c r="AP139" s="80"/>
      <c r="AQ139" s="80"/>
      <c r="AR139" s="80"/>
      <c r="AS139" s="80"/>
      <c r="AT139" s="80"/>
      <c r="AU139" s="80"/>
      <c r="AV139" s="80"/>
      <c r="AW139" s="80"/>
      <c r="AX139" s="80"/>
      <c r="AY139" s="80"/>
      <c r="AZ139" s="80"/>
      <c r="BA139" s="80"/>
      <c r="BB139" s="80"/>
      <c r="BC139" s="80"/>
      <c r="BD139" s="80"/>
      <c r="BE139" s="80"/>
      <c r="BF139" s="80"/>
      <c r="BG139" s="80"/>
      <c r="BH139" s="80"/>
    </row>
    <row r="140" spans="1:60" x14ac:dyDescent="0.25">
      <c r="A140" s="80"/>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80"/>
      <c r="AW140" s="80"/>
      <c r="AX140" s="80"/>
      <c r="AY140" s="80"/>
      <c r="AZ140" s="80"/>
      <c r="BA140" s="80"/>
      <c r="BB140" s="80"/>
      <c r="BC140" s="80"/>
      <c r="BD140" s="80"/>
      <c r="BE140" s="80"/>
      <c r="BF140" s="80"/>
      <c r="BG140" s="80"/>
      <c r="BH140" s="80"/>
    </row>
    <row r="141" spans="1:60" x14ac:dyDescent="0.25">
      <c r="A141" s="80"/>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80"/>
      <c r="AW141" s="80"/>
      <c r="AX141" s="80"/>
      <c r="AY141" s="80"/>
      <c r="AZ141" s="80"/>
      <c r="BA141" s="80"/>
      <c r="BB141" s="80"/>
      <c r="BC141" s="80"/>
      <c r="BD141" s="80"/>
      <c r="BE141" s="80"/>
      <c r="BF141" s="80"/>
      <c r="BG141" s="80"/>
      <c r="BH141" s="80"/>
    </row>
    <row r="142" spans="1:60" x14ac:dyDescent="0.25">
      <c r="A142" s="80"/>
      <c r="B142" s="80"/>
      <c r="C142" s="80"/>
      <c r="D142" s="80"/>
      <c r="E142" s="80"/>
      <c r="F142" s="80"/>
      <c r="G142" s="80"/>
      <c r="H142" s="80"/>
      <c r="I142" s="80"/>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80"/>
      <c r="AO142" s="80"/>
      <c r="AP142" s="80"/>
      <c r="AQ142" s="80"/>
      <c r="AR142" s="80"/>
      <c r="AS142" s="80"/>
      <c r="AT142" s="80"/>
      <c r="AU142" s="80"/>
      <c r="AV142" s="80"/>
      <c r="AW142" s="80"/>
      <c r="AX142" s="80"/>
      <c r="AY142" s="80"/>
      <c r="AZ142" s="80"/>
      <c r="BA142" s="80"/>
      <c r="BB142" s="80"/>
      <c r="BC142" s="80"/>
      <c r="BD142" s="80"/>
      <c r="BE142" s="80"/>
      <c r="BF142" s="80"/>
      <c r="BG142" s="80"/>
      <c r="BH142" s="80"/>
    </row>
    <row r="143" spans="1:60" x14ac:dyDescent="0.25">
      <c r="A143" s="80"/>
      <c r="B143" s="80"/>
      <c r="C143" s="80"/>
      <c r="D143" s="80"/>
      <c r="E143" s="80"/>
      <c r="F143" s="80"/>
      <c r="G143" s="80"/>
      <c r="H143" s="80"/>
      <c r="I143" s="80"/>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80"/>
      <c r="AO143" s="80"/>
      <c r="AP143" s="80"/>
      <c r="AQ143" s="80"/>
      <c r="AR143" s="80"/>
      <c r="AS143" s="80"/>
      <c r="AT143" s="80"/>
      <c r="AU143" s="80"/>
      <c r="AV143" s="80"/>
      <c r="AW143" s="80"/>
      <c r="AX143" s="80"/>
      <c r="AY143" s="80"/>
      <c r="AZ143" s="80"/>
      <c r="BA143" s="80"/>
      <c r="BB143" s="80"/>
      <c r="BC143" s="80"/>
      <c r="BD143" s="80"/>
      <c r="BE143" s="80"/>
      <c r="BF143" s="80"/>
      <c r="BG143" s="80"/>
      <c r="BH143" s="80"/>
    </row>
    <row r="144" spans="1:60" x14ac:dyDescent="0.25">
      <c r="A144" s="80"/>
      <c r="B144" s="80"/>
      <c r="C144" s="80"/>
      <c r="D144" s="80"/>
      <c r="E144" s="80"/>
      <c r="F144" s="80"/>
      <c r="G144" s="80"/>
      <c r="H144" s="80"/>
      <c r="I144" s="80"/>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row>
    <row r="145" spans="1:60" x14ac:dyDescent="0.25">
      <c r="A145" s="80"/>
      <c r="B145" s="80"/>
      <c r="C145" s="80"/>
      <c r="D145" s="80"/>
      <c r="E145" s="80"/>
      <c r="F145" s="80"/>
      <c r="G145" s="80"/>
      <c r="H145" s="80"/>
      <c r="I145" s="80"/>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80"/>
      <c r="AO145" s="80"/>
      <c r="AP145" s="80"/>
      <c r="AQ145" s="80"/>
      <c r="AR145" s="80"/>
      <c r="AS145" s="80"/>
      <c r="AT145" s="80"/>
      <c r="AU145" s="80"/>
      <c r="AV145" s="80"/>
      <c r="AW145" s="80"/>
      <c r="AX145" s="80"/>
      <c r="AY145" s="80"/>
      <c r="AZ145" s="80"/>
      <c r="BA145" s="80"/>
      <c r="BB145" s="80"/>
      <c r="BC145" s="80"/>
      <c r="BD145" s="80"/>
      <c r="BE145" s="80"/>
      <c r="BF145" s="80"/>
      <c r="BG145" s="80"/>
      <c r="BH145" s="80"/>
    </row>
    <row r="146" spans="1:60" x14ac:dyDescent="0.25">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80"/>
      <c r="AO146" s="80"/>
      <c r="AP146" s="80"/>
      <c r="AQ146" s="80"/>
      <c r="AR146" s="80"/>
      <c r="AS146" s="80"/>
      <c r="AT146" s="80"/>
      <c r="AU146" s="80"/>
      <c r="AV146" s="80"/>
      <c r="AW146" s="80"/>
      <c r="AX146" s="80"/>
      <c r="AY146" s="80"/>
      <c r="AZ146" s="80"/>
      <c r="BA146" s="80"/>
      <c r="BB146" s="80"/>
      <c r="BC146" s="80"/>
      <c r="BD146" s="80"/>
      <c r="BE146" s="80"/>
      <c r="BF146" s="80"/>
      <c r="BG146" s="80"/>
      <c r="BH146" s="80"/>
    </row>
    <row r="147" spans="1:60" x14ac:dyDescent="0.25">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80"/>
      <c r="AW147" s="80"/>
      <c r="AX147" s="80"/>
      <c r="AY147" s="80"/>
      <c r="AZ147" s="80"/>
      <c r="BA147" s="80"/>
      <c r="BB147" s="80"/>
      <c r="BC147" s="80"/>
      <c r="BD147" s="80"/>
      <c r="BE147" s="80"/>
      <c r="BF147" s="80"/>
      <c r="BG147" s="80"/>
      <c r="BH147" s="80"/>
    </row>
    <row r="148" spans="1:60" x14ac:dyDescent="0.25">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80"/>
      <c r="AO148" s="80"/>
      <c r="AP148" s="80"/>
      <c r="AQ148" s="80"/>
      <c r="AR148" s="80"/>
      <c r="AS148" s="80"/>
      <c r="AT148" s="80"/>
      <c r="AU148" s="80"/>
      <c r="AV148" s="80"/>
      <c r="AW148" s="80"/>
      <c r="AX148" s="80"/>
      <c r="AY148" s="80"/>
      <c r="AZ148" s="80"/>
      <c r="BA148" s="80"/>
      <c r="BB148" s="80"/>
      <c r="BC148" s="80"/>
      <c r="BD148" s="80"/>
      <c r="BE148" s="80"/>
      <c r="BF148" s="80"/>
      <c r="BG148" s="80"/>
      <c r="BH148" s="80"/>
    </row>
    <row r="149" spans="1:60" x14ac:dyDescent="0.25">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row>
    <row r="150" spans="1:60" x14ac:dyDescent="0.25">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80"/>
      <c r="AO150" s="80"/>
      <c r="AP150" s="80"/>
      <c r="AQ150" s="80"/>
      <c r="AR150" s="80"/>
      <c r="AS150" s="80"/>
      <c r="AT150" s="80"/>
      <c r="AU150" s="80"/>
      <c r="AV150" s="80"/>
      <c r="AW150" s="80"/>
      <c r="AX150" s="80"/>
      <c r="AY150" s="80"/>
      <c r="AZ150" s="80"/>
      <c r="BA150" s="80"/>
      <c r="BB150" s="80"/>
      <c r="BC150" s="80"/>
      <c r="BD150" s="80"/>
      <c r="BE150" s="80"/>
      <c r="BF150" s="80"/>
      <c r="BG150" s="80"/>
      <c r="BH150" s="80"/>
    </row>
    <row r="151" spans="1:60" x14ac:dyDescent="0.25">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80"/>
      <c r="AO151" s="80"/>
      <c r="AP151" s="80"/>
      <c r="AQ151" s="80"/>
      <c r="AR151" s="80"/>
      <c r="AS151" s="80"/>
      <c r="AT151" s="80"/>
      <c r="AU151" s="80"/>
      <c r="AV151" s="80"/>
      <c r="AW151" s="80"/>
      <c r="AX151" s="80"/>
      <c r="AY151" s="80"/>
      <c r="AZ151" s="80"/>
      <c r="BA151" s="80"/>
      <c r="BB151" s="80"/>
      <c r="BC151" s="80"/>
      <c r="BD151" s="80"/>
      <c r="BE151" s="80"/>
      <c r="BF151" s="80"/>
      <c r="BG151" s="80"/>
      <c r="BH151" s="80"/>
    </row>
    <row r="152" spans="1:60" x14ac:dyDescent="0.25">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80"/>
      <c r="AO152" s="80"/>
      <c r="AP152" s="80"/>
      <c r="AQ152" s="80"/>
      <c r="AR152" s="80"/>
      <c r="AS152" s="80"/>
      <c r="AT152" s="80"/>
      <c r="AU152" s="80"/>
      <c r="AV152" s="80"/>
      <c r="AW152" s="80"/>
      <c r="AX152" s="80"/>
      <c r="AY152" s="80"/>
      <c r="AZ152" s="80"/>
      <c r="BA152" s="80"/>
      <c r="BB152" s="80"/>
      <c r="BC152" s="80"/>
      <c r="BD152" s="80"/>
      <c r="BE152" s="80"/>
      <c r="BF152" s="80"/>
      <c r="BG152" s="80"/>
      <c r="BH152" s="80"/>
    </row>
    <row r="153" spans="1:60" x14ac:dyDescent="0.25">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80"/>
      <c r="BH153" s="80"/>
    </row>
    <row r="154" spans="1:60" x14ac:dyDescent="0.25">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80"/>
      <c r="AO154" s="80"/>
      <c r="AP154" s="80"/>
      <c r="AQ154" s="80"/>
      <c r="AR154" s="80"/>
      <c r="AS154" s="80"/>
      <c r="AT154" s="80"/>
      <c r="AU154" s="80"/>
      <c r="AV154" s="80"/>
      <c r="AW154" s="80"/>
      <c r="AX154" s="80"/>
      <c r="AY154" s="80"/>
      <c r="AZ154" s="80"/>
      <c r="BA154" s="80"/>
      <c r="BB154" s="80"/>
      <c r="BC154" s="80"/>
      <c r="BD154" s="80"/>
      <c r="BE154" s="80"/>
      <c r="BF154" s="80"/>
      <c r="BG154" s="80"/>
      <c r="BH154" s="80"/>
    </row>
    <row r="155" spans="1:60" x14ac:dyDescent="0.25">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80"/>
      <c r="AO155" s="80"/>
      <c r="AP155" s="80"/>
      <c r="AQ155" s="80"/>
      <c r="AR155" s="80"/>
      <c r="AS155" s="80"/>
      <c r="AT155" s="80"/>
      <c r="AU155" s="80"/>
      <c r="AV155" s="80"/>
      <c r="AW155" s="80"/>
      <c r="AX155" s="80"/>
      <c r="AY155" s="80"/>
      <c r="AZ155" s="80"/>
      <c r="BA155" s="80"/>
      <c r="BB155" s="80"/>
      <c r="BC155" s="80"/>
      <c r="BD155" s="80"/>
      <c r="BE155" s="80"/>
      <c r="BF155" s="80"/>
      <c r="BG155" s="80"/>
      <c r="BH155" s="80"/>
    </row>
    <row r="156" spans="1:60" x14ac:dyDescent="0.25">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80"/>
      <c r="AW156" s="80"/>
      <c r="AX156" s="80"/>
      <c r="AY156" s="80"/>
      <c r="AZ156" s="80"/>
      <c r="BA156" s="80"/>
      <c r="BB156" s="80"/>
      <c r="BC156" s="80"/>
      <c r="BD156" s="80"/>
      <c r="BE156" s="80"/>
      <c r="BF156" s="80"/>
      <c r="BG156" s="80"/>
      <c r="BH156" s="80"/>
    </row>
    <row r="157" spans="1:60" x14ac:dyDescent="0.25">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80"/>
      <c r="AO157" s="80"/>
      <c r="AP157" s="80"/>
      <c r="AQ157" s="80"/>
      <c r="AR157" s="80"/>
      <c r="AS157" s="80"/>
      <c r="AT157" s="80"/>
      <c r="AU157" s="80"/>
      <c r="AV157" s="80"/>
      <c r="AW157" s="80"/>
      <c r="AX157" s="80"/>
      <c r="AY157" s="80"/>
      <c r="AZ157" s="80"/>
      <c r="BA157" s="80"/>
      <c r="BB157" s="80"/>
      <c r="BC157" s="80"/>
      <c r="BD157" s="80"/>
      <c r="BE157" s="80"/>
      <c r="BF157" s="80"/>
      <c r="BG157" s="80"/>
      <c r="BH157" s="80"/>
    </row>
    <row r="158" spans="1:60" x14ac:dyDescent="0.25">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80"/>
      <c r="AO158" s="80"/>
      <c r="AP158" s="80"/>
      <c r="AQ158" s="80"/>
      <c r="AR158" s="80"/>
      <c r="AS158" s="80"/>
      <c r="AT158" s="80"/>
      <c r="AU158" s="80"/>
      <c r="AV158" s="80"/>
      <c r="AW158" s="80"/>
      <c r="AX158" s="80"/>
      <c r="AY158" s="80"/>
      <c r="AZ158" s="80"/>
      <c r="BA158" s="80"/>
      <c r="BB158" s="80"/>
      <c r="BC158" s="80"/>
      <c r="BD158" s="80"/>
      <c r="BE158" s="80"/>
      <c r="BF158" s="80"/>
      <c r="BG158" s="80"/>
      <c r="BH158" s="80"/>
    </row>
    <row r="159" spans="1:60" x14ac:dyDescent="0.25">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80"/>
      <c r="AW159" s="80"/>
      <c r="AX159" s="80"/>
      <c r="AY159" s="80"/>
      <c r="AZ159" s="80"/>
      <c r="BA159" s="80"/>
      <c r="BB159" s="80"/>
      <c r="BC159" s="80"/>
      <c r="BD159" s="80"/>
      <c r="BE159" s="80"/>
      <c r="BF159" s="80"/>
      <c r="BG159" s="80"/>
      <c r="BH159" s="80"/>
    </row>
    <row r="160" spans="1:60" x14ac:dyDescent="0.25">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row>
    <row r="161" spans="1:60" x14ac:dyDescent="0.25">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row>
    <row r="162" spans="1:60" x14ac:dyDescent="0.25">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80"/>
      <c r="AO162" s="80"/>
      <c r="AP162" s="80"/>
      <c r="AQ162" s="80"/>
      <c r="AR162" s="80"/>
      <c r="AS162" s="80"/>
      <c r="AT162" s="80"/>
      <c r="AU162" s="80"/>
      <c r="AV162" s="80"/>
      <c r="AW162" s="80"/>
      <c r="AX162" s="80"/>
      <c r="AY162" s="80"/>
      <c r="AZ162" s="80"/>
      <c r="BA162" s="80"/>
      <c r="BB162" s="80"/>
      <c r="BC162" s="80"/>
      <c r="BD162" s="80"/>
      <c r="BE162" s="80"/>
      <c r="BF162" s="80"/>
      <c r="BG162" s="80"/>
      <c r="BH162" s="80"/>
    </row>
    <row r="163" spans="1:60" x14ac:dyDescent="0.25">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c r="AQ163" s="80"/>
      <c r="AR163" s="80"/>
      <c r="AS163" s="80"/>
      <c r="AT163" s="80"/>
      <c r="AU163" s="80"/>
      <c r="AV163" s="80"/>
      <c r="AW163" s="80"/>
      <c r="AX163" s="80"/>
      <c r="AY163" s="80"/>
      <c r="AZ163" s="80"/>
      <c r="BA163" s="80"/>
      <c r="BB163" s="80"/>
      <c r="BC163" s="80"/>
      <c r="BD163" s="80"/>
      <c r="BE163" s="80"/>
      <c r="BF163" s="80"/>
      <c r="BG163" s="80"/>
      <c r="BH163" s="80"/>
    </row>
    <row r="164" spans="1:60" x14ac:dyDescent="0.25">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80"/>
      <c r="AO164" s="80"/>
      <c r="AP164" s="80"/>
      <c r="AQ164" s="80"/>
      <c r="AR164" s="80"/>
      <c r="AS164" s="80"/>
      <c r="AT164" s="80"/>
      <c r="AU164" s="80"/>
      <c r="AV164" s="80"/>
      <c r="AW164" s="80"/>
      <c r="AX164" s="80"/>
      <c r="AY164" s="80"/>
      <c r="AZ164" s="80"/>
      <c r="BA164" s="80"/>
      <c r="BB164" s="80"/>
      <c r="BC164" s="80"/>
      <c r="BD164" s="80"/>
      <c r="BE164" s="80"/>
      <c r="BF164" s="80"/>
      <c r="BG164" s="80"/>
      <c r="BH164" s="80"/>
    </row>
    <row r="165" spans="1:60" x14ac:dyDescent="0.25">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row>
    <row r="166" spans="1:60" x14ac:dyDescent="0.25">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row>
    <row r="167" spans="1:60" x14ac:dyDescent="0.25">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row>
    <row r="168" spans="1:60" x14ac:dyDescent="0.25">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row>
    <row r="169" spans="1:60" x14ac:dyDescent="0.25">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c r="AW169" s="80"/>
      <c r="AX169" s="80"/>
      <c r="AY169" s="80"/>
      <c r="AZ169" s="80"/>
      <c r="BA169" s="80"/>
      <c r="BB169" s="80"/>
      <c r="BC169" s="80"/>
      <c r="BD169" s="80"/>
      <c r="BE169" s="80"/>
      <c r="BF169" s="80"/>
      <c r="BG169" s="80"/>
      <c r="BH169" s="80"/>
    </row>
    <row r="170" spans="1:60" x14ac:dyDescent="0.25">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row>
    <row r="171" spans="1:60" x14ac:dyDescent="0.25">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c r="AW171" s="80"/>
      <c r="AX171" s="80"/>
      <c r="AY171" s="80"/>
      <c r="AZ171" s="80"/>
      <c r="BA171" s="80"/>
      <c r="BB171" s="80"/>
      <c r="BC171" s="80"/>
      <c r="BD171" s="80"/>
      <c r="BE171" s="80"/>
      <c r="BF171" s="80"/>
      <c r="BG171" s="80"/>
      <c r="BH171" s="80"/>
    </row>
    <row r="172" spans="1:60" x14ac:dyDescent="0.25">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c r="AW172" s="80"/>
      <c r="AX172" s="80"/>
      <c r="AY172" s="80"/>
      <c r="AZ172" s="80"/>
      <c r="BA172" s="80"/>
      <c r="BB172" s="80"/>
      <c r="BC172" s="80"/>
      <c r="BD172" s="80"/>
      <c r="BE172" s="80"/>
      <c r="BF172" s="80"/>
      <c r="BG172" s="80"/>
      <c r="BH172" s="80"/>
    </row>
    <row r="173" spans="1:60" x14ac:dyDescent="0.25">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c r="AW173" s="80"/>
      <c r="AX173" s="80"/>
      <c r="AY173" s="80"/>
      <c r="AZ173" s="80"/>
      <c r="BA173" s="80"/>
      <c r="BB173" s="80"/>
      <c r="BC173" s="80"/>
      <c r="BD173" s="80"/>
      <c r="BE173" s="80"/>
      <c r="BF173" s="80"/>
      <c r="BG173" s="80"/>
      <c r="BH173" s="80"/>
    </row>
    <row r="174" spans="1:60" x14ac:dyDescent="0.25">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c r="AW174" s="80"/>
      <c r="AX174" s="80"/>
      <c r="AY174" s="80"/>
      <c r="AZ174" s="80"/>
      <c r="BA174" s="80"/>
      <c r="BB174" s="80"/>
      <c r="BC174" s="80"/>
      <c r="BD174" s="80"/>
      <c r="BE174" s="80"/>
      <c r="BF174" s="80"/>
      <c r="BG174" s="80"/>
      <c r="BH174" s="80"/>
    </row>
    <row r="175" spans="1:60" x14ac:dyDescent="0.25">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c r="AW175" s="80"/>
      <c r="AX175" s="80"/>
      <c r="AY175" s="80"/>
      <c r="AZ175" s="80"/>
      <c r="BA175" s="80"/>
      <c r="BB175" s="80"/>
      <c r="BC175" s="80"/>
      <c r="BD175" s="80"/>
      <c r="BE175" s="80"/>
      <c r="BF175" s="80"/>
      <c r="BG175" s="80"/>
      <c r="BH175" s="80"/>
    </row>
    <row r="176" spans="1:60" x14ac:dyDescent="0.25">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c r="AW176" s="80"/>
      <c r="AX176" s="80"/>
      <c r="AY176" s="80"/>
      <c r="AZ176" s="80"/>
      <c r="BA176" s="80"/>
      <c r="BB176" s="80"/>
      <c r="BC176" s="80"/>
      <c r="BD176" s="80"/>
      <c r="BE176" s="80"/>
      <c r="BF176" s="80"/>
      <c r="BG176" s="80"/>
      <c r="BH176" s="80"/>
    </row>
    <row r="177" spans="1:60" x14ac:dyDescent="0.25">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c r="AW177" s="80"/>
      <c r="AX177" s="80"/>
      <c r="AY177" s="80"/>
      <c r="AZ177" s="80"/>
      <c r="BA177" s="80"/>
      <c r="BB177" s="80"/>
      <c r="BC177" s="80"/>
      <c r="BD177" s="80"/>
      <c r="BE177" s="80"/>
      <c r="BF177" s="80"/>
      <c r="BG177" s="80"/>
      <c r="BH177" s="80"/>
    </row>
    <row r="178" spans="1:60" x14ac:dyDescent="0.25">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c r="AW178" s="80"/>
      <c r="AX178" s="80"/>
      <c r="AY178" s="80"/>
      <c r="AZ178" s="80"/>
      <c r="BA178" s="80"/>
      <c r="BB178" s="80"/>
      <c r="BC178" s="80"/>
      <c r="BD178" s="80"/>
      <c r="BE178" s="80"/>
      <c r="BF178" s="80"/>
      <c r="BG178" s="80"/>
      <c r="BH178" s="80"/>
    </row>
    <row r="179" spans="1:60" x14ac:dyDescent="0.25">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c r="AW179" s="80"/>
      <c r="AX179" s="80"/>
      <c r="AY179" s="80"/>
      <c r="AZ179" s="80"/>
      <c r="BA179" s="80"/>
      <c r="BB179" s="80"/>
      <c r="BC179" s="80"/>
      <c r="BD179" s="80"/>
      <c r="BE179" s="80"/>
      <c r="BF179" s="80"/>
      <c r="BG179" s="80"/>
      <c r="BH179" s="80"/>
    </row>
    <row r="180" spans="1:60" x14ac:dyDescent="0.25">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row>
    <row r="181" spans="1:60" x14ac:dyDescent="0.25">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80"/>
      <c r="BF181" s="80"/>
      <c r="BG181" s="80"/>
      <c r="BH181" s="80"/>
    </row>
    <row r="182" spans="1:60" x14ac:dyDescent="0.25">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c r="AW182" s="80"/>
      <c r="AX182" s="80"/>
      <c r="AY182" s="80"/>
      <c r="AZ182" s="80"/>
      <c r="BA182" s="80"/>
      <c r="BB182" s="80"/>
      <c r="BC182" s="80"/>
      <c r="BD182" s="80"/>
      <c r="BE182" s="80"/>
      <c r="BF182" s="80"/>
      <c r="BG182" s="80"/>
      <c r="BH182" s="80"/>
    </row>
    <row r="183" spans="1:60" x14ac:dyDescent="0.25">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row>
    <row r="184" spans="1:60" x14ac:dyDescent="0.25">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row>
    <row r="185" spans="1:60" x14ac:dyDescent="0.25">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row>
    <row r="186" spans="1:60" x14ac:dyDescent="0.25">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row>
    <row r="187" spans="1:60" x14ac:dyDescent="0.25">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row>
    <row r="188" spans="1:60" x14ac:dyDescent="0.25">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row>
    <row r="189" spans="1:60" x14ac:dyDescent="0.25">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row>
    <row r="190" spans="1:60" x14ac:dyDescent="0.25">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row>
    <row r="191" spans="1:60" x14ac:dyDescent="0.25">
      <c r="A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row>
    <row r="192" spans="1:60" x14ac:dyDescent="0.25">
      <c r="A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row>
    <row r="193" spans="1:60" x14ac:dyDescent="0.25">
      <c r="A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c r="AW193" s="80"/>
      <c r="AX193" s="80"/>
      <c r="AY193" s="80"/>
      <c r="AZ193" s="80"/>
      <c r="BA193" s="80"/>
      <c r="BB193" s="80"/>
      <c r="BC193" s="80"/>
      <c r="BD193" s="80"/>
      <c r="BE193" s="80"/>
      <c r="BF193" s="80"/>
      <c r="BG193" s="80"/>
      <c r="BH193" s="80"/>
    </row>
    <row r="194" spans="1:60" x14ac:dyDescent="0.25">
      <c r="A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c r="AW194" s="80"/>
      <c r="AX194" s="80"/>
      <c r="AY194" s="80"/>
      <c r="AZ194" s="80"/>
      <c r="BA194" s="80"/>
      <c r="BB194" s="80"/>
      <c r="BC194" s="80"/>
      <c r="BD194" s="80"/>
      <c r="BE194" s="80"/>
      <c r="BF194" s="80"/>
      <c r="BG194" s="80"/>
      <c r="BH194" s="80"/>
    </row>
    <row r="195" spans="1:60" x14ac:dyDescent="0.25">
      <c r="A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c r="AW195" s="80"/>
      <c r="AX195" s="80"/>
      <c r="AY195" s="80"/>
      <c r="AZ195" s="80"/>
      <c r="BA195" s="80"/>
      <c r="BB195" s="80"/>
      <c r="BC195" s="80"/>
      <c r="BD195" s="80"/>
      <c r="BE195" s="80"/>
      <c r="BF195" s="80"/>
      <c r="BG195" s="80"/>
      <c r="BH195" s="80"/>
    </row>
    <row r="196" spans="1:60" x14ac:dyDescent="0.25">
      <c r="A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c r="AW196" s="80"/>
      <c r="AX196" s="80"/>
      <c r="AY196" s="80"/>
      <c r="AZ196" s="80"/>
      <c r="BA196" s="80"/>
      <c r="BB196" s="80"/>
      <c r="BC196" s="80"/>
      <c r="BD196" s="80"/>
      <c r="BE196" s="80"/>
      <c r="BF196" s="80"/>
      <c r="BG196" s="80"/>
      <c r="BH196" s="80"/>
    </row>
    <row r="197" spans="1:60" x14ac:dyDescent="0.25">
      <c r="A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c r="AW197" s="80"/>
      <c r="AX197" s="80"/>
      <c r="AY197" s="80"/>
      <c r="AZ197" s="80"/>
      <c r="BA197" s="80"/>
      <c r="BB197" s="80"/>
      <c r="BC197" s="80"/>
      <c r="BD197" s="80"/>
      <c r="BE197" s="80"/>
      <c r="BF197" s="80"/>
      <c r="BG197" s="80"/>
      <c r="BH197" s="80"/>
    </row>
    <row r="198" spans="1:60" x14ac:dyDescent="0.25">
      <c r="A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c r="AW198" s="80"/>
      <c r="AX198" s="80"/>
      <c r="AY198" s="80"/>
      <c r="AZ198" s="80"/>
      <c r="BA198" s="80"/>
      <c r="BB198" s="80"/>
      <c r="BC198" s="80"/>
      <c r="BD198" s="80"/>
      <c r="BE198" s="80"/>
      <c r="BF198" s="80"/>
      <c r="BG198" s="80"/>
      <c r="BH198" s="80"/>
    </row>
    <row r="199" spans="1:60" x14ac:dyDescent="0.25">
      <c r="A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c r="AW199" s="80"/>
      <c r="AX199" s="80"/>
      <c r="AY199" s="80"/>
      <c r="AZ199" s="80"/>
      <c r="BA199" s="80"/>
      <c r="BB199" s="80"/>
      <c r="BC199" s="80"/>
      <c r="BD199" s="80"/>
      <c r="BE199" s="80"/>
      <c r="BF199" s="80"/>
      <c r="BG199" s="80"/>
      <c r="BH199" s="80"/>
    </row>
    <row r="200" spans="1:60" x14ac:dyDescent="0.25">
      <c r="A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c r="AW200" s="80"/>
      <c r="AX200" s="80"/>
      <c r="AY200" s="80"/>
      <c r="AZ200" s="80"/>
      <c r="BA200" s="80"/>
      <c r="BB200" s="80"/>
      <c r="BC200" s="80"/>
      <c r="BD200" s="80"/>
      <c r="BE200" s="80"/>
      <c r="BF200" s="80"/>
      <c r="BG200" s="80"/>
      <c r="BH200" s="80"/>
    </row>
    <row r="201" spans="1:60" x14ac:dyDescent="0.25">
      <c r="A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c r="AW201" s="80"/>
      <c r="AX201" s="80"/>
      <c r="AY201" s="80"/>
      <c r="AZ201" s="80"/>
      <c r="BA201" s="80"/>
      <c r="BB201" s="80"/>
      <c r="BC201" s="80"/>
      <c r="BD201" s="80"/>
      <c r="BE201" s="80"/>
      <c r="BF201" s="80"/>
      <c r="BG201" s="80"/>
      <c r="BH201" s="80"/>
    </row>
    <row r="202" spans="1:60" x14ac:dyDescent="0.25">
      <c r="A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c r="AW202" s="80"/>
      <c r="AX202" s="80"/>
      <c r="AY202" s="80"/>
      <c r="AZ202" s="80"/>
      <c r="BA202" s="80"/>
      <c r="BB202" s="80"/>
      <c r="BC202" s="80"/>
      <c r="BD202" s="80"/>
      <c r="BE202" s="80"/>
      <c r="BF202" s="80"/>
      <c r="BG202" s="80"/>
      <c r="BH202" s="80"/>
    </row>
    <row r="203" spans="1:60" x14ac:dyDescent="0.25">
      <c r="A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80"/>
    </row>
    <row r="204" spans="1:60" x14ac:dyDescent="0.25">
      <c r="A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c r="AW204" s="80"/>
      <c r="AX204" s="80"/>
      <c r="AY204" s="80"/>
      <c r="AZ204" s="80"/>
      <c r="BA204" s="80"/>
      <c r="BB204" s="80"/>
      <c r="BC204" s="80"/>
      <c r="BD204" s="80"/>
      <c r="BE204" s="80"/>
      <c r="BF204" s="80"/>
      <c r="BG204" s="80"/>
      <c r="BH204" s="80"/>
    </row>
    <row r="205" spans="1:60" x14ac:dyDescent="0.25">
      <c r="A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c r="AW205" s="80"/>
      <c r="AX205" s="80"/>
      <c r="AY205" s="80"/>
      <c r="AZ205" s="80"/>
      <c r="BA205" s="80"/>
      <c r="BB205" s="80"/>
      <c r="BC205" s="80"/>
      <c r="BD205" s="80"/>
      <c r="BE205" s="80"/>
      <c r="BF205" s="80"/>
      <c r="BG205" s="80"/>
      <c r="BH205" s="80"/>
    </row>
    <row r="206" spans="1:60" x14ac:dyDescent="0.25">
      <c r="A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c r="AW206" s="80"/>
      <c r="AX206" s="80"/>
      <c r="AY206" s="80"/>
      <c r="AZ206" s="80"/>
      <c r="BA206" s="80"/>
      <c r="BB206" s="80"/>
      <c r="BC206" s="80"/>
      <c r="BD206" s="80"/>
      <c r="BE206" s="80"/>
      <c r="BF206" s="80"/>
      <c r="BG206" s="80"/>
      <c r="BH206" s="80"/>
    </row>
    <row r="207" spans="1:60" x14ac:dyDescent="0.25">
      <c r="A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c r="AW207" s="80"/>
      <c r="AX207" s="80"/>
      <c r="AY207" s="80"/>
      <c r="AZ207" s="80"/>
      <c r="BA207" s="80"/>
      <c r="BB207" s="80"/>
      <c r="BC207" s="80"/>
      <c r="BD207" s="80"/>
      <c r="BE207" s="80"/>
      <c r="BF207" s="80"/>
      <c r="BG207" s="80"/>
      <c r="BH207" s="80"/>
    </row>
    <row r="208" spans="1:60" x14ac:dyDescent="0.25">
      <c r="A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row>
    <row r="209" spans="1:60" x14ac:dyDescent="0.25">
      <c r="A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row>
    <row r="210" spans="1:60" x14ac:dyDescent="0.25">
      <c r="A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row>
    <row r="211" spans="1:60" x14ac:dyDescent="0.25">
      <c r="A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row>
    <row r="212" spans="1:60" x14ac:dyDescent="0.25">
      <c r="A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row>
    <row r="213" spans="1:60" x14ac:dyDescent="0.25">
      <c r="A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row>
    <row r="214" spans="1:60" x14ac:dyDescent="0.25">
      <c r="A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row>
    <row r="215" spans="1:60" x14ac:dyDescent="0.25">
      <c r="A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row>
    <row r="216" spans="1:60" x14ac:dyDescent="0.25">
      <c r="A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row>
    <row r="217" spans="1:60" x14ac:dyDescent="0.25">
      <c r="A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row>
    <row r="218" spans="1:60" x14ac:dyDescent="0.25">
      <c r="A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row>
    <row r="219" spans="1:60" x14ac:dyDescent="0.25">
      <c r="A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row>
    <row r="220" spans="1:60" x14ac:dyDescent="0.25">
      <c r="A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row>
    <row r="221" spans="1:60" x14ac:dyDescent="0.25">
      <c r="A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row>
    <row r="222" spans="1:60" x14ac:dyDescent="0.25">
      <c r="A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row>
    <row r="223" spans="1:60" x14ac:dyDescent="0.25">
      <c r="A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row>
    <row r="224" spans="1:60" x14ac:dyDescent="0.25">
      <c r="A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row>
    <row r="225" spans="1:60" x14ac:dyDescent="0.25">
      <c r="A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row>
    <row r="226" spans="1:60" x14ac:dyDescent="0.25">
      <c r="A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row>
    <row r="227" spans="1:60" x14ac:dyDescent="0.25">
      <c r="A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row>
    <row r="228" spans="1:60" x14ac:dyDescent="0.25">
      <c r="A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row>
    <row r="229" spans="1:60" x14ac:dyDescent="0.25">
      <c r="A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row>
    <row r="230" spans="1:60" x14ac:dyDescent="0.25">
      <c r="A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row>
    <row r="231" spans="1:60" x14ac:dyDescent="0.25">
      <c r="A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row>
    <row r="232" spans="1:60" x14ac:dyDescent="0.25">
      <c r="A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row>
    <row r="233" spans="1:60" x14ac:dyDescent="0.25">
      <c r="A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row>
    <row r="234" spans="1:60" x14ac:dyDescent="0.25">
      <c r="A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row>
    <row r="235" spans="1:60" x14ac:dyDescent="0.25">
      <c r="A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row>
    <row r="236" spans="1:60" x14ac:dyDescent="0.25">
      <c r="A236" s="80"/>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row>
    <row r="237" spans="1:60" x14ac:dyDescent="0.25">
      <c r="A237" s="80"/>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row>
    <row r="238" spans="1:60" x14ac:dyDescent="0.25">
      <c r="A238" s="80"/>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row>
    <row r="239" spans="1:60" x14ac:dyDescent="0.25">
      <c r="A239" s="80"/>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row>
    <row r="240" spans="1:60" x14ac:dyDescent="0.25">
      <c r="A240" s="80"/>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row>
    <row r="241" spans="1:60" x14ac:dyDescent="0.25">
      <c r="A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80"/>
      <c r="AW241" s="80"/>
      <c r="AX241" s="80"/>
      <c r="AY241" s="80"/>
      <c r="AZ241" s="80"/>
      <c r="BA241" s="80"/>
      <c r="BB241" s="80"/>
      <c r="BC241" s="80"/>
      <c r="BD241" s="80"/>
      <c r="BE241" s="80"/>
      <c r="BF241" s="80"/>
      <c r="BG241" s="80"/>
      <c r="BH241" s="80"/>
    </row>
    <row r="242" spans="1:60" x14ac:dyDescent="0.25">
      <c r="A242" s="80"/>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c r="AM242" s="80"/>
      <c r="AN242" s="80"/>
      <c r="AO242" s="80"/>
      <c r="AP242" s="80"/>
      <c r="AQ242" s="80"/>
      <c r="AR242" s="80"/>
      <c r="AS242" s="80"/>
      <c r="AT242" s="80"/>
      <c r="AU242" s="80"/>
      <c r="AV242" s="80"/>
      <c r="AW242" s="80"/>
      <c r="AX242" s="80"/>
      <c r="AY242" s="80"/>
      <c r="AZ242" s="80"/>
      <c r="BA242" s="80"/>
      <c r="BB242" s="80"/>
      <c r="BC242" s="80"/>
      <c r="BD242" s="80"/>
      <c r="BE242" s="80"/>
      <c r="BF242" s="80"/>
      <c r="BG242" s="80"/>
      <c r="BH242" s="80"/>
    </row>
    <row r="243" spans="1:60" x14ac:dyDescent="0.25">
      <c r="A243" s="80"/>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c r="AM243" s="80"/>
      <c r="AN243" s="80"/>
      <c r="AO243" s="80"/>
      <c r="AP243" s="80"/>
      <c r="AQ243" s="80"/>
      <c r="AR243" s="80"/>
      <c r="AS243" s="80"/>
      <c r="AT243" s="80"/>
      <c r="AU243" s="80"/>
      <c r="AV243" s="80"/>
      <c r="AW243" s="80"/>
      <c r="AX243" s="80"/>
      <c r="AY243" s="80"/>
      <c r="AZ243" s="80"/>
      <c r="BA243" s="80"/>
      <c r="BB243" s="80"/>
      <c r="BC243" s="80"/>
      <c r="BD243" s="80"/>
      <c r="BE243" s="80"/>
      <c r="BF243" s="80"/>
      <c r="BG243" s="80"/>
      <c r="BH243" s="80"/>
    </row>
    <row r="244" spans="1:60" x14ac:dyDescent="0.25">
      <c r="A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80"/>
      <c r="AW244" s="80"/>
      <c r="AX244" s="80"/>
      <c r="AY244" s="80"/>
      <c r="AZ244" s="80"/>
      <c r="BA244" s="80"/>
      <c r="BB244" s="80"/>
      <c r="BC244" s="80"/>
      <c r="BD244" s="80"/>
      <c r="BE244" s="80"/>
      <c r="BF244" s="80"/>
      <c r="BG244" s="80"/>
      <c r="BH244" s="80"/>
    </row>
    <row r="245" spans="1:60" x14ac:dyDescent="0.25">
      <c r="A245" s="80"/>
    </row>
    <row r="246" spans="1:60" x14ac:dyDescent="0.25">
      <c r="A246" s="80"/>
    </row>
    <row r="247" spans="1:60" x14ac:dyDescent="0.25">
      <c r="A247" s="80"/>
    </row>
    <row r="248" spans="1:60" x14ac:dyDescent="0.25">
      <c r="A248" s="80"/>
    </row>
  </sheetData>
  <sheetProtection algorithmName="SHA-512" hashValue="pk41qPkreGaIienBHjYN6qHrG0CgO529+BqkFfOkTGgU8ieLIk2ly7oHCkTe6nIJwtUs4b/6dT5t6eEiLeXG7Q==" saltValue="1Vg2zxH2JXOw6ZLmo/E9SA==" spinCount="100000" sheet="1" objects="1" scenarios="1"/>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90" zoomScaleNormal="90" workbookViewId="0">
      <selection activeCell="C7" sqref="C7"/>
    </sheetView>
  </sheetViews>
  <sheetFormatPr baseColWidth="10" defaultColWidth="11.42578125" defaultRowHeight="15" x14ac:dyDescent="0.25"/>
  <cols>
    <col min="2" max="2" width="24.140625" customWidth="1"/>
    <col min="3" max="3" width="70.140625" customWidth="1"/>
    <col min="4" max="4" width="29.85546875" customWidth="1"/>
  </cols>
  <sheetData>
    <row r="1" spans="1:37" ht="23.25" x14ac:dyDescent="0.25">
      <c r="A1" s="80"/>
      <c r="B1" s="489" t="s">
        <v>153</v>
      </c>
      <c r="C1" s="489"/>
      <c r="D1" s="489"/>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7" x14ac:dyDescent="0.25">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7" ht="25.5" x14ac:dyDescent="0.25">
      <c r="A3" s="80"/>
      <c r="B3" s="11"/>
      <c r="C3" s="12" t="s">
        <v>154</v>
      </c>
      <c r="D3" s="12" t="s">
        <v>137</v>
      </c>
      <c r="E3" s="80"/>
      <c r="F3" s="80"/>
      <c r="G3" s="80"/>
      <c r="H3" s="80"/>
      <c r="I3" s="80"/>
      <c r="J3" s="80"/>
      <c r="K3" s="80"/>
      <c r="L3" s="80"/>
      <c r="M3" s="80"/>
      <c r="N3" s="80"/>
      <c r="O3" s="80"/>
      <c r="P3" s="80"/>
      <c r="Q3" s="80"/>
      <c r="R3" s="80"/>
      <c r="S3" s="80"/>
      <c r="T3" s="80"/>
      <c r="U3" s="80"/>
      <c r="V3" s="80"/>
      <c r="W3" s="80"/>
      <c r="X3" s="80"/>
      <c r="Y3" s="80"/>
      <c r="Z3" s="80"/>
      <c r="AA3" s="80"/>
      <c r="AB3" s="80"/>
      <c r="AC3" s="80"/>
      <c r="AD3" s="80"/>
      <c r="AE3" s="80"/>
    </row>
    <row r="4" spans="1:37" ht="51" x14ac:dyDescent="0.25">
      <c r="A4" s="80"/>
      <c r="B4" s="13" t="s">
        <v>155</v>
      </c>
      <c r="C4" s="14" t="s">
        <v>156</v>
      </c>
      <c r="D4" s="15">
        <v>0.2</v>
      </c>
      <c r="E4" s="80"/>
      <c r="F4" s="80"/>
      <c r="G4" s="80"/>
      <c r="H4" s="80"/>
      <c r="I4" s="80"/>
      <c r="J4" s="80"/>
      <c r="K4" s="80"/>
      <c r="L4" s="80"/>
      <c r="M4" s="80"/>
      <c r="N4" s="80"/>
      <c r="O4" s="80"/>
      <c r="P4" s="80"/>
      <c r="Q4" s="80"/>
      <c r="R4" s="80"/>
      <c r="S4" s="80"/>
      <c r="T4" s="80"/>
      <c r="U4" s="80"/>
      <c r="V4" s="80"/>
      <c r="W4" s="80"/>
      <c r="X4" s="80"/>
      <c r="Y4" s="80"/>
      <c r="Z4" s="80"/>
      <c r="AA4" s="80"/>
      <c r="AB4" s="80"/>
      <c r="AC4" s="80"/>
      <c r="AD4" s="80"/>
      <c r="AE4" s="80"/>
    </row>
    <row r="5" spans="1:37" ht="51" x14ac:dyDescent="0.25">
      <c r="A5" s="80"/>
      <c r="B5" s="16" t="s">
        <v>157</v>
      </c>
      <c r="C5" s="17" t="s">
        <v>158</v>
      </c>
      <c r="D5" s="18">
        <v>0.4</v>
      </c>
      <c r="E5" s="80"/>
      <c r="F5" s="80"/>
      <c r="G5" s="80"/>
      <c r="H5" s="80"/>
      <c r="I5" s="80"/>
      <c r="J5" s="80"/>
      <c r="K5" s="80"/>
      <c r="L5" s="80"/>
      <c r="M5" s="80"/>
      <c r="N5" s="80"/>
      <c r="O5" s="80"/>
      <c r="P5" s="80"/>
      <c r="Q5" s="80"/>
      <c r="R5" s="80"/>
      <c r="S5" s="80"/>
      <c r="T5" s="80"/>
      <c r="U5" s="80"/>
      <c r="V5" s="80"/>
      <c r="W5" s="80"/>
      <c r="X5" s="80"/>
      <c r="Y5" s="80"/>
      <c r="Z5" s="80"/>
      <c r="AA5" s="80"/>
      <c r="AB5" s="80"/>
      <c r="AC5" s="80"/>
      <c r="AD5" s="80"/>
      <c r="AE5" s="80"/>
    </row>
    <row r="6" spans="1:37" ht="51" x14ac:dyDescent="0.25">
      <c r="A6" s="80"/>
      <c r="B6" s="19" t="s">
        <v>159</v>
      </c>
      <c r="C6" s="17" t="s">
        <v>160</v>
      </c>
      <c r="D6" s="18">
        <v>0.6</v>
      </c>
      <c r="E6" s="80"/>
      <c r="F6" s="80"/>
      <c r="G6" s="80"/>
      <c r="H6" s="80"/>
      <c r="I6" s="80"/>
      <c r="J6" s="80"/>
      <c r="K6" s="80"/>
      <c r="L6" s="80"/>
      <c r="M6" s="80"/>
      <c r="N6" s="80"/>
      <c r="O6" s="80"/>
      <c r="P6" s="80"/>
      <c r="Q6" s="80"/>
      <c r="R6" s="80"/>
      <c r="S6" s="80"/>
      <c r="T6" s="80"/>
      <c r="U6" s="80"/>
      <c r="V6" s="80"/>
      <c r="W6" s="80"/>
      <c r="X6" s="80"/>
      <c r="Y6" s="80"/>
      <c r="Z6" s="80"/>
      <c r="AA6" s="80"/>
      <c r="AB6" s="80"/>
      <c r="AC6" s="80"/>
      <c r="AD6" s="80"/>
      <c r="AE6" s="80"/>
    </row>
    <row r="7" spans="1:37" ht="76.5" x14ac:dyDescent="0.25">
      <c r="A7" s="80"/>
      <c r="B7" s="20" t="s">
        <v>161</v>
      </c>
      <c r="C7" s="17" t="s">
        <v>162</v>
      </c>
      <c r="D7" s="18">
        <v>0.8</v>
      </c>
      <c r="E7" s="80"/>
      <c r="F7" s="80"/>
      <c r="G7" s="80"/>
      <c r="H7" s="80"/>
      <c r="I7" s="80"/>
      <c r="J7" s="80"/>
      <c r="K7" s="80"/>
      <c r="L7" s="80"/>
      <c r="M7" s="80"/>
      <c r="N7" s="80"/>
      <c r="O7" s="80"/>
      <c r="P7" s="80"/>
      <c r="Q7" s="80"/>
      <c r="R7" s="80"/>
      <c r="S7" s="80"/>
      <c r="T7" s="80"/>
      <c r="U7" s="80"/>
      <c r="V7" s="80"/>
      <c r="W7" s="80"/>
      <c r="X7" s="80"/>
      <c r="Y7" s="80"/>
      <c r="Z7" s="80"/>
      <c r="AA7" s="80"/>
      <c r="AB7" s="80"/>
      <c r="AC7" s="80"/>
      <c r="AD7" s="80"/>
      <c r="AE7" s="80"/>
    </row>
    <row r="8" spans="1:37" ht="51" x14ac:dyDescent="0.25">
      <c r="A8" s="80"/>
      <c r="B8" s="21" t="s">
        <v>163</v>
      </c>
      <c r="C8" s="17" t="s">
        <v>164</v>
      </c>
      <c r="D8" s="18">
        <v>1</v>
      </c>
      <c r="E8" s="80"/>
      <c r="F8" s="80"/>
      <c r="G8" s="80"/>
      <c r="H8" s="80"/>
      <c r="I8" s="80"/>
      <c r="J8" s="80"/>
      <c r="K8" s="80"/>
      <c r="L8" s="80"/>
      <c r="M8" s="80"/>
      <c r="N8" s="80"/>
      <c r="O8" s="80"/>
      <c r="P8" s="80"/>
      <c r="Q8" s="80"/>
      <c r="R8" s="80"/>
      <c r="S8" s="80"/>
      <c r="T8" s="80"/>
      <c r="U8" s="80"/>
      <c r="V8" s="80"/>
      <c r="W8" s="80"/>
      <c r="X8" s="80"/>
      <c r="Y8" s="80"/>
      <c r="Z8" s="80"/>
      <c r="AA8" s="80"/>
      <c r="AB8" s="80"/>
      <c r="AC8" s="80"/>
      <c r="AD8" s="80"/>
      <c r="AE8" s="80"/>
    </row>
    <row r="9" spans="1:37" x14ac:dyDescent="0.25">
      <c r="A9" s="80"/>
      <c r="B9" s="104"/>
      <c r="C9" s="104"/>
      <c r="D9" s="104"/>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row>
    <row r="10" spans="1:37" ht="16.5" x14ac:dyDescent="0.25">
      <c r="A10" s="80"/>
      <c r="B10" s="105"/>
      <c r="C10" s="104"/>
      <c r="D10" s="104"/>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row>
    <row r="11" spans="1:37" x14ac:dyDescent="0.25">
      <c r="A11" s="80"/>
      <c r="B11" s="104"/>
      <c r="C11" s="104"/>
      <c r="D11" s="104"/>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row>
    <row r="12" spans="1:37" x14ac:dyDescent="0.25">
      <c r="A12" s="80"/>
      <c r="B12" s="104"/>
      <c r="C12" s="104"/>
      <c r="D12" s="104"/>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row>
    <row r="13" spans="1:37" x14ac:dyDescent="0.25">
      <c r="A13" s="80"/>
      <c r="B13" s="104"/>
      <c r="C13" s="104"/>
      <c r="D13" s="104"/>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row>
    <row r="14" spans="1:37" x14ac:dyDescent="0.25">
      <c r="A14" s="80"/>
      <c r="B14" s="104"/>
      <c r="C14" s="104"/>
      <c r="D14" s="104"/>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row>
    <row r="15" spans="1:37" x14ac:dyDescent="0.25">
      <c r="A15" s="80"/>
      <c r="B15" s="104"/>
      <c r="C15" s="104"/>
      <c r="D15" s="104"/>
      <c r="E15" s="80"/>
      <c r="F15" s="80"/>
      <c r="G15" s="80"/>
      <c r="H15" s="80"/>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row>
    <row r="16" spans="1:37" x14ac:dyDescent="0.25">
      <c r="A16" s="80"/>
      <c r="B16" s="104"/>
      <c r="C16" s="104"/>
      <c r="D16" s="104"/>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row>
    <row r="17" spans="1:37" x14ac:dyDescent="0.25">
      <c r="A17" s="80"/>
      <c r="B17" s="104"/>
      <c r="C17" s="104"/>
      <c r="D17" s="104"/>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row>
    <row r="18" spans="1:37" x14ac:dyDescent="0.25">
      <c r="A18" s="80"/>
      <c r="B18" s="104"/>
      <c r="C18" s="104"/>
      <c r="D18" s="104"/>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row>
    <row r="19" spans="1:37" x14ac:dyDescent="0.25">
      <c r="A19" s="80"/>
      <c r="B19" s="80"/>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row>
    <row r="20" spans="1:37" x14ac:dyDescent="0.25">
      <c r="A20" s="8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row>
    <row r="21" spans="1:37" x14ac:dyDescent="0.25">
      <c r="A21" s="80"/>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row>
    <row r="22" spans="1:37" x14ac:dyDescent="0.25">
      <c r="A22" s="80"/>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row>
    <row r="23" spans="1:37" x14ac:dyDescent="0.25">
      <c r="A23" s="80"/>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row>
    <row r="24" spans="1:37" x14ac:dyDescent="0.25">
      <c r="A24" s="80"/>
      <c r="B24" s="80"/>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row>
    <row r="25" spans="1:37" x14ac:dyDescent="0.25">
      <c r="A25" s="8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row>
    <row r="26" spans="1:37" x14ac:dyDescent="0.25">
      <c r="A26" s="80"/>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row>
    <row r="27" spans="1:37" x14ac:dyDescent="0.25">
      <c r="A27" s="80"/>
      <c r="B27" s="80"/>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row>
    <row r="28" spans="1:37" x14ac:dyDescent="0.25">
      <c r="A28" s="80"/>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row>
    <row r="29" spans="1:37" x14ac:dyDescent="0.25">
      <c r="A29" s="80"/>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row>
    <row r="30" spans="1:37" x14ac:dyDescent="0.25">
      <c r="A30" s="80"/>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row>
    <row r="31" spans="1:37" x14ac:dyDescent="0.25">
      <c r="A31" s="80"/>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row>
    <row r="32" spans="1:37" x14ac:dyDescent="0.25">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row>
    <row r="33" spans="1:31" x14ac:dyDescent="0.25">
      <c r="A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0"/>
      <c r="AD33" s="80"/>
      <c r="AE33" s="80"/>
    </row>
    <row r="34" spans="1:31" x14ac:dyDescent="0.25">
      <c r="A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row>
    <row r="35" spans="1:31" x14ac:dyDescent="0.25">
      <c r="A35" s="80"/>
    </row>
    <row r="36" spans="1:31" x14ac:dyDescent="0.25">
      <c r="A36" s="80"/>
    </row>
    <row r="37" spans="1:31" x14ac:dyDescent="0.25">
      <c r="A37" s="80"/>
    </row>
    <row r="38" spans="1:31" x14ac:dyDescent="0.25">
      <c r="A38" s="80"/>
    </row>
    <row r="39" spans="1:31" x14ac:dyDescent="0.25">
      <c r="A39" s="80"/>
    </row>
    <row r="40" spans="1:31" x14ac:dyDescent="0.25">
      <c r="A40" s="80"/>
    </row>
    <row r="41" spans="1:31" x14ac:dyDescent="0.25">
      <c r="A41" s="80"/>
    </row>
    <row r="42" spans="1:31" x14ac:dyDescent="0.25">
      <c r="A42" s="80"/>
    </row>
    <row r="43" spans="1:31" x14ac:dyDescent="0.25">
      <c r="A43" s="80"/>
    </row>
    <row r="44" spans="1:31" x14ac:dyDescent="0.25">
      <c r="A44" s="80"/>
    </row>
    <row r="45" spans="1:31" x14ac:dyDescent="0.25">
      <c r="A45" s="80"/>
    </row>
    <row r="46" spans="1:31" x14ac:dyDescent="0.25">
      <c r="A46" s="80"/>
    </row>
    <row r="47" spans="1:31" x14ac:dyDescent="0.25">
      <c r="A47" s="80"/>
    </row>
    <row r="48" spans="1:31" x14ac:dyDescent="0.25">
      <c r="A48" s="80"/>
    </row>
    <row r="49" spans="1:1" x14ac:dyDescent="0.25">
      <c r="A49" s="80"/>
    </row>
    <row r="50" spans="1:1" x14ac:dyDescent="0.25">
      <c r="A50" s="80"/>
    </row>
    <row r="51" spans="1:1" x14ac:dyDescent="0.25">
      <c r="A51" s="80"/>
    </row>
    <row r="52" spans="1:1" x14ac:dyDescent="0.25">
      <c r="A52" s="80"/>
    </row>
    <row r="53" spans="1:1" x14ac:dyDescent="0.25">
      <c r="A53" s="80"/>
    </row>
    <row r="54" spans="1:1" x14ac:dyDescent="0.25">
      <c r="A54" s="80"/>
    </row>
    <row r="55" spans="1:1" x14ac:dyDescent="0.25">
      <c r="A55" s="80"/>
    </row>
  </sheetData>
  <mergeCells count="1">
    <mergeCell ref="B1:D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249977111117893"/>
  </sheetPr>
  <dimension ref="A1:U232"/>
  <sheetViews>
    <sheetView zoomScale="60" zoomScaleNormal="60" workbookViewId="0">
      <selection activeCell="A6" sqref="A6"/>
    </sheetView>
  </sheetViews>
  <sheetFormatPr baseColWidth="10" defaultColWidth="11.42578125" defaultRowHeight="15" x14ac:dyDescent="0.25"/>
  <cols>
    <col min="2" max="2" width="40.42578125" customWidth="1"/>
    <col min="3" max="3" width="74.85546875" customWidth="1"/>
    <col min="4" max="4" width="135" bestFit="1" customWidth="1"/>
    <col min="5" max="5" width="144.7109375" bestFit="1" customWidth="1"/>
  </cols>
  <sheetData>
    <row r="1" spans="1:21" ht="33.75" x14ac:dyDescent="0.25">
      <c r="A1" s="80"/>
      <c r="B1" s="490" t="s">
        <v>165</v>
      </c>
      <c r="C1" s="490"/>
      <c r="D1" s="490"/>
      <c r="E1" s="80"/>
      <c r="F1" s="80"/>
      <c r="G1" s="80"/>
      <c r="H1" s="80"/>
      <c r="I1" s="80"/>
      <c r="J1" s="80"/>
      <c r="K1" s="80"/>
      <c r="L1" s="80"/>
      <c r="M1" s="80"/>
      <c r="N1" s="80"/>
      <c r="O1" s="80"/>
      <c r="P1" s="80"/>
      <c r="Q1" s="80"/>
      <c r="R1" s="80"/>
      <c r="S1" s="80"/>
      <c r="T1" s="80"/>
      <c r="U1" s="80"/>
    </row>
    <row r="2" spans="1:21" x14ac:dyDescent="0.25">
      <c r="A2" s="80"/>
      <c r="B2" s="80"/>
      <c r="C2" s="80"/>
      <c r="D2" s="80"/>
      <c r="E2" s="80"/>
      <c r="F2" s="80"/>
      <c r="G2" s="80"/>
      <c r="H2" s="80"/>
      <c r="I2" s="80"/>
      <c r="J2" s="80"/>
      <c r="K2" s="80"/>
      <c r="L2" s="80"/>
      <c r="M2" s="80"/>
      <c r="N2" s="80"/>
      <c r="O2" s="80"/>
      <c r="P2" s="80"/>
      <c r="Q2" s="80"/>
      <c r="R2" s="80"/>
      <c r="S2" s="80"/>
      <c r="T2" s="80"/>
      <c r="U2" s="80"/>
    </row>
    <row r="3" spans="1:21" ht="60" x14ac:dyDescent="0.25">
      <c r="A3" s="80"/>
      <c r="B3" s="101"/>
      <c r="C3" s="33" t="s">
        <v>166</v>
      </c>
      <c r="D3" s="33" t="s">
        <v>167</v>
      </c>
      <c r="E3" s="80"/>
      <c r="F3" s="80"/>
      <c r="G3" s="80"/>
      <c r="H3" s="80"/>
      <c r="I3" s="80"/>
      <c r="J3" s="80"/>
      <c r="K3" s="80"/>
      <c r="L3" s="80"/>
      <c r="M3" s="80"/>
      <c r="N3" s="80"/>
      <c r="O3" s="80"/>
      <c r="P3" s="80"/>
      <c r="Q3" s="80"/>
      <c r="R3" s="80"/>
      <c r="S3" s="80"/>
      <c r="T3" s="80"/>
      <c r="U3" s="80"/>
    </row>
    <row r="4" spans="1:21" ht="33.75" x14ac:dyDescent="0.25">
      <c r="A4" s="100" t="s">
        <v>168</v>
      </c>
      <c r="B4" s="36" t="s">
        <v>169</v>
      </c>
      <c r="C4" s="41" t="s">
        <v>170</v>
      </c>
      <c r="D4" s="34" t="s">
        <v>171</v>
      </c>
      <c r="E4" s="80"/>
      <c r="F4" s="80"/>
      <c r="G4" s="80"/>
      <c r="H4" s="80"/>
      <c r="I4" s="80"/>
      <c r="J4" s="80"/>
      <c r="K4" s="80"/>
      <c r="L4" s="80"/>
      <c r="M4" s="80"/>
      <c r="N4" s="80"/>
      <c r="O4" s="80"/>
      <c r="P4" s="80"/>
      <c r="Q4" s="80"/>
      <c r="R4" s="80"/>
      <c r="S4" s="80"/>
      <c r="T4" s="80"/>
      <c r="U4" s="80"/>
    </row>
    <row r="5" spans="1:21" ht="101.25" x14ac:dyDescent="0.25">
      <c r="A5" s="100" t="s">
        <v>172</v>
      </c>
      <c r="B5" s="37" t="s">
        <v>173</v>
      </c>
      <c r="C5" s="42" t="s">
        <v>174</v>
      </c>
      <c r="D5" s="35" t="s">
        <v>175</v>
      </c>
      <c r="E5" s="80"/>
      <c r="F5" s="80"/>
      <c r="G5" s="80"/>
      <c r="H5" s="80"/>
      <c r="I5" s="80"/>
      <c r="J5" s="80"/>
      <c r="K5" s="80"/>
      <c r="L5" s="80"/>
      <c r="M5" s="80"/>
      <c r="N5" s="80"/>
      <c r="O5" s="80"/>
      <c r="P5" s="80"/>
      <c r="Q5" s="80"/>
      <c r="R5" s="80"/>
      <c r="S5" s="80"/>
      <c r="T5" s="80"/>
      <c r="U5" s="80"/>
    </row>
    <row r="6" spans="1:21" ht="67.5" x14ac:dyDescent="0.25">
      <c r="A6" s="100" t="s">
        <v>143</v>
      </c>
      <c r="B6" s="38" t="s">
        <v>176</v>
      </c>
      <c r="C6" s="42" t="s">
        <v>177</v>
      </c>
      <c r="D6" s="35" t="s">
        <v>178</v>
      </c>
      <c r="E6" s="80"/>
      <c r="F6" s="80"/>
      <c r="G6" s="80"/>
      <c r="H6" s="80"/>
      <c r="I6" s="80"/>
      <c r="J6" s="80"/>
      <c r="K6" s="80"/>
      <c r="L6" s="80"/>
      <c r="M6" s="80"/>
      <c r="N6" s="80"/>
      <c r="O6" s="80"/>
      <c r="P6" s="80"/>
      <c r="Q6" s="80"/>
      <c r="R6" s="80"/>
      <c r="S6" s="80"/>
      <c r="T6" s="80"/>
      <c r="U6" s="80"/>
    </row>
    <row r="7" spans="1:21" ht="101.25" x14ac:dyDescent="0.25">
      <c r="A7" s="100" t="s">
        <v>179</v>
      </c>
      <c r="B7" s="39" t="s">
        <v>180</v>
      </c>
      <c r="C7" s="42" t="s">
        <v>181</v>
      </c>
      <c r="D7" s="35" t="s">
        <v>182</v>
      </c>
      <c r="E7" s="80"/>
      <c r="F7" s="80"/>
      <c r="G7" s="80"/>
      <c r="H7" s="80"/>
      <c r="I7" s="80"/>
      <c r="J7" s="80"/>
      <c r="K7" s="80"/>
      <c r="L7" s="80"/>
      <c r="M7" s="80"/>
      <c r="N7" s="80"/>
      <c r="O7" s="80"/>
      <c r="P7" s="80"/>
      <c r="Q7" s="80"/>
      <c r="R7" s="80"/>
      <c r="S7" s="80"/>
      <c r="T7" s="80"/>
      <c r="U7" s="80"/>
    </row>
    <row r="8" spans="1:21" ht="67.5" x14ac:dyDescent="0.25">
      <c r="A8" s="100" t="s">
        <v>183</v>
      </c>
      <c r="B8" s="40" t="s">
        <v>184</v>
      </c>
      <c r="C8" s="42" t="s">
        <v>185</v>
      </c>
      <c r="D8" s="35" t="s">
        <v>186</v>
      </c>
      <c r="E8" s="80"/>
      <c r="F8" s="80"/>
      <c r="G8" s="80"/>
      <c r="H8" s="80"/>
      <c r="I8" s="80"/>
      <c r="J8" s="80"/>
      <c r="K8" s="80"/>
      <c r="L8" s="80"/>
      <c r="M8" s="80"/>
      <c r="N8" s="80"/>
      <c r="O8" s="80"/>
      <c r="P8" s="80"/>
      <c r="Q8" s="80"/>
      <c r="R8" s="80"/>
      <c r="S8" s="80"/>
      <c r="T8" s="80"/>
      <c r="U8" s="80"/>
    </row>
    <row r="9" spans="1:21" ht="20.25" x14ac:dyDescent="0.25">
      <c r="A9" s="100"/>
      <c r="B9" s="100"/>
      <c r="C9" s="102"/>
      <c r="D9" s="102"/>
      <c r="E9" s="80"/>
      <c r="F9" s="80"/>
      <c r="G9" s="80"/>
      <c r="H9" s="80"/>
      <c r="I9" s="80"/>
      <c r="J9" s="80"/>
      <c r="K9" s="80"/>
      <c r="L9" s="80"/>
      <c r="M9" s="80"/>
      <c r="N9" s="80"/>
      <c r="O9" s="80"/>
      <c r="P9" s="80"/>
      <c r="Q9" s="80"/>
      <c r="R9" s="80"/>
      <c r="S9" s="80"/>
      <c r="T9" s="80"/>
      <c r="U9" s="80"/>
    </row>
    <row r="10" spans="1:21" ht="16.5" x14ac:dyDescent="0.25">
      <c r="A10" s="100"/>
      <c r="B10" s="103"/>
      <c r="C10" s="103"/>
      <c r="D10" s="103"/>
      <c r="E10" s="80"/>
      <c r="F10" s="80"/>
      <c r="G10" s="80"/>
      <c r="H10" s="80"/>
      <c r="I10" s="80"/>
      <c r="J10" s="80"/>
      <c r="K10" s="80"/>
      <c r="L10" s="80"/>
      <c r="M10" s="80"/>
      <c r="N10" s="80"/>
      <c r="O10" s="80"/>
      <c r="P10" s="80"/>
      <c r="Q10" s="80"/>
      <c r="R10" s="80"/>
      <c r="S10" s="80"/>
      <c r="T10" s="80"/>
      <c r="U10" s="80"/>
    </row>
    <row r="11" spans="1:21" x14ac:dyDescent="0.25">
      <c r="A11" s="100"/>
      <c r="B11" s="100" t="s">
        <v>187</v>
      </c>
      <c r="C11" s="100" t="s">
        <v>188</v>
      </c>
      <c r="D11" s="100" t="s">
        <v>189</v>
      </c>
      <c r="E11" s="80"/>
      <c r="F11" s="80"/>
      <c r="G11" s="80"/>
      <c r="H11" s="80"/>
      <c r="I11" s="80"/>
      <c r="J11" s="80"/>
      <c r="K11" s="80"/>
      <c r="L11" s="80"/>
      <c r="M11" s="80"/>
      <c r="N11" s="80"/>
      <c r="O11" s="80"/>
      <c r="P11" s="80"/>
      <c r="Q11" s="80"/>
      <c r="R11" s="80"/>
      <c r="S11" s="80"/>
      <c r="T11" s="80"/>
      <c r="U11" s="80"/>
    </row>
    <row r="12" spans="1:21" x14ac:dyDescent="0.25">
      <c r="A12" s="100"/>
      <c r="B12" s="100" t="s">
        <v>190</v>
      </c>
      <c r="C12" s="100" t="s">
        <v>129</v>
      </c>
      <c r="D12" s="100" t="s">
        <v>115</v>
      </c>
      <c r="E12" s="80"/>
      <c r="F12" s="80"/>
      <c r="G12" s="80"/>
      <c r="H12" s="80"/>
      <c r="I12" s="80"/>
      <c r="J12" s="80"/>
      <c r="K12" s="80"/>
      <c r="L12" s="80"/>
      <c r="M12" s="80"/>
      <c r="N12" s="80"/>
      <c r="O12" s="80"/>
      <c r="P12" s="80"/>
      <c r="Q12" s="80"/>
      <c r="R12" s="80"/>
      <c r="S12" s="80"/>
      <c r="T12" s="80"/>
      <c r="U12" s="80"/>
    </row>
    <row r="13" spans="1:21" x14ac:dyDescent="0.25">
      <c r="A13" s="100"/>
      <c r="B13" s="100"/>
      <c r="C13" s="100" t="s">
        <v>133</v>
      </c>
      <c r="D13" s="100" t="s">
        <v>191</v>
      </c>
      <c r="E13" s="80"/>
      <c r="F13" s="80"/>
      <c r="G13" s="80"/>
      <c r="H13" s="80"/>
      <c r="I13" s="80"/>
      <c r="J13" s="80"/>
      <c r="K13" s="80"/>
      <c r="L13" s="80"/>
      <c r="M13" s="80"/>
      <c r="N13" s="80"/>
      <c r="O13" s="80"/>
      <c r="P13" s="80"/>
      <c r="Q13" s="80"/>
      <c r="R13" s="80"/>
      <c r="S13" s="80"/>
      <c r="T13" s="80"/>
      <c r="U13" s="80"/>
    </row>
    <row r="14" spans="1:21" x14ac:dyDescent="0.25">
      <c r="A14" s="100"/>
      <c r="B14" s="100"/>
      <c r="C14" s="100" t="s">
        <v>192</v>
      </c>
      <c r="D14" s="100" t="s">
        <v>193</v>
      </c>
      <c r="E14" s="80"/>
      <c r="F14" s="80"/>
      <c r="G14" s="80"/>
      <c r="H14" s="80"/>
      <c r="I14" s="80"/>
      <c r="J14" s="80"/>
      <c r="K14" s="80"/>
      <c r="L14" s="80"/>
      <c r="M14" s="80"/>
      <c r="N14" s="80"/>
      <c r="O14" s="80"/>
      <c r="P14" s="80"/>
      <c r="Q14" s="80"/>
      <c r="R14" s="80"/>
      <c r="S14" s="80"/>
      <c r="T14" s="80"/>
      <c r="U14" s="80"/>
    </row>
    <row r="15" spans="1:21" x14ac:dyDescent="0.25">
      <c r="A15" s="100"/>
      <c r="B15" s="100"/>
      <c r="C15" s="100" t="s">
        <v>194</v>
      </c>
      <c r="D15" s="100" t="s">
        <v>104</v>
      </c>
      <c r="E15" s="80"/>
      <c r="F15" s="80"/>
      <c r="G15" s="80"/>
      <c r="H15" s="80"/>
      <c r="I15" s="80"/>
      <c r="J15" s="80"/>
      <c r="K15" s="80"/>
      <c r="L15" s="80"/>
      <c r="M15" s="80"/>
      <c r="N15" s="80"/>
      <c r="O15" s="80"/>
      <c r="P15" s="80"/>
      <c r="Q15" s="80"/>
      <c r="R15" s="80"/>
      <c r="S15" s="80"/>
      <c r="T15" s="80"/>
      <c r="U15" s="80"/>
    </row>
    <row r="16" spans="1:21" x14ac:dyDescent="0.25">
      <c r="A16" s="100"/>
      <c r="B16" s="100"/>
      <c r="C16" s="100"/>
      <c r="D16" s="100"/>
      <c r="E16" s="80"/>
      <c r="F16" s="80"/>
      <c r="G16" s="80"/>
      <c r="H16" s="80"/>
      <c r="I16" s="80"/>
      <c r="J16" s="80"/>
      <c r="K16" s="80"/>
      <c r="L16" s="80"/>
      <c r="M16" s="80"/>
      <c r="N16" s="80"/>
      <c r="O16" s="80"/>
    </row>
    <row r="17" spans="1:15" x14ac:dyDescent="0.25">
      <c r="A17" s="100"/>
      <c r="B17" s="100"/>
      <c r="C17" s="100"/>
      <c r="D17" s="100"/>
      <c r="E17" s="80"/>
      <c r="F17" s="80"/>
      <c r="G17" s="80"/>
      <c r="H17" s="80"/>
      <c r="I17" s="80"/>
      <c r="J17" s="80"/>
      <c r="K17" s="80"/>
      <c r="L17" s="80"/>
      <c r="M17" s="80"/>
      <c r="N17" s="80"/>
      <c r="O17" s="80"/>
    </row>
    <row r="18" spans="1:15" x14ac:dyDescent="0.25">
      <c r="A18" s="100"/>
      <c r="B18" s="104"/>
      <c r="C18" s="104"/>
      <c r="D18" s="104"/>
      <c r="E18" s="80"/>
      <c r="F18" s="80"/>
      <c r="G18" s="80"/>
      <c r="H18" s="80"/>
      <c r="I18" s="80"/>
      <c r="J18" s="80"/>
      <c r="K18" s="80"/>
      <c r="L18" s="80"/>
      <c r="M18" s="80"/>
      <c r="N18" s="80"/>
      <c r="O18" s="80"/>
    </row>
    <row r="19" spans="1:15" x14ac:dyDescent="0.25">
      <c r="A19" s="100"/>
      <c r="B19" s="104"/>
      <c r="C19" s="104"/>
      <c r="D19" s="104"/>
      <c r="E19" s="80"/>
      <c r="F19" s="80"/>
      <c r="G19" s="80"/>
      <c r="H19" s="80"/>
      <c r="I19" s="80"/>
      <c r="J19" s="80"/>
      <c r="K19" s="80"/>
      <c r="L19" s="80"/>
      <c r="M19" s="80"/>
      <c r="N19" s="80"/>
      <c r="O19" s="80"/>
    </row>
    <row r="20" spans="1:15" x14ac:dyDescent="0.25">
      <c r="A20" s="100"/>
      <c r="B20" s="104"/>
      <c r="C20" s="104"/>
      <c r="D20" s="104"/>
      <c r="E20" s="80"/>
      <c r="F20" s="80"/>
      <c r="G20" s="80"/>
      <c r="H20" s="80"/>
      <c r="I20" s="80"/>
      <c r="J20" s="80"/>
      <c r="K20" s="80"/>
      <c r="L20" s="80"/>
      <c r="M20" s="80"/>
      <c r="N20" s="80"/>
      <c r="O20" s="80"/>
    </row>
    <row r="21" spans="1:15" x14ac:dyDescent="0.25">
      <c r="A21" s="100"/>
      <c r="B21" s="104"/>
      <c r="C21" s="104"/>
      <c r="D21" s="104"/>
      <c r="E21" s="80"/>
      <c r="F21" s="80"/>
      <c r="G21" s="80"/>
      <c r="H21" s="80"/>
      <c r="I21" s="80"/>
      <c r="J21" s="80"/>
      <c r="K21" s="80"/>
      <c r="L21" s="80"/>
      <c r="M21" s="80"/>
      <c r="N21" s="80"/>
      <c r="O21" s="80"/>
    </row>
    <row r="22" spans="1:15" ht="20.25" x14ac:dyDescent="0.25">
      <c r="A22" s="100"/>
      <c r="B22" s="100"/>
      <c r="C22" s="102"/>
      <c r="D22" s="102"/>
      <c r="E22" s="80"/>
      <c r="F22" s="80"/>
      <c r="G22" s="80"/>
      <c r="H22" s="80"/>
      <c r="I22" s="80"/>
      <c r="J22" s="80"/>
      <c r="K22" s="80"/>
      <c r="L22" s="80"/>
      <c r="M22" s="80"/>
      <c r="N22" s="80"/>
      <c r="O22" s="80"/>
    </row>
    <row r="23" spans="1:15" ht="20.25" x14ac:dyDescent="0.25">
      <c r="A23" s="100"/>
      <c r="B23" s="100"/>
      <c r="C23" s="102"/>
      <c r="D23" s="102"/>
      <c r="E23" s="80"/>
      <c r="F23" s="80"/>
      <c r="G23" s="80"/>
      <c r="H23" s="80"/>
      <c r="I23" s="80"/>
      <c r="J23" s="80"/>
      <c r="K23" s="80"/>
      <c r="L23" s="80"/>
      <c r="M23" s="80"/>
      <c r="N23" s="80"/>
      <c r="O23" s="80"/>
    </row>
    <row r="24" spans="1:15" ht="20.25" x14ac:dyDescent="0.25">
      <c r="A24" s="100"/>
      <c r="B24" s="100"/>
      <c r="C24" s="102"/>
      <c r="D24" s="102"/>
      <c r="E24" s="80"/>
      <c r="F24" s="80"/>
      <c r="G24" s="80"/>
      <c r="H24" s="80"/>
      <c r="I24" s="80"/>
      <c r="J24" s="80"/>
      <c r="K24" s="80"/>
      <c r="L24" s="80"/>
      <c r="M24" s="80"/>
      <c r="N24" s="80"/>
      <c r="O24" s="80"/>
    </row>
    <row r="25" spans="1:15" ht="20.25" x14ac:dyDescent="0.25">
      <c r="A25" s="100"/>
      <c r="B25" s="100"/>
      <c r="C25" s="102"/>
      <c r="D25" s="102"/>
      <c r="E25" s="80"/>
      <c r="F25" s="80"/>
      <c r="G25" s="80"/>
      <c r="H25" s="80"/>
      <c r="I25" s="80"/>
      <c r="J25" s="80"/>
      <c r="K25" s="80"/>
      <c r="L25" s="80"/>
      <c r="M25" s="80"/>
      <c r="N25" s="80"/>
      <c r="O25" s="80"/>
    </row>
    <row r="26" spans="1:15" ht="20.25" x14ac:dyDescent="0.25">
      <c r="A26" s="100"/>
      <c r="B26" s="100"/>
      <c r="C26" s="102"/>
      <c r="D26" s="102"/>
      <c r="E26" s="80"/>
      <c r="F26" s="80"/>
      <c r="G26" s="80"/>
      <c r="H26" s="80"/>
      <c r="I26" s="80"/>
      <c r="J26" s="80"/>
      <c r="K26" s="80"/>
      <c r="L26" s="80"/>
      <c r="M26" s="80"/>
      <c r="N26" s="80"/>
      <c r="O26" s="80"/>
    </row>
    <row r="27" spans="1:15" ht="20.25" x14ac:dyDescent="0.25">
      <c r="A27" s="100"/>
      <c r="B27" s="100"/>
      <c r="C27" s="102"/>
      <c r="D27" s="102"/>
      <c r="E27" s="80"/>
      <c r="F27" s="80"/>
      <c r="G27" s="80"/>
      <c r="H27" s="80"/>
      <c r="I27" s="80"/>
      <c r="J27" s="80"/>
      <c r="K27" s="80"/>
      <c r="L27" s="80"/>
      <c r="M27" s="80"/>
      <c r="N27" s="80"/>
      <c r="O27" s="80"/>
    </row>
    <row r="28" spans="1:15" ht="20.25" x14ac:dyDescent="0.25">
      <c r="A28" s="100"/>
      <c r="B28" s="100"/>
      <c r="C28" s="102"/>
      <c r="D28" s="102"/>
      <c r="E28" s="80"/>
      <c r="F28" s="80"/>
      <c r="G28" s="80"/>
      <c r="H28" s="80"/>
      <c r="I28" s="80"/>
      <c r="J28" s="80"/>
      <c r="K28" s="80"/>
      <c r="L28" s="80"/>
      <c r="M28" s="80"/>
      <c r="N28" s="80"/>
      <c r="O28" s="80"/>
    </row>
    <row r="29" spans="1:15" ht="20.25" x14ac:dyDescent="0.25">
      <c r="A29" s="100"/>
      <c r="B29" s="100"/>
      <c r="C29" s="102"/>
      <c r="D29" s="102"/>
      <c r="E29" s="80"/>
      <c r="F29" s="80"/>
      <c r="G29" s="80"/>
      <c r="H29" s="80"/>
      <c r="I29" s="80"/>
      <c r="J29" s="80"/>
      <c r="K29" s="80"/>
      <c r="L29" s="80"/>
      <c r="M29" s="80"/>
      <c r="N29" s="80"/>
      <c r="O29" s="80"/>
    </row>
    <row r="30" spans="1:15" ht="20.25" x14ac:dyDescent="0.25">
      <c r="A30" s="100"/>
      <c r="B30" s="100"/>
      <c r="C30" s="102"/>
      <c r="D30" s="102"/>
      <c r="E30" s="80"/>
      <c r="F30" s="80"/>
      <c r="G30" s="80"/>
      <c r="H30" s="80"/>
      <c r="I30" s="80"/>
      <c r="J30" s="80"/>
      <c r="K30" s="80"/>
      <c r="L30" s="80"/>
      <c r="M30" s="80"/>
      <c r="N30" s="80"/>
      <c r="O30" s="80"/>
    </row>
    <row r="31" spans="1:15" ht="20.25" x14ac:dyDescent="0.25">
      <c r="A31" s="100"/>
      <c r="B31" s="100"/>
      <c r="C31" s="102"/>
      <c r="D31" s="102"/>
      <c r="E31" s="80"/>
      <c r="F31" s="80"/>
      <c r="G31" s="80"/>
      <c r="H31" s="80"/>
      <c r="I31" s="80"/>
      <c r="J31" s="80"/>
      <c r="K31" s="80"/>
      <c r="L31" s="80"/>
      <c r="M31" s="80"/>
      <c r="N31" s="80"/>
      <c r="O31" s="80"/>
    </row>
    <row r="32" spans="1:15" ht="20.25" x14ac:dyDescent="0.25">
      <c r="A32" s="100"/>
      <c r="B32" s="100"/>
      <c r="C32" s="102"/>
      <c r="D32" s="102"/>
      <c r="E32" s="80"/>
      <c r="F32" s="80"/>
      <c r="G32" s="80"/>
      <c r="H32" s="80"/>
      <c r="I32" s="80"/>
      <c r="J32" s="80"/>
      <c r="K32" s="80"/>
      <c r="L32" s="80"/>
      <c r="M32" s="80"/>
      <c r="N32" s="80"/>
      <c r="O32" s="80"/>
    </row>
    <row r="33" spans="1:15" ht="20.25" x14ac:dyDescent="0.25">
      <c r="A33" s="100"/>
      <c r="B33" s="100"/>
      <c r="C33" s="102"/>
      <c r="D33" s="102"/>
      <c r="E33" s="80"/>
      <c r="F33" s="80"/>
      <c r="G33" s="80"/>
      <c r="H33" s="80"/>
      <c r="I33" s="80"/>
      <c r="J33" s="80"/>
      <c r="K33" s="80"/>
      <c r="L33" s="80"/>
      <c r="M33" s="80"/>
      <c r="N33" s="80"/>
      <c r="O33" s="80"/>
    </row>
    <row r="34" spans="1:15" ht="20.25" x14ac:dyDescent="0.25">
      <c r="A34" s="100"/>
      <c r="B34" s="100"/>
      <c r="C34" s="102"/>
      <c r="D34" s="102"/>
      <c r="E34" s="80"/>
      <c r="F34" s="80"/>
      <c r="G34" s="80"/>
      <c r="H34" s="80"/>
      <c r="I34" s="80"/>
      <c r="J34" s="80"/>
      <c r="K34" s="80"/>
      <c r="L34" s="80"/>
      <c r="M34" s="80"/>
      <c r="N34" s="80"/>
      <c r="O34" s="80"/>
    </row>
    <row r="35" spans="1:15" ht="20.25" x14ac:dyDescent="0.25">
      <c r="A35" s="100"/>
      <c r="B35" s="100"/>
      <c r="C35" s="102"/>
      <c r="D35" s="102"/>
      <c r="E35" s="80"/>
      <c r="F35" s="80"/>
      <c r="G35" s="80"/>
      <c r="H35" s="80"/>
      <c r="I35" s="80"/>
      <c r="J35" s="80"/>
      <c r="K35" s="80"/>
      <c r="L35" s="80"/>
      <c r="M35" s="80"/>
      <c r="N35" s="80"/>
      <c r="O35" s="80"/>
    </row>
    <row r="36" spans="1:15" ht="20.25" x14ac:dyDescent="0.25">
      <c r="A36" s="100"/>
      <c r="B36" s="100"/>
      <c r="C36" s="102"/>
      <c r="D36" s="102"/>
      <c r="E36" s="80"/>
      <c r="F36" s="80"/>
      <c r="G36" s="80"/>
      <c r="H36" s="80"/>
      <c r="I36" s="80"/>
      <c r="J36" s="80"/>
      <c r="K36" s="80"/>
      <c r="L36" s="80"/>
      <c r="M36" s="80"/>
      <c r="N36" s="80"/>
      <c r="O36" s="80"/>
    </row>
    <row r="37" spans="1:15" ht="20.25" x14ac:dyDescent="0.25">
      <c r="A37" s="100"/>
      <c r="B37" s="100"/>
      <c r="C37" s="102"/>
      <c r="D37" s="102"/>
      <c r="E37" s="80"/>
      <c r="F37" s="80"/>
      <c r="G37" s="80"/>
      <c r="H37" s="80"/>
      <c r="I37" s="80"/>
      <c r="J37" s="80"/>
      <c r="K37" s="80"/>
      <c r="L37" s="80"/>
      <c r="M37" s="80"/>
      <c r="N37" s="80"/>
      <c r="O37" s="80"/>
    </row>
    <row r="38" spans="1:15" ht="20.25" x14ac:dyDescent="0.25">
      <c r="A38" s="100"/>
      <c r="B38" s="100"/>
      <c r="C38" s="102"/>
      <c r="D38" s="102"/>
      <c r="E38" s="80"/>
      <c r="F38" s="80"/>
      <c r="G38" s="80"/>
      <c r="H38" s="80"/>
      <c r="I38" s="80"/>
      <c r="J38" s="80"/>
      <c r="K38" s="80"/>
      <c r="L38" s="80"/>
      <c r="M38" s="80"/>
      <c r="N38" s="80"/>
      <c r="O38" s="80"/>
    </row>
    <row r="39" spans="1:15" ht="20.25" x14ac:dyDescent="0.25">
      <c r="A39" s="100"/>
      <c r="B39" s="100"/>
      <c r="C39" s="102"/>
      <c r="D39" s="102"/>
      <c r="E39" s="80"/>
      <c r="F39" s="80"/>
      <c r="G39" s="80"/>
      <c r="H39" s="80"/>
      <c r="I39" s="80"/>
      <c r="J39" s="80"/>
      <c r="K39" s="80"/>
      <c r="L39" s="80"/>
      <c r="M39" s="80"/>
      <c r="N39" s="80"/>
      <c r="O39" s="80"/>
    </row>
    <row r="40" spans="1:15" ht="20.25" x14ac:dyDescent="0.25">
      <c r="A40" s="100"/>
      <c r="B40" s="100"/>
      <c r="C40" s="102"/>
      <c r="D40" s="102"/>
      <c r="E40" s="80"/>
      <c r="F40" s="80"/>
      <c r="G40" s="80"/>
      <c r="H40" s="80"/>
      <c r="I40" s="80"/>
      <c r="J40" s="80"/>
      <c r="K40" s="80"/>
      <c r="L40" s="80"/>
      <c r="M40" s="80"/>
      <c r="N40" s="80"/>
      <c r="O40" s="80"/>
    </row>
    <row r="41" spans="1:15" ht="20.25" x14ac:dyDescent="0.25">
      <c r="A41" s="100"/>
      <c r="B41" s="100"/>
      <c r="C41" s="102"/>
      <c r="D41" s="102"/>
      <c r="E41" s="80"/>
      <c r="F41" s="80"/>
      <c r="G41" s="80"/>
      <c r="H41" s="80"/>
      <c r="I41" s="80"/>
      <c r="J41" s="80"/>
      <c r="K41" s="80"/>
      <c r="L41" s="80"/>
      <c r="M41" s="80"/>
      <c r="N41" s="80"/>
      <c r="O41" s="80"/>
    </row>
    <row r="42" spans="1:15" ht="20.25" x14ac:dyDescent="0.25">
      <c r="A42" s="100"/>
      <c r="B42" s="100"/>
      <c r="C42" s="102"/>
      <c r="D42" s="102"/>
      <c r="E42" s="80"/>
      <c r="F42" s="80"/>
      <c r="G42" s="80"/>
      <c r="H42" s="80"/>
      <c r="I42" s="80"/>
      <c r="J42" s="80"/>
      <c r="K42" s="80"/>
      <c r="L42" s="80"/>
      <c r="M42" s="80"/>
      <c r="N42" s="80"/>
      <c r="O42" s="80"/>
    </row>
    <row r="43" spans="1:15" ht="20.25" x14ac:dyDescent="0.25">
      <c r="A43" s="100"/>
      <c r="B43" s="100"/>
      <c r="C43" s="102"/>
      <c r="D43" s="102"/>
      <c r="E43" s="80"/>
      <c r="F43" s="80"/>
      <c r="G43" s="80"/>
      <c r="H43" s="80"/>
      <c r="I43" s="80"/>
      <c r="J43" s="80"/>
      <c r="K43" s="80"/>
      <c r="L43" s="80"/>
      <c r="M43" s="80"/>
      <c r="N43" s="80"/>
      <c r="O43" s="80"/>
    </row>
    <row r="44" spans="1:15" ht="20.25" x14ac:dyDescent="0.25">
      <c r="A44" s="100"/>
      <c r="B44" s="100"/>
      <c r="C44" s="102"/>
      <c r="D44" s="102"/>
      <c r="E44" s="80"/>
      <c r="F44" s="80"/>
      <c r="G44" s="80"/>
      <c r="H44" s="80"/>
      <c r="I44" s="80"/>
      <c r="J44" s="80"/>
      <c r="K44" s="80"/>
      <c r="L44" s="80"/>
      <c r="M44" s="80"/>
      <c r="N44" s="80"/>
      <c r="O44" s="80"/>
    </row>
    <row r="45" spans="1:15" ht="20.25" x14ac:dyDescent="0.25">
      <c r="A45" s="100"/>
      <c r="B45" s="100"/>
      <c r="C45" s="102"/>
      <c r="D45" s="102"/>
      <c r="E45" s="80"/>
      <c r="F45" s="80"/>
      <c r="G45" s="80"/>
      <c r="H45" s="80"/>
      <c r="I45" s="80"/>
      <c r="J45" s="80"/>
      <c r="K45" s="80"/>
      <c r="L45" s="80"/>
      <c r="M45" s="80"/>
      <c r="N45" s="80"/>
      <c r="O45" s="80"/>
    </row>
    <row r="46" spans="1:15" ht="20.25" x14ac:dyDescent="0.25">
      <c r="A46" s="100"/>
      <c r="B46" s="100"/>
      <c r="C46" s="102"/>
      <c r="D46" s="102"/>
      <c r="E46" s="80"/>
      <c r="F46" s="80"/>
      <c r="G46" s="80"/>
      <c r="H46" s="80"/>
      <c r="I46" s="80"/>
      <c r="J46" s="80"/>
      <c r="K46" s="80"/>
      <c r="L46" s="80"/>
      <c r="M46" s="80"/>
      <c r="N46" s="80"/>
      <c r="O46" s="80"/>
    </row>
    <row r="47" spans="1:15" ht="20.25" x14ac:dyDescent="0.25">
      <c r="A47" s="100"/>
      <c r="B47" s="100"/>
      <c r="C47" s="102"/>
      <c r="D47" s="102"/>
      <c r="E47" s="80"/>
      <c r="F47" s="80"/>
      <c r="G47" s="80"/>
      <c r="H47" s="80"/>
      <c r="I47" s="80"/>
      <c r="J47" s="80"/>
      <c r="K47" s="80"/>
      <c r="L47" s="80"/>
      <c r="M47" s="80"/>
      <c r="N47" s="80"/>
      <c r="O47" s="80"/>
    </row>
    <row r="48" spans="1:15" ht="20.25" x14ac:dyDescent="0.25">
      <c r="A48" s="100"/>
      <c r="B48" s="100"/>
      <c r="C48" s="102"/>
      <c r="D48" s="102"/>
      <c r="E48" s="80"/>
      <c r="F48" s="80"/>
      <c r="G48" s="80"/>
      <c r="H48" s="80"/>
      <c r="I48" s="80"/>
      <c r="J48" s="80"/>
      <c r="K48" s="80"/>
      <c r="L48" s="80"/>
      <c r="M48" s="80"/>
      <c r="N48" s="80"/>
      <c r="O48" s="80"/>
    </row>
    <row r="49" spans="1:15" ht="20.25" x14ac:dyDescent="0.25">
      <c r="A49" s="100"/>
      <c r="B49" s="100"/>
      <c r="C49" s="102"/>
      <c r="D49" s="102"/>
      <c r="E49" s="80"/>
      <c r="F49" s="80"/>
      <c r="G49" s="80"/>
      <c r="H49" s="80"/>
      <c r="I49" s="80"/>
      <c r="J49" s="80"/>
      <c r="K49" s="80"/>
      <c r="L49" s="80"/>
      <c r="M49" s="80"/>
      <c r="N49" s="80"/>
      <c r="O49" s="80"/>
    </row>
    <row r="50" spans="1:15" ht="20.25" x14ac:dyDescent="0.25">
      <c r="A50" s="100"/>
      <c r="B50" s="100"/>
      <c r="C50" s="102"/>
      <c r="D50" s="102"/>
      <c r="E50" s="80"/>
      <c r="F50" s="80"/>
      <c r="G50" s="80"/>
      <c r="H50" s="80"/>
      <c r="I50" s="80"/>
      <c r="J50" s="80"/>
      <c r="K50" s="80"/>
      <c r="L50" s="80"/>
      <c r="M50" s="80"/>
      <c r="N50" s="80"/>
      <c r="O50" s="80"/>
    </row>
    <row r="51" spans="1:15" ht="20.25" x14ac:dyDescent="0.25">
      <c r="A51" s="100"/>
      <c r="B51" s="100"/>
      <c r="C51" s="102"/>
      <c r="D51" s="102"/>
      <c r="E51" s="80"/>
      <c r="F51" s="80"/>
      <c r="G51" s="80"/>
      <c r="H51" s="80"/>
      <c r="I51" s="80"/>
      <c r="J51" s="80"/>
      <c r="K51" s="80"/>
      <c r="L51" s="80"/>
      <c r="M51" s="80"/>
      <c r="N51" s="80"/>
      <c r="O51" s="80"/>
    </row>
    <row r="52" spans="1:15" ht="20.25" x14ac:dyDescent="0.25">
      <c r="A52" s="100"/>
      <c r="B52" s="23"/>
      <c r="C52" s="31"/>
      <c r="D52" s="31"/>
    </row>
    <row r="53" spans="1:15" ht="20.25" x14ac:dyDescent="0.25">
      <c r="A53" s="100"/>
      <c r="B53" s="23"/>
      <c r="C53" s="31"/>
      <c r="D53" s="31"/>
    </row>
    <row r="54" spans="1:15" ht="20.25" x14ac:dyDescent="0.25">
      <c r="A54" s="100"/>
      <c r="B54" s="23"/>
      <c r="C54" s="31"/>
      <c r="D54" s="31"/>
    </row>
    <row r="55" spans="1:15" ht="20.25" x14ac:dyDescent="0.25">
      <c r="A55" s="100"/>
      <c r="B55" s="23"/>
      <c r="C55" s="31"/>
      <c r="D55" s="31"/>
    </row>
    <row r="56" spans="1:15" ht="20.25" x14ac:dyDescent="0.25">
      <c r="A56" s="100"/>
      <c r="B56" s="23"/>
      <c r="C56" s="31"/>
      <c r="D56" s="31"/>
    </row>
    <row r="57" spans="1:15" ht="20.25" x14ac:dyDescent="0.25">
      <c r="A57" s="100"/>
      <c r="B57" s="23"/>
      <c r="C57" s="31"/>
      <c r="D57" s="31"/>
    </row>
    <row r="58" spans="1:15" ht="20.25" x14ac:dyDescent="0.25">
      <c r="A58" s="100"/>
      <c r="B58" s="23"/>
      <c r="C58" s="31"/>
      <c r="D58" s="31"/>
    </row>
    <row r="59" spans="1:15" ht="20.25" x14ac:dyDescent="0.25">
      <c r="A59" s="100"/>
      <c r="B59" s="23"/>
      <c r="C59" s="31"/>
      <c r="D59" s="31"/>
    </row>
    <row r="60" spans="1:15" ht="20.25" x14ac:dyDescent="0.25">
      <c r="A60" s="100"/>
      <c r="B60" s="23"/>
      <c r="C60" s="31"/>
      <c r="D60" s="31"/>
    </row>
    <row r="61" spans="1:15" ht="20.25" x14ac:dyDescent="0.25">
      <c r="A61" s="100"/>
      <c r="B61" s="23"/>
      <c r="C61" s="31"/>
      <c r="D61" s="31"/>
    </row>
    <row r="62" spans="1:15" ht="20.25" x14ac:dyDescent="0.25">
      <c r="A62" s="100"/>
      <c r="B62" s="23"/>
      <c r="C62" s="31"/>
      <c r="D62" s="31"/>
    </row>
    <row r="63" spans="1:15" ht="20.25" x14ac:dyDescent="0.25">
      <c r="A63" s="100"/>
      <c r="B63" s="23"/>
      <c r="C63" s="31"/>
      <c r="D63" s="31"/>
    </row>
    <row r="64" spans="1:15" ht="20.25" x14ac:dyDescent="0.25">
      <c r="A64" s="100"/>
      <c r="B64" s="23"/>
      <c r="C64" s="31"/>
      <c r="D64" s="31"/>
    </row>
    <row r="65" spans="1:4" ht="20.25" x14ac:dyDescent="0.25">
      <c r="A65" s="100"/>
      <c r="B65" s="23"/>
      <c r="C65" s="31"/>
      <c r="D65" s="31"/>
    </row>
    <row r="66" spans="1:4" ht="20.25" x14ac:dyDescent="0.25">
      <c r="A66" s="100"/>
      <c r="B66" s="23"/>
      <c r="C66" s="31"/>
      <c r="D66" s="31"/>
    </row>
    <row r="67" spans="1:4" ht="20.25" x14ac:dyDescent="0.25">
      <c r="A67" s="100"/>
      <c r="B67" s="23"/>
      <c r="C67" s="31"/>
      <c r="D67" s="31"/>
    </row>
    <row r="68" spans="1:4" ht="20.25" x14ac:dyDescent="0.25">
      <c r="A68" s="100"/>
      <c r="B68" s="23"/>
      <c r="C68" s="31"/>
      <c r="D68" s="31"/>
    </row>
    <row r="69" spans="1:4" ht="20.25" x14ac:dyDescent="0.25">
      <c r="A69" s="100"/>
      <c r="B69" s="23"/>
      <c r="C69" s="31"/>
      <c r="D69" s="31"/>
    </row>
    <row r="70" spans="1:4" ht="20.25" x14ac:dyDescent="0.25">
      <c r="A70" s="100"/>
      <c r="B70" s="23"/>
      <c r="C70" s="31"/>
      <c r="D70" s="31"/>
    </row>
    <row r="71" spans="1:4" ht="20.25" x14ac:dyDescent="0.25">
      <c r="A71" s="100"/>
      <c r="B71" s="23"/>
      <c r="C71" s="31"/>
      <c r="D71" s="31"/>
    </row>
    <row r="72" spans="1:4" ht="20.25" x14ac:dyDescent="0.25">
      <c r="A72" s="100"/>
      <c r="B72" s="23"/>
      <c r="C72" s="31"/>
      <c r="D72" s="31"/>
    </row>
    <row r="73" spans="1:4" ht="20.25" x14ac:dyDescent="0.25">
      <c r="A73" s="100"/>
      <c r="B73" s="23"/>
      <c r="C73" s="31"/>
      <c r="D73" s="31"/>
    </row>
    <row r="74" spans="1:4" ht="20.25" x14ac:dyDescent="0.25">
      <c r="A74" s="100"/>
      <c r="B74" s="23"/>
      <c r="C74" s="31"/>
      <c r="D74" s="31"/>
    </row>
    <row r="75" spans="1:4" ht="20.25" x14ac:dyDescent="0.25">
      <c r="A75" s="100"/>
      <c r="B75" s="23"/>
      <c r="C75" s="31"/>
      <c r="D75" s="31"/>
    </row>
    <row r="76" spans="1:4" ht="20.25" x14ac:dyDescent="0.25">
      <c r="A76" s="100"/>
      <c r="B76" s="23"/>
      <c r="C76" s="31"/>
      <c r="D76" s="31"/>
    </row>
    <row r="77" spans="1:4" ht="20.25" x14ac:dyDescent="0.25">
      <c r="A77" s="100"/>
      <c r="B77" s="23"/>
      <c r="C77" s="31"/>
      <c r="D77" s="31"/>
    </row>
    <row r="78" spans="1:4" ht="20.25" x14ac:dyDescent="0.25">
      <c r="A78" s="100"/>
      <c r="B78" s="23"/>
      <c r="C78" s="31"/>
      <c r="D78" s="31"/>
    </row>
    <row r="79" spans="1:4" ht="20.25" x14ac:dyDescent="0.25">
      <c r="A79" s="100"/>
      <c r="B79" s="23"/>
      <c r="C79" s="31"/>
      <c r="D79" s="31"/>
    </row>
    <row r="80" spans="1:4" ht="20.25" x14ac:dyDescent="0.25">
      <c r="A80" s="100"/>
      <c r="B80" s="23"/>
      <c r="C80" s="31"/>
      <c r="D80" s="31"/>
    </row>
    <row r="81" spans="1:4" ht="20.25" x14ac:dyDescent="0.25">
      <c r="A81" s="100"/>
      <c r="B81" s="23"/>
      <c r="C81" s="31"/>
      <c r="D81" s="31"/>
    </row>
    <row r="82" spans="1:4" ht="20.25" x14ac:dyDescent="0.25">
      <c r="A82" s="100"/>
      <c r="B82" s="23"/>
      <c r="C82" s="31"/>
      <c r="D82" s="31"/>
    </row>
    <row r="83" spans="1:4" ht="20.25" x14ac:dyDescent="0.25">
      <c r="A83" s="100"/>
      <c r="B83" s="23"/>
      <c r="C83" s="31"/>
      <c r="D83" s="31"/>
    </row>
    <row r="84" spans="1:4" ht="20.25" x14ac:dyDescent="0.25">
      <c r="A84" s="100"/>
      <c r="B84" s="23"/>
      <c r="C84" s="31"/>
      <c r="D84" s="31"/>
    </row>
    <row r="85" spans="1:4" ht="20.25" x14ac:dyDescent="0.25">
      <c r="A85" s="100"/>
      <c r="B85" s="23"/>
      <c r="C85" s="31"/>
      <c r="D85" s="31"/>
    </row>
    <row r="86" spans="1:4" ht="20.25" x14ac:dyDescent="0.25">
      <c r="A86" s="100"/>
      <c r="B86" s="23"/>
      <c r="C86" s="31"/>
      <c r="D86" s="31"/>
    </row>
    <row r="87" spans="1:4" ht="20.25" x14ac:dyDescent="0.25">
      <c r="A87" s="100"/>
      <c r="B87" s="23"/>
      <c r="C87" s="31"/>
      <c r="D87" s="31"/>
    </row>
    <row r="88" spans="1:4" ht="20.25" x14ac:dyDescent="0.25">
      <c r="A88" s="100"/>
      <c r="B88" s="23"/>
      <c r="C88" s="31"/>
      <c r="D88" s="31"/>
    </row>
    <row r="89" spans="1:4" ht="20.25" x14ac:dyDescent="0.25">
      <c r="A89" s="100"/>
      <c r="B89" s="23"/>
      <c r="C89" s="31"/>
      <c r="D89" s="31"/>
    </row>
    <row r="90" spans="1:4" ht="20.25" x14ac:dyDescent="0.25">
      <c r="A90" s="100"/>
      <c r="B90" s="23"/>
      <c r="C90" s="31"/>
      <c r="D90" s="31"/>
    </row>
    <row r="91" spans="1:4" ht="20.25" x14ac:dyDescent="0.25">
      <c r="A91" s="100"/>
      <c r="B91" s="23"/>
      <c r="C91" s="31"/>
      <c r="D91" s="31"/>
    </row>
    <row r="92" spans="1:4" ht="20.25" x14ac:dyDescent="0.25">
      <c r="A92" s="100"/>
      <c r="B92" s="23"/>
      <c r="C92" s="31"/>
      <c r="D92" s="31"/>
    </row>
    <row r="93" spans="1:4" ht="20.25" x14ac:dyDescent="0.25">
      <c r="A93" s="100"/>
      <c r="B93" s="23"/>
      <c r="C93" s="31"/>
      <c r="D93" s="31"/>
    </row>
    <row r="94" spans="1:4" ht="20.25" x14ac:dyDescent="0.25">
      <c r="A94" s="100"/>
      <c r="B94" s="23"/>
      <c r="C94" s="31"/>
      <c r="D94" s="31"/>
    </row>
    <row r="95" spans="1:4" ht="20.25" x14ac:dyDescent="0.25">
      <c r="A95" s="100"/>
      <c r="B95" s="23"/>
      <c r="C95" s="31"/>
      <c r="D95" s="31"/>
    </row>
    <row r="96" spans="1:4" ht="20.25" x14ac:dyDescent="0.25">
      <c r="A96" s="100"/>
      <c r="B96" s="23"/>
      <c r="C96" s="31"/>
      <c r="D96" s="31"/>
    </row>
    <row r="97" spans="1:4" ht="20.25" x14ac:dyDescent="0.25">
      <c r="A97" s="100"/>
      <c r="B97" s="23"/>
      <c r="C97" s="31"/>
      <c r="D97" s="31"/>
    </row>
    <row r="98" spans="1:4" ht="20.25" x14ac:dyDescent="0.25">
      <c r="A98" s="100"/>
      <c r="B98" s="23"/>
      <c r="C98" s="31"/>
      <c r="D98" s="31"/>
    </row>
    <row r="99" spans="1:4" ht="20.25" x14ac:dyDescent="0.25">
      <c r="A99" s="100"/>
      <c r="B99" s="23"/>
      <c r="C99" s="31"/>
      <c r="D99" s="31"/>
    </row>
    <row r="100" spans="1:4" ht="20.25" x14ac:dyDescent="0.25">
      <c r="A100" s="100"/>
      <c r="B100" s="23"/>
      <c r="C100" s="31"/>
      <c r="D100" s="31"/>
    </row>
    <row r="101" spans="1:4" ht="20.25" x14ac:dyDescent="0.25">
      <c r="A101" s="100"/>
      <c r="B101" s="23"/>
      <c r="C101" s="31"/>
      <c r="D101" s="31"/>
    </row>
    <row r="102" spans="1:4" ht="20.25" x14ac:dyDescent="0.25">
      <c r="A102" s="100"/>
      <c r="B102" s="23"/>
      <c r="C102" s="31"/>
      <c r="D102" s="31"/>
    </row>
    <row r="103" spans="1:4" ht="20.25" x14ac:dyDescent="0.25">
      <c r="A103" s="100"/>
      <c r="B103" s="23"/>
      <c r="C103" s="31"/>
      <c r="D103" s="31"/>
    </row>
    <row r="104" spans="1:4" ht="20.25" x14ac:dyDescent="0.25">
      <c r="A104" s="100"/>
      <c r="B104" s="23"/>
      <c r="C104" s="31"/>
      <c r="D104" s="31"/>
    </row>
    <row r="105" spans="1:4" ht="20.25" x14ac:dyDescent="0.25">
      <c r="A105" s="100"/>
      <c r="B105" s="23"/>
      <c r="C105" s="31"/>
      <c r="D105" s="31"/>
    </row>
    <row r="106" spans="1:4" ht="20.25" x14ac:dyDescent="0.25">
      <c r="A106" s="100"/>
      <c r="B106" s="23"/>
      <c r="C106" s="31"/>
      <c r="D106" s="31"/>
    </row>
    <row r="107" spans="1:4" ht="20.25" x14ac:dyDescent="0.25">
      <c r="A107" s="100"/>
      <c r="B107" s="23"/>
      <c r="C107" s="31"/>
      <c r="D107" s="31"/>
    </row>
    <row r="108" spans="1:4" ht="20.25" x14ac:dyDescent="0.25">
      <c r="A108" s="100"/>
      <c r="B108" s="23"/>
      <c r="C108" s="31"/>
      <c r="D108" s="31"/>
    </row>
    <row r="109" spans="1:4" ht="20.25" x14ac:dyDescent="0.25">
      <c r="A109" s="100"/>
      <c r="B109" s="23"/>
      <c r="C109" s="31"/>
      <c r="D109" s="31"/>
    </row>
    <row r="110" spans="1:4" ht="20.25" x14ac:dyDescent="0.25">
      <c r="A110" s="100"/>
      <c r="B110" s="23"/>
      <c r="C110" s="31"/>
      <c r="D110" s="31"/>
    </row>
    <row r="111" spans="1:4" ht="20.25" x14ac:dyDescent="0.25">
      <c r="A111" s="100"/>
      <c r="B111" s="23"/>
      <c r="C111" s="31"/>
      <c r="D111" s="31"/>
    </row>
    <row r="112" spans="1:4" ht="20.25" x14ac:dyDescent="0.25">
      <c r="A112" s="100"/>
      <c r="B112" s="23"/>
      <c r="C112" s="31"/>
      <c r="D112" s="31"/>
    </row>
    <row r="113" spans="1:4" ht="20.25" x14ac:dyDescent="0.25">
      <c r="A113" s="100"/>
      <c r="B113" s="23"/>
      <c r="C113" s="31"/>
      <c r="D113" s="31"/>
    </row>
    <row r="114" spans="1:4" ht="20.25" x14ac:dyDescent="0.25">
      <c r="A114" s="100"/>
      <c r="B114" s="23"/>
      <c r="C114" s="31"/>
      <c r="D114" s="31"/>
    </row>
    <row r="115" spans="1:4" ht="20.25" x14ac:dyDescent="0.25">
      <c r="A115" s="100"/>
      <c r="B115" s="23"/>
      <c r="C115" s="31"/>
      <c r="D115" s="31"/>
    </row>
    <row r="116" spans="1:4" ht="20.25" x14ac:dyDescent="0.25">
      <c r="A116" s="100"/>
      <c r="B116" s="23"/>
      <c r="C116" s="31"/>
      <c r="D116" s="31"/>
    </row>
    <row r="117" spans="1:4" ht="20.25" x14ac:dyDescent="0.25">
      <c r="A117" s="100"/>
      <c r="B117" s="23"/>
      <c r="C117" s="31"/>
      <c r="D117" s="31"/>
    </row>
    <row r="118" spans="1:4" ht="20.25" x14ac:dyDescent="0.25">
      <c r="A118" s="100"/>
      <c r="B118" s="23"/>
      <c r="C118" s="31"/>
      <c r="D118" s="31"/>
    </row>
    <row r="119" spans="1:4" ht="20.25" x14ac:dyDescent="0.25">
      <c r="A119" s="100"/>
      <c r="B119" s="23"/>
      <c r="C119" s="31"/>
      <c r="D119" s="31"/>
    </row>
    <row r="120" spans="1:4" ht="20.25" x14ac:dyDescent="0.25">
      <c r="A120" s="100"/>
      <c r="B120" s="23"/>
      <c r="C120" s="31"/>
      <c r="D120" s="31"/>
    </row>
    <row r="121" spans="1:4" ht="20.25" x14ac:dyDescent="0.25">
      <c r="A121" s="100"/>
      <c r="B121" s="23"/>
      <c r="C121" s="31"/>
      <c r="D121" s="31"/>
    </row>
    <row r="122" spans="1:4" ht="20.25" x14ac:dyDescent="0.25">
      <c r="A122" s="100"/>
      <c r="B122" s="23"/>
      <c r="C122" s="31"/>
      <c r="D122" s="31"/>
    </row>
    <row r="123" spans="1:4" ht="20.25" x14ac:dyDescent="0.25">
      <c r="A123" s="100"/>
      <c r="B123" s="23"/>
      <c r="C123" s="31"/>
      <c r="D123" s="31"/>
    </row>
    <row r="124" spans="1:4" ht="20.25" x14ac:dyDescent="0.25">
      <c r="A124" s="100"/>
      <c r="B124" s="23"/>
      <c r="C124" s="31"/>
      <c r="D124" s="31"/>
    </row>
    <row r="125" spans="1:4" ht="20.25" x14ac:dyDescent="0.25">
      <c r="A125" s="100"/>
      <c r="B125" s="23"/>
      <c r="C125" s="31"/>
      <c r="D125" s="31"/>
    </row>
    <row r="126" spans="1:4" ht="20.25" x14ac:dyDescent="0.25">
      <c r="A126" s="100"/>
      <c r="B126" s="23"/>
      <c r="C126" s="31"/>
      <c r="D126" s="31"/>
    </row>
    <row r="127" spans="1:4" ht="20.25" x14ac:dyDescent="0.25">
      <c r="A127" s="100"/>
      <c r="B127" s="23"/>
      <c r="C127" s="31"/>
      <c r="D127" s="31"/>
    </row>
    <row r="128" spans="1:4" ht="20.25" x14ac:dyDescent="0.25">
      <c r="A128" s="100"/>
      <c r="B128" s="23"/>
      <c r="C128" s="31"/>
      <c r="D128" s="31"/>
    </row>
    <row r="129" spans="1:4" ht="20.25" x14ac:dyDescent="0.25">
      <c r="A129" s="100"/>
      <c r="B129" s="23"/>
      <c r="C129" s="31"/>
      <c r="D129" s="31"/>
    </row>
    <row r="130" spans="1:4" ht="20.25" x14ac:dyDescent="0.25">
      <c r="A130" s="100"/>
      <c r="B130" s="23"/>
      <c r="C130" s="31"/>
      <c r="D130" s="31"/>
    </row>
    <row r="131" spans="1:4" ht="20.25" x14ac:dyDescent="0.25">
      <c r="A131" s="100"/>
      <c r="B131" s="23"/>
      <c r="C131" s="31"/>
      <c r="D131" s="31"/>
    </row>
    <row r="132" spans="1:4" ht="20.25" x14ac:dyDescent="0.25">
      <c r="A132" s="100"/>
      <c r="B132" s="23"/>
      <c r="C132" s="31"/>
      <c r="D132" s="31"/>
    </row>
    <row r="133" spans="1:4" ht="20.25" x14ac:dyDescent="0.25">
      <c r="A133" s="100"/>
      <c r="B133" s="23"/>
      <c r="C133" s="31"/>
      <c r="D133" s="31"/>
    </row>
    <row r="134" spans="1:4" ht="20.25" x14ac:dyDescent="0.25">
      <c r="A134" s="100"/>
      <c r="B134" s="23"/>
      <c r="C134" s="31"/>
      <c r="D134" s="31"/>
    </row>
    <row r="135" spans="1:4" ht="20.25" x14ac:dyDescent="0.25">
      <c r="A135" s="100"/>
      <c r="B135" s="23"/>
      <c r="C135" s="31"/>
      <c r="D135" s="31"/>
    </row>
    <row r="136" spans="1:4" ht="20.25" x14ac:dyDescent="0.25">
      <c r="A136" s="100"/>
      <c r="B136" s="23"/>
      <c r="C136" s="31"/>
      <c r="D136" s="31"/>
    </row>
    <row r="137" spans="1:4" ht="20.25" x14ac:dyDescent="0.25">
      <c r="A137" s="100"/>
      <c r="B137" s="23"/>
      <c r="C137" s="31"/>
      <c r="D137" s="31"/>
    </row>
    <row r="138" spans="1:4" ht="20.25" x14ac:dyDescent="0.25">
      <c r="A138" s="100"/>
      <c r="B138" s="23"/>
      <c r="C138" s="31"/>
      <c r="D138" s="31"/>
    </row>
    <row r="139" spans="1:4" ht="20.25" x14ac:dyDescent="0.25">
      <c r="A139" s="100"/>
      <c r="B139" s="23"/>
      <c r="C139" s="31"/>
      <c r="D139" s="31"/>
    </row>
    <row r="140" spans="1:4" ht="20.25" x14ac:dyDescent="0.25">
      <c r="A140" s="100"/>
      <c r="B140" s="23"/>
      <c r="C140" s="31"/>
      <c r="D140" s="31"/>
    </row>
    <row r="141" spans="1:4" ht="20.25" x14ac:dyDescent="0.25">
      <c r="A141" s="100"/>
      <c r="B141" s="23"/>
      <c r="C141" s="31"/>
      <c r="D141" s="31"/>
    </row>
    <row r="142" spans="1:4" ht="20.25" x14ac:dyDescent="0.25">
      <c r="A142" s="100"/>
      <c r="B142" s="23"/>
      <c r="C142" s="31"/>
      <c r="D142" s="31"/>
    </row>
    <row r="143" spans="1:4" ht="20.25" x14ac:dyDescent="0.25">
      <c r="A143" s="100"/>
      <c r="B143" s="23"/>
      <c r="C143" s="31"/>
      <c r="D143" s="31"/>
    </row>
    <row r="144" spans="1:4" ht="20.25" x14ac:dyDescent="0.25">
      <c r="A144" s="100"/>
      <c r="B144" s="23"/>
      <c r="C144" s="31"/>
      <c r="D144" s="31"/>
    </row>
    <row r="145" spans="1:4" ht="20.25" x14ac:dyDescent="0.25">
      <c r="A145" s="100"/>
      <c r="B145" s="23"/>
      <c r="C145" s="31"/>
      <c r="D145" s="31"/>
    </row>
    <row r="146" spans="1:4" ht="20.25" x14ac:dyDescent="0.25">
      <c r="A146" s="100"/>
      <c r="B146" s="23"/>
      <c r="C146" s="31"/>
      <c r="D146" s="31"/>
    </row>
    <row r="147" spans="1:4" ht="20.25" x14ac:dyDescent="0.25">
      <c r="A147" s="100"/>
      <c r="B147" s="23"/>
      <c r="C147" s="31"/>
      <c r="D147" s="31"/>
    </row>
    <row r="148" spans="1:4" ht="20.25" x14ac:dyDescent="0.25">
      <c r="A148" s="100"/>
      <c r="B148" s="23"/>
      <c r="C148" s="31"/>
      <c r="D148" s="31"/>
    </row>
    <row r="149" spans="1:4" ht="20.25" x14ac:dyDescent="0.25">
      <c r="A149" s="100"/>
      <c r="B149" s="23"/>
      <c r="C149" s="31"/>
      <c r="D149" s="31"/>
    </row>
    <row r="150" spans="1:4" ht="20.25" x14ac:dyDescent="0.25">
      <c r="A150" s="100"/>
      <c r="B150" s="23"/>
      <c r="C150" s="31"/>
      <c r="D150" s="31"/>
    </row>
    <row r="151" spans="1:4" ht="20.25" x14ac:dyDescent="0.25">
      <c r="A151" s="100"/>
      <c r="B151" s="23"/>
      <c r="C151" s="31"/>
      <c r="D151" s="31"/>
    </row>
    <row r="152" spans="1:4" ht="20.25" x14ac:dyDescent="0.25">
      <c r="A152" s="100"/>
      <c r="B152" s="23"/>
      <c r="C152" s="31"/>
      <c r="D152" s="31"/>
    </row>
    <row r="153" spans="1:4" ht="20.25" x14ac:dyDescent="0.25">
      <c r="A153" s="100"/>
      <c r="B153" s="23"/>
      <c r="C153" s="31"/>
      <c r="D153" s="31"/>
    </row>
    <row r="154" spans="1:4" ht="20.25" x14ac:dyDescent="0.25">
      <c r="A154" s="100"/>
      <c r="B154" s="23"/>
      <c r="C154" s="31"/>
      <c r="D154" s="31"/>
    </row>
    <row r="155" spans="1:4" ht="20.25" x14ac:dyDescent="0.25">
      <c r="A155" s="100"/>
      <c r="B155" s="23"/>
      <c r="C155" s="31"/>
      <c r="D155" s="31"/>
    </row>
    <row r="156" spans="1:4" ht="20.25" x14ac:dyDescent="0.25">
      <c r="A156" s="100"/>
      <c r="B156" s="23"/>
      <c r="C156" s="31"/>
      <c r="D156" s="31"/>
    </row>
    <row r="157" spans="1:4" ht="20.25" x14ac:dyDescent="0.25">
      <c r="A157" s="100"/>
      <c r="B157" s="23"/>
      <c r="C157" s="31"/>
      <c r="D157" s="31"/>
    </row>
    <row r="158" spans="1:4" ht="20.25" x14ac:dyDescent="0.25">
      <c r="A158" s="100"/>
      <c r="B158" s="23"/>
      <c r="C158" s="31"/>
      <c r="D158" s="31"/>
    </row>
    <row r="159" spans="1:4" ht="20.25" x14ac:dyDescent="0.25">
      <c r="A159" s="100"/>
      <c r="B159" s="23"/>
      <c r="C159" s="31"/>
      <c r="D159" s="31"/>
    </row>
    <row r="160" spans="1:4" ht="20.25" x14ac:dyDescent="0.25">
      <c r="A160" s="100"/>
      <c r="B160" s="23"/>
      <c r="C160" s="31"/>
      <c r="D160" s="31"/>
    </row>
    <row r="161" spans="1:4" ht="20.25" x14ac:dyDescent="0.25">
      <c r="A161" s="100"/>
      <c r="B161" s="23"/>
      <c r="C161" s="31"/>
      <c r="D161" s="31"/>
    </row>
    <row r="162" spans="1:4" ht="20.25" x14ac:dyDescent="0.25">
      <c r="A162" s="100"/>
      <c r="B162" s="23"/>
      <c r="C162" s="31"/>
      <c r="D162" s="31"/>
    </row>
    <row r="163" spans="1:4" ht="20.25" x14ac:dyDescent="0.25">
      <c r="A163" s="100"/>
      <c r="B163" s="23"/>
      <c r="C163" s="31"/>
      <c r="D163" s="31"/>
    </row>
    <row r="164" spans="1:4" ht="20.25" x14ac:dyDescent="0.25">
      <c r="A164" s="100"/>
      <c r="B164" s="23"/>
      <c r="C164" s="31"/>
      <c r="D164" s="31"/>
    </row>
    <row r="165" spans="1:4" ht="20.25" x14ac:dyDescent="0.25">
      <c r="A165" s="100"/>
      <c r="B165" s="23"/>
      <c r="C165" s="31"/>
      <c r="D165" s="31"/>
    </row>
    <row r="166" spans="1:4" ht="20.25" x14ac:dyDescent="0.25">
      <c r="A166" s="100"/>
      <c r="B166" s="23"/>
      <c r="C166" s="31"/>
      <c r="D166" s="31"/>
    </row>
    <row r="167" spans="1:4" ht="20.25" x14ac:dyDescent="0.25">
      <c r="A167" s="100"/>
      <c r="B167" s="23"/>
      <c r="C167" s="31"/>
      <c r="D167" s="31"/>
    </row>
    <row r="168" spans="1:4" ht="20.25" x14ac:dyDescent="0.25">
      <c r="A168" s="100"/>
      <c r="B168" s="23"/>
      <c r="C168" s="31"/>
      <c r="D168" s="31"/>
    </row>
    <row r="169" spans="1:4" ht="20.25" x14ac:dyDescent="0.25">
      <c r="A169" s="100"/>
      <c r="B169" s="23"/>
      <c r="C169" s="31"/>
      <c r="D169" s="31"/>
    </row>
    <row r="170" spans="1:4" ht="20.25" x14ac:dyDescent="0.25">
      <c r="A170" s="100"/>
      <c r="B170" s="23"/>
      <c r="C170" s="31"/>
      <c r="D170" s="31"/>
    </row>
    <row r="171" spans="1:4" ht="20.25" x14ac:dyDescent="0.25">
      <c r="A171" s="100"/>
      <c r="B171" s="23"/>
      <c r="C171" s="31"/>
      <c r="D171" s="31"/>
    </row>
    <row r="172" spans="1:4" ht="20.25" x14ac:dyDescent="0.25">
      <c r="A172" s="100"/>
      <c r="B172" s="23"/>
      <c r="C172" s="31"/>
      <c r="D172" s="31"/>
    </row>
    <row r="173" spans="1:4" ht="20.25" x14ac:dyDescent="0.25">
      <c r="A173" s="100"/>
      <c r="B173" s="23"/>
      <c r="C173" s="31"/>
      <c r="D173" s="31"/>
    </row>
    <row r="174" spans="1:4" ht="20.25" x14ac:dyDescent="0.25">
      <c r="A174" s="100"/>
      <c r="B174" s="23"/>
      <c r="C174" s="31"/>
      <c r="D174" s="31"/>
    </row>
    <row r="175" spans="1:4" ht="20.25" x14ac:dyDescent="0.25">
      <c r="A175" s="100"/>
      <c r="B175" s="23"/>
      <c r="C175" s="31"/>
      <c r="D175" s="31"/>
    </row>
    <row r="176" spans="1:4" ht="20.25" x14ac:dyDescent="0.25">
      <c r="A176" s="100"/>
      <c r="B176" s="23"/>
      <c r="C176" s="31"/>
      <c r="D176" s="31"/>
    </row>
    <row r="177" spans="1:4" ht="20.25" x14ac:dyDescent="0.25">
      <c r="A177" s="100"/>
      <c r="B177" s="23"/>
      <c r="C177" s="31"/>
      <c r="D177" s="31"/>
    </row>
    <row r="178" spans="1:4" ht="20.25" x14ac:dyDescent="0.25">
      <c r="A178" s="100"/>
      <c r="B178" s="23"/>
      <c r="C178" s="31"/>
      <c r="D178" s="31"/>
    </row>
    <row r="179" spans="1:4" ht="20.25" x14ac:dyDescent="0.25">
      <c r="A179" s="100"/>
      <c r="B179" s="23"/>
      <c r="C179" s="31"/>
      <c r="D179" s="31"/>
    </row>
    <row r="180" spans="1:4" ht="20.25" x14ac:dyDescent="0.25">
      <c r="A180" s="100"/>
      <c r="B180" s="23"/>
      <c r="C180" s="31"/>
      <c r="D180" s="31"/>
    </row>
    <row r="181" spans="1:4" ht="20.25" x14ac:dyDescent="0.25">
      <c r="A181" s="100"/>
      <c r="B181" s="23"/>
      <c r="C181" s="31"/>
      <c r="D181" s="31"/>
    </row>
    <row r="182" spans="1:4" ht="20.25" x14ac:dyDescent="0.25">
      <c r="A182" s="100"/>
      <c r="B182" s="23"/>
      <c r="C182" s="31"/>
      <c r="D182" s="31"/>
    </row>
    <row r="183" spans="1:4" ht="20.25" x14ac:dyDescent="0.25">
      <c r="A183" s="100"/>
      <c r="B183" s="23"/>
      <c r="C183" s="31"/>
      <c r="D183" s="31"/>
    </row>
    <row r="184" spans="1:4" ht="20.25" x14ac:dyDescent="0.25">
      <c r="A184" s="100"/>
      <c r="B184" s="23"/>
      <c r="C184" s="31"/>
      <c r="D184" s="31"/>
    </row>
    <row r="185" spans="1:4" ht="20.25" x14ac:dyDescent="0.25">
      <c r="A185" s="100"/>
      <c r="B185" s="23"/>
      <c r="C185" s="31"/>
      <c r="D185" s="31"/>
    </row>
    <row r="186" spans="1:4" ht="20.25" x14ac:dyDescent="0.25">
      <c r="A186" s="100"/>
      <c r="B186" s="23"/>
      <c r="C186" s="31"/>
      <c r="D186" s="31"/>
    </row>
    <row r="187" spans="1:4" ht="20.25" x14ac:dyDescent="0.25">
      <c r="A187" s="100"/>
      <c r="B187" s="23"/>
      <c r="C187" s="31"/>
      <c r="D187" s="31"/>
    </row>
    <row r="188" spans="1:4" ht="20.25" x14ac:dyDescent="0.25">
      <c r="A188" s="100"/>
      <c r="B188" s="23"/>
      <c r="C188" s="31"/>
      <c r="D188" s="31"/>
    </row>
    <row r="189" spans="1:4" ht="20.25" x14ac:dyDescent="0.25">
      <c r="A189" s="100"/>
      <c r="B189" s="23"/>
      <c r="C189" s="31"/>
      <c r="D189" s="31"/>
    </row>
    <row r="190" spans="1:4" ht="20.25" x14ac:dyDescent="0.25">
      <c r="A190" s="100"/>
      <c r="B190" s="23"/>
      <c r="C190" s="31"/>
      <c r="D190" s="31"/>
    </row>
    <row r="191" spans="1:4" ht="20.25" x14ac:dyDescent="0.25">
      <c r="A191" s="100"/>
      <c r="B191" s="23"/>
      <c r="C191" s="31"/>
      <c r="D191" s="31"/>
    </row>
    <row r="192" spans="1:4" ht="20.25" x14ac:dyDescent="0.25">
      <c r="A192" s="100"/>
      <c r="B192" s="23"/>
      <c r="C192" s="31"/>
      <c r="D192" s="31"/>
    </row>
    <row r="193" spans="1:4" ht="20.25" x14ac:dyDescent="0.25">
      <c r="A193" s="100"/>
      <c r="B193" s="23"/>
      <c r="C193" s="31"/>
      <c r="D193" s="31"/>
    </row>
    <row r="194" spans="1:4" ht="20.25" x14ac:dyDescent="0.25">
      <c r="A194" s="100"/>
      <c r="B194" s="23"/>
      <c r="C194" s="31"/>
      <c r="D194" s="31"/>
    </row>
    <row r="195" spans="1:4" ht="20.25" x14ac:dyDescent="0.25">
      <c r="A195" s="100"/>
      <c r="B195" s="23"/>
      <c r="C195" s="31"/>
      <c r="D195" s="31"/>
    </row>
    <row r="196" spans="1:4" ht="20.25" x14ac:dyDescent="0.25">
      <c r="A196" s="100"/>
      <c r="B196" s="23"/>
      <c r="C196" s="31"/>
      <c r="D196" s="31"/>
    </row>
    <row r="197" spans="1:4" ht="20.25" x14ac:dyDescent="0.25">
      <c r="A197" s="100"/>
      <c r="B197" s="23"/>
      <c r="C197" s="31"/>
      <c r="D197" s="31"/>
    </row>
    <row r="198" spans="1:4" ht="20.25" x14ac:dyDescent="0.25">
      <c r="A198" s="100"/>
      <c r="B198" s="23"/>
      <c r="C198" s="31"/>
      <c r="D198" s="31"/>
    </row>
    <row r="199" spans="1:4" ht="20.25" x14ac:dyDescent="0.25">
      <c r="A199" s="100"/>
      <c r="B199" s="23"/>
      <c r="C199" s="31"/>
      <c r="D199" s="31"/>
    </row>
    <row r="200" spans="1:4" ht="20.25" x14ac:dyDescent="0.25">
      <c r="A200" s="100"/>
      <c r="B200" s="23"/>
      <c r="C200" s="31"/>
      <c r="D200" s="31"/>
    </row>
    <row r="201" spans="1:4" ht="20.25" x14ac:dyDescent="0.25">
      <c r="A201" s="100"/>
      <c r="B201" s="23"/>
      <c r="C201" s="31"/>
      <c r="D201" s="31"/>
    </row>
    <row r="202" spans="1:4" ht="20.25" x14ac:dyDescent="0.25">
      <c r="A202" s="100"/>
      <c r="B202" s="23"/>
      <c r="C202" s="31"/>
      <c r="D202" s="31"/>
    </row>
    <row r="203" spans="1:4" ht="20.25" x14ac:dyDescent="0.25">
      <c r="A203" s="100"/>
      <c r="B203" s="23"/>
      <c r="C203" s="31"/>
      <c r="D203" s="31"/>
    </row>
    <row r="204" spans="1:4" ht="20.25" x14ac:dyDescent="0.25">
      <c r="A204" s="100"/>
      <c r="B204" s="23"/>
      <c r="C204" s="31"/>
      <c r="D204" s="31"/>
    </row>
    <row r="205" spans="1:4" ht="20.25" x14ac:dyDescent="0.25">
      <c r="A205" s="100"/>
      <c r="B205" s="23"/>
      <c r="C205" s="31"/>
      <c r="D205" s="31"/>
    </row>
    <row r="206" spans="1:4" ht="20.25" x14ac:dyDescent="0.25">
      <c r="A206" s="100"/>
      <c r="B206" s="23"/>
      <c r="C206" s="31"/>
      <c r="D206" s="31"/>
    </row>
    <row r="207" spans="1:4" ht="20.25" x14ac:dyDescent="0.25">
      <c r="A207" s="100"/>
      <c r="B207" s="23"/>
      <c r="C207" s="31"/>
      <c r="D207" s="31"/>
    </row>
    <row r="208" spans="1:4" x14ac:dyDescent="0.25">
      <c r="A208" s="80"/>
      <c r="B208" s="23"/>
      <c r="C208" s="23"/>
      <c r="D208" s="23"/>
    </row>
    <row r="209" spans="1:8" ht="20.25" x14ac:dyDescent="0.25">
      <c r="A209" s="80"/>
      <c r="B209" s="27" t="s">
        <v>195</v>
      </c>
      <c r="C209" s="27" t="s">
        <v>196</v>
      </c>
      <c r="D209" s="30" t="s">
        <v>195</v>
      </c>
      <c r="E209" s="30" t="s">
        <v>196</v>
      </c>
    </row>
    <row r="210" spans="1:8" ht="21" x14ac:dyDescent="0.35">
      <c r="A210" s="80"/>
      <c r="B210" s="28" t="s">
        <v>197</v>
      </c>
      <c r="C210" s="28" t="s">
        <v>198</v>
      </c>
      <c r="D210" t="s">
        <v>197</v>
      </c>
      <c r="F210" t="str">
        <f>IF(NOT(ISBLANK(D210)),D210,IF(NOT(ISBLANK(E210)),"     "&amp;E210,FALSE))</f>
        <v>Afectación Económica o presupuestal</v>
      </c>
      <c r="G210" t="s">
        <v>197</v>
      </c>
      <c r="H210" t="str">
        <f>IF(NOT(ISERROR(MATCH(G210,_xlfn.ANCHORARRAY(B221),0))),F223&amp;"Por favor no seleccionar los criterios de impacto",G210)</f>
        <v>❌Por favor no seleccionar los criterios de impacto</v>
      </c>
    </row>
    <row r="211" spans="1:8" ht="21" x14ac:dyDescent="0.35">
      <c r="A211" s="80"/>
      <c r="B211" s="28" t="s">
        <v>197</v>
      </c>
      <c r="C211" s="28" t="s">
        <v>174</v>
      </c>
      <c r="E211" t="s">
        <v>198</v>
      </c>
      <c r="F211" t="str">
        <f t="shared" ref="F211:F221" si="0">IF(NOT(ISBLANK(D211)),D211,IF(NOT(ISBLANK(E211)),"     "&amp;E211,FALSE))</f>
        <v xml:space="preserve">     Afectación menor a 10 SMLMV .</v>
      </c>
    </row>
    <row r="212" spans="1:8" ht="21" x14ac:dyDescent="0.35">
      <c r="A212" s="80"/>
      <c r="B212" s="28" t="s">
        <v>197</v>
      </c>
      <c r="C212" s="28" t="s">
        <v>177</v>
      </c>
      <c r="E212" t="s">
        <v>174</v>
      </c>
      <c r="F212" t="str">
        <f t="shared" si="0"/>
        <v xml:space="preserve">     Entre 10 y 50 SMLMV </v>
      </c>
    </row>
    <row r="213" spans="1:8" ht="21" x14ac:dyDescent="0.35">
      <c r="A213" s="80"/>
      <c r="B213" s="28" t="s">
        <v>197</v>
      </c>
      <c r="C213" s="28" t="s">
        <v>181</v>
      </c>
      <c r="E213" t="s">
        <v>177</v>
      </c>
      <c r="F213" t="str">
        <f t="shared" si="0"/>
        <v xml:space="preserve">     Entre 50 y 100 SMLMV </v>
      </c>
    </row>
    <row r="214" spans="1:8" ht="21" x14ac:dyDescent="0.35">
      <c r="A214" s="80"/>
      <c r="B214" s="28" t="s">
        <v>197</v>
      </c>
      <c r="C214" s="28" t="s">
        <v>185</v>
      </c>
      <c r="E214" t="s">
        <v>181</v>
      </c>
      <c r="F214" t="str">
        <f t="shared" si="0"/>
        <v xml:space="preserve">     Entre 100 y 500 SMLMV </v>
      </c>
    </row>
    <row r="215" spans="1:8" ht="21" x14ac:dyDescent="0.35">
      <c r="A215" s="80"/>
      <c r="B215" s="28" t="s">
        <v>167</v>
      </c>
      <c r="C215" s="28" t="s">
        <v>171</v>
      </c>
      <c r="E215" t="s">
        <v>185</v>
      </c>
      <c r="F215" t="str">
        <f t="shared" si="0"/>
        <v xml:space="preserve">     Mayor a 500 SMLMV </v>
      </c>
    </row>
    <row r="216" spans="1:8" ht="21" x14ac:dyDescent="0.35">
      <c r="A216" s="80"/>
      <c r="B216" s="28" t="s">
        <v>167</v>
      </c>
      <c r="C216" s="28" t="s">
        <v>175</v>
      </c>
      <c r="D216" t="s">
        <v>167</v>
      </c>
      <c r="F216" t="str">
        <f t="shared" si="0"/>
        <v>Pérdida Reputacional</v>
      </c>
    </row>
    <row r="217" spans="1:8" ht="21" x14ac:dyDescent="0.35">
      <c r="A217" s="80"/>
      <c r="B217" s="28" t="s">
        <v>167</v>
      </c>
      <c r="C217" s="28" t="s">
        <v>178</v>
      </c>
      <c r="E217" t="s">
        <v>171</v>
      </c>
      <c r="F217" t="str">
        <f t="shared" si="0"/>
        <v xml:space="preserve">     El riesgo afecta la imagen de alguna área de la organización</v>
      </c>
    </row>
    <row r="218" spans="1:8" ht="21" x14ac:dyDescent="0.35">
      <c r="A218" s="80"/>
      <c r="B218" s="28" t="s">
        <v>167</v>
      </c>
      <c r="C218" s="28" t="s">
        <v>182</v>
      </c>
      <c r="E218" t="s">
        <v>175</v>
      </c>
      <c r="F218" t="str">
        <f t="shared" si="0"/>
        <v xml:space="preserve">     El riesgo afecta la imagen de la entidad internamente, de conocimiento general, nivel interno, de junta dircetiva y accionistas y/o de provedores</v>
      </c>
    </row>
    <row r="219" spans="1:8" ht="21" x14ac:dyDescent="0.35">
      <c r="A219" s="80"/>
      <c r="B219" s="28" t="s">
        <v>167</v>
      </c>
      <c r="C219" s="28" t="s">
        <v>186</v>
      </c>
      <c r="E219" t="s">
        <v>178</v>
      </c>
      <c r="F219" t="str">
        <f t="shared" si="0"/>
        <v xml:space="preserve">     El riesgo afecta la imagen de la entidad con algunos usuarios de relevancia frente al logro de los objetivos</v>
      </c>
    </row>
    <row r="220" spans="1:8" x14ac:dyDescent="0.25">
      <c r="A220" s="80"/>
      <c r="B220" s="29"/>
      <c r="C220" s="29"/>
      <c r="E220" t="s">
        <v>182</v>
      </c>
      <c r="F220" t="str">
        <f t="shared" si="0"/>
        <v xml:space="preserve">     El riesgo afecta la imagen de de la entidad con efecto publicitario sostenido a nivel de sector administrativo, nivel departamental o municipal</v>
      </c>
    </row>
    <row r="221" spans="1:8" x14ac:dyDescent="0.25">
      <c r="A221" s="80"/>
      <c r="B221" s="29" t="str" cm="1">
        <f t="array" ref="B221:B223">_xlfn.UNIQUE(Tabla1[[#All],[Criterios]])</f>
        <v>Criterios</v>
      </c>
      <c r="C221" s="29"/>
      <c r="E221" t="s">
        <v>186</v>
      </c>
      <c r="F221" t="str">
        <f t="shared" si="0"/>
        <v xml:space="preserve">     El riesgo afecta la imagen de la entidad a nivel nacional, con efecto publicitarios sostenible a nivel país</v>
      </c>
    </row>
    <row r="222" spans="1:8" x14ac:dyDescent="0.25">
      <c r="A222" s="80"/>
      <c r="B222" s="29" t="str">
        <v>Afectación Económica o presupuestal</v>
      </c>
      <c r="C222" s="29"/>
    </row>
    <row r="223" spans="1:8" x14ac:dyDescent="0.25">
      <c r="B223" s="29" t="str">
        <v>Pérdida Reputacional</v>
      </c>
      <c r="C223" s="29"/>
      <c r="F223" s="32" t="s">
        <v>199</v>
      </c>
    </row>
    <row r="224" spans="1:8" x14ac:dyDescent="0.25">
      <c r="B224" s="22"/>
      <c r="C224" s="22"/>
      <c r="F224" s="32" t="s">
        <v>200</v>
      </c>
    </row>
    <row r="225" spans="2:4" x14ac:dyDescent="0.25">
      <c r="B225" s="22"/>
      <c r="C225" s="22"/>
    </row>
    <row r="226" spans="2:4" x14ac:dyDescent="0.25">
      <c r="B226" s="22"/>
      <c r="C226" s="22"/>
    </row>
    <row r="227" spans="2:4" x14ac:dyDescent="0.25">
      <c r="B227" s="22"/>
      <c r="C227" s="22"/>
      <c r="D227" s="22"/>
    </row>
    <row r="228" spans="2:4" x14ac:dyDescent="0.25">
      <c r="B228" s="22"/>
      <c r="C228" s="22"/>
      <c r="D228" s="22"/>
    </row>
    <row r="229" spans="2:4" x14ac:dyDescent="0.25">
      <c r="B229" s="22"/>
      <c r="C229" s="22"/>
      <c r="D229" s="22"/>
    </row>
    <row r="230" spans="2:4" x14ac:dyDescent="0.25">
      <c r="B230" s="22"/>
      <c r="C230" s="22"/>
      <c r="D230" s="22"/>
    </row>
    <row r="231" spans="2:4" x14ac:dyDescent="0.25">
      <c r="B231" s="22"/>
      <c r="C231" s="22"/>
      <c r="D231" s="22"/>
    </row>
    <row r="232" spans="2:4" x14ac:dyDescent="0.25">
      <c r="B232" s="22"/>
      <c r="C232" s="22"/>
      <c r="D232" s="22"/>
    </row>
  </sheetData>
  <mergeCells count="1">
    <mergeCell ref="B1:D1"/>
  </mergeCells>
  <dataValidations disablePrompts="1" count="1">
    <dataValidation type="list" allowBlank="1" showInputMessage="1" showErrorMessage="1" sqref="G210" xr:uid="{00000000-0002-0000-0500-000000000000}">
      <formula1>$F$210:$F$221</formula1>
    </dataValidation>
  </dataValidations>
  <pageMargins left="0.7" right="0.7" top="0.75" bottom="0.75" header="0.3" footer="0.3"/>
  <pageSetup orientation="portrait"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16"/>
  <sheetViews>
    <sheetView workbookViewId="0"/>
  </sheetViews>
  <sheetFormatPr baseColWidth="10" defaultColWidth="14.28515625" defaultRowHeight="12.75" x14ac:dyDescent="0.2"/>
  <cols>
    <col min="1" max="2" width="14.28515625" style="85"/>
    <col min="3" max="3" width="17" style="85" customWidth="1"/>
    <col min="4" max="4" width="14.28515625" style="85"/>
    <col min="5" max="5" width="46" style="85" customWidth="1"/>
    <col min="6" max="16384" width="14.28515625" style="85"/>
  </cols>
  <sheetData>
    <row r="1" spans="2:6" ht="24" customHeight="1" thickBot="1" x14ac:dyDescent="0.25">
      <c r="B1" s="491" t="s">
        <v>201</v>
      </c>
      <c r="C1" s="492"/>
      <c r="D1" s="492"/>
      <c r="E1" s="492"/>
      <c r="F1" s="493"/>
    </row>
    <row r="2" spans="2:6" ht="16.5" thickBot="1" x14ac:dyDescent="0.3">
      <c r="B2" s="86"/>
      <c r="C2" s="86"/>
      <c r="D2" s="86"/>
      <c r="E2" s="86"/>
      <c r="F2" s="86"/>
    </row>
    <row r="3" spans="2:6" ht="16.5" thickBot="1" x14ac:dyDescent="0.25">
      <c r="B3" s="495" t="s">
        <v>202</v>
      </c>
      <c r="C3" s="496"/>
      <c r="D3" s="496"/>
      <c r="E3" s="98" t="s">
        <v>203</v>
      </c>
      <c r="F3" s="99" t="s">
        <v>204</v>
      </c>
    </row>
    <row r="4" spans="2:6" ht="31.5" x14ac:dyDescent="0.2">
      <c r="B4" s="497" t="s">
        <v>205</v>
      </c>
      <c r="C4" s="499" t="s">
        <v>92</v>
      </c>
      <c r="D4" s="87" t="s">
        <v>117</v>
      </c>
      <c r="E4" s="88" t="s">
        <v>206</v>
      </c>
      <c r="F4" s="89">
        <v>0.25</v>
      </c>
    </row>
    <row r="5" spans="2:6" ht="47.25" x14ac:dyDescent="0.2">
      <c r="B5" s="498"/>
      <c r="C5" s="500"/>
      <c r="D5" s="90" t="s">
        <v>207</v>
      </c>
      <c r="E5" s="91" t="s">
        <v>208</v>
      </c>
      <c r="F5" s="92">
        <v>0.15</v>
      </c>
    </row>
    <row r="6" spans="2:6" ht="47.25" x14ac:dyDescent="0.2">
      <c r="B6" s="498"/>
      <c r="C6" s="500"/>
      <c r="D6" s="90" t="s">
        <v>106</v>
      </c>
      <c r="E6" s="91" t="s">
        <v>209</v>
      </c>
      <c r="F6" s="92">
        <v>0.1</v>
      </c>
    </row>
    <row r="7" spans="2:6" ht="63" x14ac:dyDescent="0.2">
      <c r="B7" s="498"/>
      <c r="C7" s="500" t="s">
        <v>93</v>
      </c>
      <c r="D7" s="90" t="s">
        <v>130</v>
      </c>
      <c r="E7" s="91" t="s">
        <v>210</v>
      </c>
      <c r="F7" s="92">
        <v>0.25</v>
      </c>
    </row>
    <row r="8" spans="2:6" ht="31.5" x14ac:dyDescent="0.2">
      <c r="B8" s="498"/>
      <c r="C8" s="500"/>
      <c r="D8" s="90" t="s">
        <v>107</v>
      </c>
      <c r="E8" s="91" t="s">
        <v>211</v>
      </c>
      <c r="F8" s="92">
        <v>0.15</v>
      </c>
    </row>
    <row r="9" spans="2:6" ht="47.25" x14ac:dyDescent="0.2">
      <c r="B9" s="498" t="s">
        <v>212</v>
      </c>
      <c r="C9" s="500" t="s">
        <v>95</v>
      </c>
      <c r="D9" s="90" t="s">
        <v>108</v>
      </c>
      <c r="E9" s="91" t="s">
        <v>213</v>
      </c>
      <c r="F9" s="93" t="s">
        <v>214</v>
      </c>
    </row>
    <row r="10" spans="2:6" ht="63" x14ac:dyDescent="0.2">
      <c r="B10" s="498"/>
      <c r="C10" s="500"/>
      <c r="D10" s="90" t="s">
        <v>215</v>
      </c>
      <c r="E10" s="91" t="s">
        <v>216</v>
      </c>
      <c r="F10" s="93" t="s">
        <v>214</v>
      </c>
    </row>
    <row r="11" spans="2:6" ht="47.25" x14ac:dyDescent="0.2">
      <c r="B11" s="498"/>
      <c r="C11" s="500" t="s">
        <v>96</v>
      </c>
      <c r="D11" s="90" t="s">
        <v>109</v>
      </c>
      <c r="E11" s="91" t="s">
        <v>217</v>
      </c>
      <c r="F11" s="93" t="s">
        <v>214</v>
      </c>
    </row>
    <row r="12" spans="2:6" ht="47.25" x14ac:dyDescent="0.2">
      <c r="B12" s="498"/>
      <c r="C12" s="500"/>
      <c r="D12" s="90" t="s">
        <v>218</v>
      </c>
      <c r="E12" s="91" t="s">
        <v>219</v>
      </c>
      <c r="F12" s="93" t="s">
        <v>214</v>
      </c>
    </row>
    <row r="13" spans="2:6" ht="31.5" x14ac:dyDescent="0.2">
      <c r="B13" s="498"/>
      <c r="C13" s="500" t="s">
        <v>97</v>
      </c>
      <c r="D13" s="90" t="s">
        <v>110</v>
      </c>
      <c r="E13" s="91" t="s">
        <v>220</v>
      </c>
      <c r="F13" s="93" t="s">
        <v>214</v>
      </c>
    </row>
    <row r="14" spans="2:6" ht="32.25" thickBot="1" x14ac:dyDescent="0.25">
      <c r="B14" s="501"/>
      <c r="C14" s="502"/>
      <c r="D14" s="94" t="s">
        <v>221</v>
      </c>
      <c r="E14" s="95" t="s">
        <v>222</v>
      </c>
      <c r="F14" s="96" t="s">
        <v>214</v>
      </c>
    </row>
    <row r="15" spans="2:6" ht="49.5" customHeight="1" x14ac:dyDescent="0.2">
      <c r="B15" s="494" t="s">
        <v>223</v>
      </c>
      <c r="C15" s="494"/>
      <c r="D15" s="494"/>
      <c r="E15" s="494"/>
      <c r="F15" s="494"/>
    </row>
    <row r="16" spans="2:6" ht="27" customHeight="1" x14ac:dyDescent="0.25">
      <c r="B16" s="97"/>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2"/>
  <sheetViews>
    <sheetView showGridLines="0" view="pageBreakPreview" zoomScaleNormal="100" zoomScaleSheetLayoutView="100" workbookViewId="0">
      <selection activeCell="G8" sqref="G8"/>
    </sheetView>
  </sheetViews>
  <sheetFormatPr baseColWidth="10" defaultColWidth="10.85546875" defaultRowHeight="15.75" x14ac:dyDescent="0.25"/>
  <cols>
    <col min="1" max="1" width="2.42578125" style="193" customWidth="1"/>
    <col min="2" max="2" width="19.7109375" style="193" customWidth="1"/>
    <col min="3" max="3" width="50" style="193" customWidth="1"/>
    <col min="4" max="4" width="16.42578125" style="193" customWidth="1"/>
    <col min="5" max="5" width="2.42578125" style="168" customWidth="1"/>
    <col min="6" max="16384" width="10.85546875" style="168"/>
  </cols>
  <sheetData>
    <row r="1" spans="1:5" ht="16.5" thickBot="1" x14ac:dyDescent="0.3">
      <c r="A1" s="165"/>
      <c r="B1" s="166"/>
      <c r="C1" s="166"/>
      <c r="D1" s="166"/>
      <c r="E1" s="167"/>
    </row>
    <row r="2" spans="1:5" ht="24" customHeight="1" thickBot="1" x14ac:dyDescent="0.3">
      <c r="A2" s="169"/>
      <c r="B2" s="509" t="s">
        <v>270</v>
      </c>
      <c r="C2" s="510"/>
      <c r="D2" s="511"/>
      <c r="E2" s="170"/>
    </row>
    <row r="3" spans="1:5" ht="96.75" customHeight="1" thickBot="1" x14ac:dyDescent="0.3">
      <c r="A3" s="171"/>
      <c r="B3" s="512" t="s">
        <v>271</v>
      </c>
      <c r="C3" s="512"/>
      <c r="D3" s="512"/>
      <c r="E3" s="170"/>
    </row>
    <row r="4" spans="1:5" ht="24.75" customHeight="1" thickBot="1" x14ac:dyDescent="0.3">
      <c r="A4" s="171"/>
      <c r="B4" s="513" t="s">
        <v>272</v>
      </c>
      <c r="C4" s="514"/>
      <c r="D4" s="515"/>
      <c r="E4" s="170"/>
    </row>
    <row r="5" spans="1:5" ht="46.5" customHeight="1" x14ac:dyDescent="0.25">
      <c r="A5" s="171"/>
      <c r="B5" s="516" t="s">
        <v>273</v>
      </c>
      <c r="C5" s="516"/>
      <c r="D5" s="516"/>
      <c r="E5" s="170"/>
    </row>
    <row r="6" spans="1:5" ht="24" customHeight="1" x14ac:dyDescent="0.25">
      <c r="A6" s="171"/>
      <c r="B6" s="172"/>
      <c r="C6" s="173"/>
      <c r="D6" s="174"/>
      <c r="E6" s="170"/>
    </row>
    <row r="7" spans="1:5" ht="24" customHeight="1" x14ac:dyDescent="0.25">
      <c r="A7" s="171"/>
      <c r="B7" s="517" t="s">
        <v>274</v>
      </c>
      <c r="C7" s="517"/>
      <c r="D7" s="517"/>
      <c r="E7" s="170"/>
    </row>
    <row r="8" spans="1:5" ht="63.75" customHeight="1" x14ac:dyDescent="0.25">
      <c r="A8" s="171"/>
      <c r="B8" s="175" t="s">
        <v>275</v>
      </c>
      <c r="C8" s="176" t="s">
        <v>276</v>
      </c>
      <c r="D8" s="176" t="s">
        <v>277</v>
      </c>
      <c r="E8" s="170"/>
    </row>
    <row r="9" spans="1:5" ht="90" customHeight="1" x14ac:dyDescent="0.25">
      <c r="A9" s="171"/>
      <c r="B9" s="177" t="s">
        <v>278</v>
      </c>
      <c r="C9" s="178" t="s">
        <v>279</v>
      </c>
      <c r="D9" s="179" t="s">
        <v>280</v>
      </c>
      <c r="E9" s="170"/>
    </row>
    <row r="10" spans="1:5" ht="75" customHeight="1" x14ac:dyDescent="0.25">
      <c r="A10" s="171"/>
      <c r="B10" s="180" t="s">
        <v>281</v>
      </c>
      <c r="C10" s="181" t="s">
        <v>282</v>
      </c>
      <c r="D10" s="181" t="s">
        <v>283</v>
      </c>
      <c r="E10" s="170"/>
    </row>
    <row r="11" spans="1:5" ht="63.75" customHeight="1" x14ac:dyDescent="0.25">
      <c r="A11" s="171"/>
      <c r="B11" s="182" t="s">
        <v>145</v>
      </c>
      <c r="C11" s="183" t="s">
        <v>284</v>
      </c>
      <c r="D11" s="183" t="s">
        <v>285</v>
      </c>
      <c r="E11" s="170"/>
    </row>
    <row r="12" spans="1:5" ht="29.25" customHeight="1" x14ac:dyDescent="0.25">
      <c r="A12" s="171"/>
      <c r="B12" s="184"/>
      <c r="C12" s="184"/>
      <c r="D12" s="184"/>
      <c r="E12" s="170"/>
    </row>
    <row r="13" spans="1:5" ht="29.25" customHeight="1" x14ac:dyDescent="0.25">
      <c r="A13" s="171"/>
      <c r="B13" s="518" t="s">
        <v>286</v>
      </c>
      <c r="C13" s="519"/>
      <c r="D13" s="519"/>
      <c r="E13" s="170"/>
    </row>
    <row r="14" spans="1:5" ht="32.25" customHeight="1" x14ac:dyDescent="0.25">
      <c r="A14" s="171"/>
      <c r="B14" s="185" t="s">
        <v>287</v>
      </c>
      <c r="C14" s="186" t="s">
        <v>203</v>
      </c>
      <c r="D14" s="186" t="s">
        <v>288</v>
      </c>
      <c r="E14" s="170"/>
    </row>
    <row r="15" spans="1:5" ht="56.25" customHeight="1" x14ac:dyDescent="0.25">
      <c r="A15" s="171"/>
      <c r="B15" s="187" t="s">
        <v>289</v>
      </c>
      <c r="C15" s="188" t="s">
        <v>290</v>
      </c>
      <c r="D15" s="187" t="s">
        <v>291</v>
      </c>
      <c r="E15" s="170"/>
    </row>
    <row r="16" spans="1:5" ht="48" customHeight="1" x14ac:dyDescent="0.25">
      <c r="A16" s="171"/>
      <c r="B16" s="189" t="s">
        <v>292</v>
      </c>
      <c r="C16" s="190" t="s">
        <v>293</v>
      </c>
      <c r="D16" s="189" t="s">
        <v>294</v>
      </c>
      <c r="E16" s="170"/>
    </row>
    <row r="17" spans="1:5" ht="49.5" customHeight="1" x14ac:dyDescent="0.25">
      <c r="A17" s="171"/>
      <c r="B17" s="191" t="s">
        <v>295</v>
      </c>
      <c r="C17" s="192" t="s">
        <v>296</v>
      </c>
      <c r="D17" s="191" t="s">
        <v>297</v>
      </c>
      <c r="E17" s="170"/>
    </row>
    <row r="18" spans="1:5" x14ac:dyDescent="0.25">
      <c r="A18" s="171"/>
      <c r="B18" s="184"/>
      <c r="C18" s="184"/>
      <c r="D18" s="184"/>
      <c r="E18" s="170"/>
    </row>
    <row r="19" spans="1:5" ht="16.5" thickBot="1" x14ac:dyDescent="0.3">
      <c r="A19" s="171"/>
      <c r="B19" s="184"/>
      <c r="D19" s="184"/>
      <c r="E19" s="170"/>
    </row>
    <row r="20" spans="1:5" ht="16.5" thickBot="1" x14ac:dyDescent="0.3">
      <c r="A20" s="171"/>
      <c r="B20" s="503" t="s">
        <v>298</v>
      </c>
      <c r="C20" s="504"/>
      <c r="D20" s="505"/>
      <c r="E20" s="170"/>
    </row>
    <row r="21" spans="1:5" ht="62.25" customHeight="1" x14ac:dyDescent="0.25">
      <c r="A21" s="171"/>
      <c r="B21" s="506" t="s">
        <v>299</v>
      </c>
      <c r="C21" s="507"/>
      <c r="D21" s="508"/>
      <c r="E21" s="170"/>
    </row>
    <row r="22" spans="1:5" ht="16.5" thickBot="1" x14ac:dyDescent="0.3">
      <c r="A22" s="194"/>
      <c r="B22" s="195"/>
      <c r="C22" s="195"/>
      <c r="D22" s="195"/>
      <c r="E22" s="196"/>
    </row>
  </sheetData>
  <mergeCells count="8">
    <mergeCell ref="B20:D20"/>
    <mergeCell ref="B21:D21"/>
    <mergeCell ref="B2:D2"/>
    <mergeCell ref="B3:D3"/>
    <mergeCell ref="B4:D4"/>
    <mergeCell ref="B5:D5"/>
    <mergeCell ref="B7:D7"/>
    <mergeCell ref="B13:D13"/>
  </mergeCells>
  <pageMargins left="0.75" right="0.75" top="1" bottom="1" header="0.5" footer="0.5"/>
  <pageSetup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E19"/>
  <sheetViews>
    <sheetView topLeftCell="A4" workbookViewId="0">
      <selection activeCell="B13" sqref="B13:B19"/>
    </sheetView>
  </sheetViews>
  <sheetFormatPr baseColWidth="10" defaultColWidth="11.42578125" defaultRowHeight="15" x14ac:dyDescent="0.25"/>
  <sheetData>
    <row r="2" spans="2:5" x14ac:dyDescent="0.25">
      <c r="B2" t="s">
        <v>224</v>
      </c>
      <c r="E2" t="s">
        <v>126</v>
      </c>
    </row>
    <row r="3" spans="2:5" x14ac:dyDescent="0.25">
      <c r="B3" t="s">
        <v>225</v>
      </c>
      <c r="E3" t="s">
        <v>226</v>
      </c>
    </row>
    <row r="4" spans="2:5" x14ac:dyDescent="0.25">
      <c r="B4" t="s">
        <v>227</v>
      </c>
      <c r="E4" t="s">
        <v>99</v>
      </c>
    </row>
    <row r="5" spans="2:5" x14ac:dyDescent="0.25">
      <c r="B5" t="s">
        <v>111</v>
      </c>
    </row>
    <row r="8" spans="2:5" x14ac:dyDescent="0.25">
      <c r="B8" t="s">
        <v>228</v>
      </c>
    </row>
    <row r="9" spans="2:5" x14ac:dyDescent="0.25">
      <c r="B9" t="s">
        <v>229</v>
      </c>
    </row>
    <row r="10" spans="2:5" x14ac:dyDescent="0.25">
      <c r="B10" t="s">
        <v>230</v>
      </c>
    </row>
    <row r="13" spans="2:5" x14ac:dyDescent="0.25">
      <c r="B13" t="s">
        <v>231</v>
      </c>
    </row>
    <row r="14" spans="2:5" x14ac:dyDescent="0.25">
      <c r="B14" t="s">
        <v>103</v>
      </c>
    </row>
    <row r="15" spans="2:5" x14ac:dyDescent="0.25">
      <c r="B15" t="s">
        <v>232</v>
      </c>
    </row>
    <row r="16" spans="2:5" x14ac:dyDescent="0.25">
      <c r="B16" t="s">
        <v>233</v>
      </c>
    </row>
    <row r="17" spans="2:2" x14ac:dyDescent="0.25">
      <c r="B17" t="s">
        <v>234</v>
      </c>
    </row>
    <row r="18" spans="2:2" x14ac:dyDescent="0.25">
      <c r="B18" t="s">
        <v>235</v>
      </c>
    </row>
    <row r="19" spans="2:2" x14ac:dyDescent="0.25">
      <c r="B19" t="s">
        <v>236</v>
      </c>
    </row>
  </sheetData>
  <sortState xmlns:xlrd2="http://schemas.microsoft.com/office/spreadsheetml/2017/richdata2" ref="B2:B5">
    <sortCondition ref="B2:B5"/>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3:A21"/>
  <sheetViews>
    <sheetView workbookViewId="0">
      <selection activeCell="A19" sqref="A19"/>
    </sheetView>
  </sheetViews>
  <sheetFormatPr baseColWidth="10" defaultColWidth="11.42578125" defaultRowHeight="12.75" x14ac:dyDescent="0.2"/>
  <cols>
    <col min="1" max="1" width="32.85546875" style="9" customWidth="1"/>
    <col min="2" max="16384" width="11.42578125" style="9"/>
  </cols>
  <sheetData>
    <row r="3" spans="1:1" x14ac:dyDescent="0.2">
      <c r="A3" s="10" t="s">
        <v>117</v>
      </c>
    </row>
    <row r="4" spans="1:1" x14ac:dyDescent="0.2">
      <c r="A4" s="10" t="s">
        <v>207</v>
      </c>
    </row>
    <row r="5" spans="1:1" x14ac:dyDescent="0.2">
      <c r="A5" s="10" t="s">
        <v>106</v>
      </c>
    </row>
    <row r="6" spans="1:1" x14ac:dyDescent="0.2">
      <c r="A6" s="10" t="s">
        <v>130</v>
      </c>
    </row>
    <row r="7" spans="1:1" x14ac:dyDescent="0.2">
      <c r="A7" s="10" t="s">
        <v>107</v>
      </c>
    </row>
    <row r="8" spans="1:1" x14ac:dyDescent="0.2">
      <c r="A8" s="10" t="s">
        <v>108</v>
      </c>
    </row>
    <row r="9" spans="1:1" x14ac:dyDescent="0.2">
      <c r="A9" s="10" t="s">
        <v>215</v>
      </c>
    </row>
    <row r="10" spans="1:1" x14ac:dyDescent="0.2">
      <c r="A10" s="10" t="s">
        <v>109</v>
      </c>
    </row>
    <row r="11" spans="1:1" x14ac:dyDescent="0.2">
      <c r="A11" s="10" t="s">
        <v>218</v>
      </c>
    </row>
    <row r="12" spans="1:1" x14ac:dyDescent="0.2">
      <c r="A12" s="10" t="s">
        <v>237</v>
      </c>
    </row>
    <row r="13" spans="1:1" x14ac:dyDescent="0.2">
      <c r="A13" s="10" t="s">
        <v>238</v>
      </c>
    </row>
    <row r="14" spans="1:1" x14ac:dyDescent="0.2">
      <c r="A14" s="10" t="s">
        <v>239</v>
      </c>
    </row>
    <row r="16" spans="1:1" x14ac:dyDescent="0.2">
      <c r="A16" s="10" t="s">
        <v>240</v>
      </c>
    </row>
    <row r="17" spans="1:1" x14ac:dyDescent="0.2">
      <c r="A17" s="10" t="s">
        <v>224</v>
      </c>
    </row>
    <row r="18" spans="1:1" x14ac:dyDescent="0.2">
      <c r="A18" s="10" t="s">
        <v>225</v>
      </c>
    </row>
    <row r="20" spans="1:1" x14ac:dyDescent="0.2">
      <c r="A20" s="10" t="s">
        <v>229</v>
      </c>
    </row>
    <row r="21" spans="1:1" x14ac:dyDescent="0.2">
      <c r="A21" s="10" t="s">
        <v>230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Intructivo</vt:lpstr>
      <vt:lpstr>Mapa final</vt:lpstr>
      <vt:lpstr>Matriz Calor Inherente</vt:lpstr>
      <vt:lpstr>Matriz Calor Residual</vt:lpstr>
      <vt:lpstr>Tabla probabilidad</vt:lpstr>
      <vt:lpstr>Tabla Impacto</vt:lpstr>
      <vt:lpstr>Tabla Valoración controles</vt:lpstr>
      <vt:lpstr>Valoración_Evaluación Oportunid</vt:lpstr>
      <vt:lpstr>Opciones Tratamiento</vt:lpstr>
      <vt:lpstr>Hoja1</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Planeación Corpocesar</cp:lastModifiedBy>
  <cp:revision/>
  <dcterms:created xsi:type="dcterms:W3CDTF">2020-03-24T23:12:47Z</dcterms:created>
  <dcterms:modified xsi:type="dcterms:W3CDTF">2026-04-13T16:53:36Z</dcterms:modified>
  <cp:category/>
  <cp:contentStatus/>
</cp:coreProperties>
</file>