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laneacion-OCAD\Documents\PLANEACION 2020 - 2\INFORMES DE GESTIÓN 2020\Informe de Gestión II Sem\"/>
    </mc:Choice>
  </mc:AlternateContent>
  <bookViews>
    <workbookView xWindow="0" yWindow="0" windowWidth="21570" windowHeight="9180" tabRatio="750"/>
  </bookViews>
  <sheets>
    <sheet name="TABLA 7 ESTRUCTURA PROGRAMÁTICA" sheetId="2" r:id="rId1"/>
    <sheet name="TABLA 7a EJEMPLO PONDERACIONES" sheetId="11" state="hidden" r:id="rId2"/>
    <sheet name="ANEXO 1. MATRIZ DE SEGUIMIENTO" sheetId="7" r:id="rId3"/>
    <sheet name="ANEXO 5-1 INGRESOS" sheetId="9" state="hidden" r:id="rId4"/>
    <sheet name="Anexo 5-2 Gastos" sheetId="31" state="hidden" r:id="rId5"/>
    <sheet name="graficos" sheetId="32" state="hidden" r:id="rId6"/>
    <sheet name="Hoja2" sheetId="30" state="hidden" r:id="rId7"/>
    <sheet name="GASTOS RCC" sheetId="23" state="hidden" r:id="rId8"/>
    <sheet name="Hoja1" sheetId="29" state="hidden" r:id="rId9"/>
    <sheet name="Avance Metas RAE 2014" sheetId="28" state="hidden" r:id="rId10"/>
    <sheet name="Avance Metas RCC 2014" sheetId="26" state="hidden" r:id="rId11"/>
    <sheet name="Hoja3" sheetId="27" state="hidden" r:id="rId12"/>
    <sheet name="ANEXO 3. SIGOB" sheetId="3" state="hidden" r:id="rId13"/>
    <sheet name="P1" sheetId="12" state="hidden" r:id="rId14"/>
    <sheet name="P2" sheetId="13" state="hidden" r:id="rId15"/>
    <sheet name="P3" sheetId="14" state="hidden" r:id="rId16"/>
    <sheet name="P4" sheetId="15" state="hidden" r:id="rId17"/>
    <sheet name="P5" sheetId="16" state="hidden" r:id="rId18"/>
    <sheet name="P6" sheetId="17" state="hidden" r:id="rId19"/>
    <sheet name="P7" sheetId="18" state="hidden" r:id="rId20"/>
    <sheet name="Gráficos" sheetId="19" state="hidden" r:id="rId21"/>
  </sheets>
  <externalReferences>
    <externalReference r:id="rId22"/>
    <externalReference r:id="rId23"/>
  </externalReferences>
  <definedNames>
    <definedName name="_Toc239512525" localSheetId="0">'TABLA 7 ESTRUCTURA PROGRAMÁTICA'!$A$1</definedName>
    <definedName name="_xlnm.Print_Area" localSheetId="3">'ANEXO 5-1 INGRESOS'!$A$1:$E$57</definedName>
    <definedName name="_xlnm.Print_Area" localSheetId="10">'Avance Metas RCC 2014'!$A$1:$E$38</definedName>
    <definedName name="_xlnm.Print_Area" localSheetId="7">'GASTOS RCC'!$A$1:$H$28</definedName>
    <definedName name="_xlnm.Print_Area" localSheetId="13">'P1'!$A$1:$K$19</definedName>
    <definedName name="_xlnm.Print_Area" localSheetId="14">'P2'!$A$1:$K$38</definedName>
    <definedName name="_xlnm.Print_Area" localSheetId="15">'P3'!$A$1:$K$23</definedName>
    <definedName name="_xlnm.Print_Area" localSheetId="17">'P5'!$A$1:$K$38</definedName>
    <definedName name="_xlnm.Print_Area" localSheetId="18">'P6'!$A$1:$K$23</definedName>
    <definedName name="_xlnm.Print_Area" localSheetId="19">'P7'!$A$1:$K$25</definedName>
    <definedName name="_xlnm.Print_Area" localSheetId="0">'TABLA 7 ESTRUCTURA PROGRAMÁTICA'!$A$1:$K$210</definedName>
    <definedName name="_xlnm.Print_Titles" localSheetId="2">'ANEXO 1. MATRIZ DE SEGUIMIENTO'!$5:$6</definedName>
    <definedName name="_xlnm.Print_Titles" localSheetId="3">'ANEXO 5-1 INGRESOS'!$7:$9</definedName>
    <definedName name="_xlnm.Print_Titles" localSheetId="9">'Avance Metas RAE 2014'!$1:$1</definedName>
    <definedName name="_xlnm.Print_Titles" localSheetId="10">'Avance Metas RCC 2014'!$3:$3</definedName>
    <definedName name="_xlnm.Print_Titles" localSheetId="7">'GASTOS RCC'!$1:$6</definedName>
    <definedName name="_xlnm.Print_Titles" localSheetId="13">'P1'!$1:$4</definedName>
    <definedName name="_xlnm.Print_Titles" localSheetId="14">'P2'!$1:$4</definedName>
    <definedName name="_xlnm.Print_Titles" localSheetId="15">'P3'!$1:$4</definedName>
    <definedName name="_xlnm.Print_Titles" localSheetId="16">'P4'!$1:$4</definedName>
    <definedName name="_xlnm.Print_Titles" localSheetId="17">'P5'!$1:$4</definedName>
    <definedName name="_xlnm.Print_Titles" localSheetId="18">'P6'!$1:$4</definedName>
    <definedName name="_xlnm.Print_Titles" localSheetId="19">'P7'!$1:$4</definedName>
    <definedName name="_xlnm.Print_Titles" localSheetId="0">'TABLA 7 ESTRUCTURA PROGRAMÁTICA'!$5:$7</definedName>
  </definedNames>
  <calcPr calcId="162913"/>
  <fileRecoveryPr autoRecover="0"/>
</workbook>
</file>

<file path=xl/calcChain.xml><?xml version="1.0" encoding="utf-8"?>
<calcChain xmlns="http://schemas.openxmlformats.org/spreadsheetml/2006/main">
  <c r="A194" i="7" l="1"/>
  <c r="P238" i="7" l="1"/>
  <c r="P225" i="7"/>
  <c r="P210" i="7"/>
  <c r="P35" i="7" l="1"/>
  <c r="O35" i="7"/>
  <c r="P23" i="7"/>
  <c r="O23" i="7"/>
  <c r="O112" i="7"/>
  <c r="O67" i="7"/>
  <c r="P60" i="7"/>
  <c r="O60" i="7"/>
  <c r="P264" i="7" l="1"/>
  <c r="P248" i="7"/>
  <c r="O248" i="7"/>
  <c r="O238" i="7"/>
  <c r="P194" i="7"/>
  <c r="P179" i="7"/>
  <c r="P165" i="7"/>
  <c r="P152" i="7"/>
  <c r="P112" i="7"/>
  <c r="P80" i="7"/>
  <c r="P42" i="7"/>
  <c r="E217" i="7" l="1"/>
  <c r="A100" i="7" l="1"/>
  <c r="H43" i="7" l="1"/>
  <c r="C234" i="7"/>
  <c r="C233" i="7"/>
  <c r="C232" i="7"/>
  <c r="C231" i="7"/>
  <c r="C230" i="7"/>
  <c r="C228" i="7" l="1"/>
  <c r="G240" i="7"/>
  <c r="G239" i="7"/>
  <c r="B221" i="7" l="1"/>
  <c r="C218" i="7"/>
  <c r="C219" i="7"/>
  <c r="C220" i="7"/>
  <c r="C221" i="7"/>
  <c r="C266" i="7" l="1"/>
  <c r="C267" i="7"/>
  <c r="C265" i="7"/>
  <c r="C264" i="7"/>
  <c r="C258" i="7"/>
  <c r="C259" i="7"/>
  <c r="C260" i="7"/>
  <c r="C257" i="7"/>
  <c r="C253" i="7"/>
  <c r="C249" i="7"/>
  <c r="C250" i="7"/>
  <c r="C251" i="7"/>
  <c r="C252" i="7"/>
  <c r="C248" i="7"/>
  <c r="C241" i="7"/>
  <c r="C242" i="7"/>
  <c r="C243" i="7"/>
  <c r="C244" i="7"/>
  <c r="C239" i="7"/>
  <c r="C240" i="7"/>
  <c r="C238" i="7"/>
  <c r="C229" i="7"/>
  <c r="C226" i="7"/>
  <c r="C227" i="7"/>
  <c r="C225" i="7"/>
  <c r="C216" i="7"/>
  <c r="C217" i="7"/>
  <c r="C214" i="7"/>
  <c r="C215" i="7"/>
  <c r="C211" i="7"/>
  <c r="C212" i="7"/>
  <c r="C213" i="7"/>
  <c r="C210" i="7"/>
  <c r="C205" i="7"/>
  <c r="C206" i="7"/>
  <c r="C204" i="7"/>
  <c r="C199" i="7"/>
  <c r="C200" i="7"/>
  <c r="C196" i="7"/>
  <c r="C197" i="7"/>
  <c r="C198" i="7"/>
  <c r="C195" i="7"/>
  <c r="C194" i="7"/>
  <c r="C189" i="7"/>
  <c r="C190" i="7"/>
  <c r="C188" i="7"/>
  <c r="C183" i="7"/>
  <c r="C184" i="7"/>
  <c r="C180" i="7"/>
  <c r="C181" i="7"/>
  <c r="C182" i="7"/>
  <c r="C179" i="7"/>
  <c r="C175" i="7"/>
  <c r="C172" i="7"/>
  <c r="C173" i="7"/>
  <c r="C174" i="7"/>
  <c r="C171" i="7"/>
  <c r="C166" i="7"/>
  <c r="C167" i="7"/>
  <c r="C165" i="7"/>
  <c r="C161" i="7"/>
  <c r="C158" i="7"/>
  <c r="C159" i="7"/>
  <c r="C160" i="7"/>
  <c r="C153" i="7"/>
  <c r="C154" i="7"/>
  <c r="C155" i="7"/>
  <c r="C156" i="7"/>
  <c r="C157" i="7"/>
  <c r="C152" i="7"/>
  <c r="C146" i="7"/>
  <c r="C147" i="7"/>
  <c r="C148" i="7"/>
  <c r="C145" i="7"/>
  <c r="C141" i="7"/>
  <c r="C135" i="7"/>
  <c r="C136" i="7"/>
  <c r="C137" i="7"/>
  <c r="C138" i="7"/>
  <c r="C139" i="7"/>
  <c r="C140" i="7"/>
  <c r="C134" i="7"/>
  <c r="C130" i="7"/>
  <c r="C125" i="7"/>
  <c r="C126" i="7"/>
  <c r="C127" i="7"/>
  <c r="C128" i="7"/>
  <c r="C129" i="7"/>
  <c r="C124" i="7"/>
  <c r="C116" i="7"/>
  <c r="C117" i="7"/>
  <c r="C118" i="7"/>
  <c r="C119" i="7"/>
  <c r="C120" i="7"/>
  <c r="C113" i="7"/>
  <c r="C114" i="7"/>
  <c r="C115" i="7"/>
  <c r="C112" i="7"/>
  <c r="C107" i="7"/>
  <c r="C108" i="7"/>
  <c r="C105" i="7"/>
  <c r="C106" i="7"/>
  <c r="C104" i="7"/>
  <c r="C100" i="7"/>
  <c r="C97" i="7"/>
  <c r="C98" i="7"/>
  <c r="C99" i="7"/>
  <c r="C96" i="7"/>
  <c r="C89" i="7"/>
  <c r="C90" i="7"/>
  <c r="C91" i="7"/>
  <c r="C92" i="7"/>
  <c r="C87" i="7"/>
  <c r="C88" i="7"/>
  <c r="C86" i="7"/>
  <c r="C81" i="7"/>
  <c r="C82" i="7"/>
  <c r="C80" i="7"/>
  <c r="C70" i="7"/>
  <c r="C68" i="7"/>
  <c r="C69" i="7"/>
  <c r="C67" i="7"/>
  <c r="C61" i="7"/>
  <c r="C62" i="7"/>
  <c r="C63" i="7"/>
  <c r="C60" i="7"/>
  <c r="C43" i="7" l="1"/>
  <c r="C44" i="7"/>
  <c r="C45" i="7"/>
  <c r="C46" i="7"/>
  <c r="C47" i="7"/>
  <c r="C48" i="7"/>
  <c r="C49" i="7"/>
  <c r="C50" i="7"/>
  <c r="C51" i="7"/>
  <c r="C52" i="7"/>
  <c r="C53" i="7"/>
  <c r="C54" i="7"/>
  <c r="C55" i="7"/>
  <c r="C56" i="7"/>
  <c r="C42" i="7"/>
  <c r="C38" i="7"/>
  <c r="C37" i="7"/>
  <c r="C36" i="7"/>
  <c r="C35" i="7"/>
  <c r="C30" i="7"/>
  <c r="C31" i="7"/>
  <c r="C29" i="7"/>
  <c r="C24" i="7"/>
  <c r="E24" i="7" s="1"/>
  <c r="C25" i="7"/>
  <c r="C23" i="7"/>
  <c r="C17" i="7"/>
  <c r="C18" i="7"/>
  <c r="C19" i="7"/>
  <c r="C16" i="7"/>
  <c r="C10" i="7"/>
  <c r="C11" i="7"/>
  <c r="C12" i="7"/>
  <c r="C9" i="7"/>
  <c r="G265" i="7" l="1"/>
  <c r="G266" i="7"/>
  <c r="G233" i="7"/>
  <c r="G181" i="7"/>
  <c r="G175" i="7"/>
  <c r="L239" i="7" l="1"/>
  <c r="I240" i="7" l="1"/>
  <c r="I239" i="7"/>
  <c r="L175" i="7" l="1"/>
  <c r="B63" i="7"/>
  <c r="S264" i="7" l="1"/>
  <c r="S257" i="7"/>
  <c r="R257" i="7"/>
  <c r="S248" i="7"/>
  <c r="S204" i="7"/>
  <c r="R204" i="7"/>
  <c r="S194" i="7"/>
  <c r="S188" i="7"/>
  <c r="R188" i="7"/>
  <c r="S179" i="7"/>
  <c r="S171" i="7"/>
  <c r="R171" i="7"/>
  <c r="S145" i="7"/>
  <c r="R145" i="7"/>
  <c r="S134" i="7"/>
  <c r="R134" i="7"/>
  <c r="S124" i="7"/>
  <c r="R124" i="7"/>
  <c r="S104" i="7"/>
  <c r="S96" i="7"/>
  <c r="R96" i="7"/>
  <c r="S86" i="7"/>
  <c r="R86" i="7"/>
  <c r="S67" i="7"/>
  <c r="R67" i="7"/>
  <c r="S60" i="7"/>
  <c r="R60" i="7"/>
  <c r="S42" i="7"/>
  <c r="S29" i="7"/>
  <c r="T29" i="7" s="1"/>
  <c r="R29" i="7"/>
  <c r="S16" i="7"/>
  <c r="T16" i="7" s="1"/>
  <c r="R16" i="7"/>
  <c r="S9" i="7"/>
  <c r="T9" i="7" s="1"/>
  <c r="R9" i="7"/>
  <c r="J13" i="7"/>
  <c r="J20" i="7"/>
  <c r="J26" i="7"/>
  <c r="J32" i="7"/>
  <c r="J39" i="7"/>
  <c r="J57" i="7"/>
  <c r="J64" i="7"/>
  <c r="J71" i="7"/>
  <c r="J72" i="7"/>
  <c r="J73" i="7"/>
  <c r="J74" i="7"/>
  <c r="J75" i="7"/>
  <c r="J76" i="7"/>
  <c r="J77" i="7"/>
  <c r="J83" i="7"/>
  <c r="J93" i="7"/>
  <c r="J101" i="7"/>
  <c r="J109" i="7"/>
  <c r="J121" i="7"/>
  <c r="J131" i="7"/>
  <c r="J142" i="7"/>
  <c r="J149" i="7"/>
  <c r="J150" i="7"/>
  <c r="J162" i="7"/>
  <c r="J168" i="7"/>
  <c r="J176" i="7"/>
  <c r="J181" i="7"/>
  <c r="J185" i="7"/>
  <c r="J191" i="7"/>
  <c r="J201" i="7"/>
  <c r="J207" i="7"/>
  <c r="J222" i="7"/>
  <c r="J235" i="7"/>
  <c r="J240" i="7"/>
  <c r="J245" i="7"/>
  <c r="J254" i="7"/>
  <c r="J261" i="7"/>
  <c r="I265" i="7"/>
  <c r="J265" i="7" s="1"/>
  <c r="I266" i="7"/>
  <c r="J266" i="7" s="1"/>
  <c r="I233" i="7"/>
  <c r="J233" i="7" s="1"/>
  <c r="I181" i="7"/>
  <c r="I175" i="7"/>
  <c r="J175" i="7" s="1"/>
  <c r="W188" i="7" l="1"/>
  <c r="W179" i="7"/>
  <c r="E212" i="7" l="1"/>
  <c r="S225" i="7"/>
  <c r="S165" i="7"/>
  <c r="S80" i="7"/>
  <c r="O225" i="7"/>
  <c r="R225" i="7" s="1"/>
  <c r="O80" i="7"/>
  <c r="R80" i="7" s="1"/>
  <c r="O42" i="7"/>
  <c r="R42" i="7" s="1"/>
  <c r="T42" i="7" s="1"/>
  <c r="S238" i="7"/>
  <c r="R238" i="7"/>
  <c r="S152" i="7"/>
  <c r="O152" i="7"/>
  <c r="R152" i="7" s="1"/>
  <c r="O264" i="7"/>
  <c r="R264" i="7" s="1"/>
  <c r="R248" i="7"/>
  <c r="S210" i="7"/>
  <c r="O210" i="7"/>
  <c r="R210" i="7" s="1"/>
  <c r="O194" i="7"/>
  <c r="R194" i="7" s="1"/>
  <c r="O179" i="7"/>
  <c r="R179" i="7" s="1"/>
  <c r="O165" i="7"/>
  <c r="R165" i="7" s="1"/>
  <c r="R112" i="7"/>
  <c r="S112" i="7"/>
  <c r="O104" i="7"/>
  <c r="R104" i="7" s="1"/>
  <c r="R23" i="7" l="1"/>
  <c r="S23" i="7"/>
  <c r="T23" i="7" s="1"/>
  <c r="R35" i="7"/>
  <c r="S35" i="7"/>
  <c r="T35" i="7" s="1"/>
  <c r="G212" i="7"/>
  <c r="I212" i="7"/>
  <c r="J212" i="7" s="1"/>
  <c r="P268" i="7"/>
  <c r="O268" i="7"/>
  <c r="Q264" i="7"/>
  <c r="T264" i="7" s="1"/>
  <c r="Q257" i="7"/>
  <c r="T257" i="7" s="1"/>
  <c r="Q248" i="7"/>
  <c r="T248" i="7" s="1"/>
  <c r="Q238" i="7"/>
  <c r="T238" i="7" s="1"/>
  <c r="Q225" i="7"/>
  <c r="T225" i="7" s="1"/>
  <c r="Q210" i="7"/>
  <c r="T210" i="7" s="1"/>
  <c r="Q204" i="7"/>
  <c r="T204" i="7" s="1"/>
  <c r="Q194" i="7"/>
  <c r="T194" i="7" s="1"/>
  <c r="Q188" i="7"/>
  <c r="T188" i="7" s="1"/>
  <c r="Q179" i="7"/>
  <c r="T179" i="7" s="1"/>
  <c r="Q171" i="7"/>
  <c r="T171" i="7" s="1"/>
  <c r="Q165" i="7"/>
  <c r="T165" i="7" s="1"/>
  <c r="Q152" i="7"/>
  <c r="T152" i="7" s="1"/>
  <c r="Q145" i="7"/>
  <c r="T145" i="7" s="1"/>
  <c r="Q134" i="7"/>
  <c r="T134" i="7" s="1"/>
  <c r="Q124" i="7"/>
  <c r="T124" i="7" s="1"/>
  <c r="Q112" i="7"/>
  <c r="T112" i="7" s="1"/>
  <c r="Q104" i="7"/>
  <c r="T104" i="7" s="1"/>
  <c r="Q96" i="7"/>
  <c r="T96" i="7" s="1"/>
  <c r="Q86" i="7"/>
  <c r="T86" i="7" s="1"/>
  <c r="Q80" i="7"/>
  <c r="T80" i="7" s="1"/>
  <c r="Q67" i="7"/>
  <c r="T67" i="7" s="1"/>
  <c r="Q60" i="7"/>
  <c r="T60" i="7" s="1"/>
  <c r="Q42" i="7"/>
  <c r="Q35" i="7"/>
  <c r="Q29" i="7"/>
  <c r="Q23" i="7"/>
  <c r="Q16" i="7"/>
  <c r="Q9" i="7"/>
  <c r="Q268" i="7" l="1"/>
  <c r="N270" i="7" l="1"/>
  <c r="E267" i="7" l="1"/>
  <c r="E264" i="7"/>
  <c r="E263" i="7" s="1"/>
  <c r="E258" i="7"/>
  <c r="E259" i="7"/>
  <c r="E260" i="7"/>
  <c r="G260" i="7" s="1"/>
  <c r="E257" i="7"/>
  <c r="G257" i="7" s="1"/>
  <c r="E249" i="7"/>
  <c r="E251" i="7"/>
  <c r="E252" i="7"/>
  <c r="E253" i="7"/>
  <c r="E248" i="7"/>
  <c r="E243" i="7"/>
  <c r="E244" i="7"/>
  <c r="G244" i="7" s="1"/>
  <c r="I244" i="7" s="1"/>
  <c r="J244" i="7" s="1"/>
  <c r="L240" i="7"/>
  <c r="E241" i="7"/>
  <c r="E242" i="7"/>
  <c r="E238" i="7"/>
  <c r="G238" i="7" s="1"/>
  <c r="E234" i="7"/>
  <c r="E232" i="7"/>
  <c r="E227" i="7"/>
  <c r="G227" i="7" s="1"/>
  <c r="E228" i="7"/>
  <c r="E229" i="7"/>
  <c r="E230" i="7"/>
  <c r="E231" i="7"/>
  <c r="E226" i="7"/>
  <c r="E225" i="7"/>
  <c r="E220" i="7"/>
  <c r="E221" i="7"/>
  <c r="E215" i="7"/>
  <c r="E216" i="7"/>
  <c r="E218" i="7"/>
  <c r="E219" i="7"/>
  <c r="E213" i="7"/>
  <c r="E214" i="7"/>
  <c r="E211" i="7"/>
  <c r="E210" i="7"/>
  <c r="E205" i="7"/>
  <c r="E206" i="7"/>
  <c r="E204" i="7"/>
  <c r="E197" i="7"/>
  <c r="G197" i="7" s="1"/>
  <c r="E198" i="7"/>
  <c r="E199" i="7"/>
  <c r="G199" i="7" s="1"/>
  <c r="E200" i="7"/>
  <c r="G200" i="7" s="1"/>
  <c r="E196" i="7"/>
  <c r="G196" i="7" s="1"/>
  <c r="E195" i="7"/>
  <c r="E194" i="7"/>
  <c r="E189" i="7"/>
  <c r="E190" i="7"/>
  <c r="E188" i="7"/>
  <c r="E184" i="7"/>
  <c r="E180" i="7"/>
  <c r="E183" i="7"/>
  <c r="E179" i="7"/>
  <c r="E173" i="7"/>
  <c r="E174" i="7"/>
  <c r="E172" i="7"/>
  <c r="E171" i="7"/>
  <c r="E167" i="7"/>
  <c r="E165" i="7"/>
  <c r="G165" i="7" s="1"/>
  <c r="E160" i="7"/>
  <c r="E161" i="7"/>
  <c r="G161" i="7" s="1"/>
  <c r="E153" i="7"/>
  <c r="G153" i="7" s="1"/>
  <c r="E154" i="7"/>
  <c r="G154" i="7" s="1"/>
  <c r="E155" i="7"/>
  <c r="G155" i="7" s="1"/>
  <c r="E156" i="7"/>
  <c r="G156" i="7" s="1"/>
  <c r="E157" i="7"/>
  <c r="G157" i="7" s="1"/>
  <c r="E158" i="7"/>
  <c r="G158" i="7" s="1"/>
  <c r="E159" i="7"/>
  <c r="E152" i="7"/>
  <c r="E146" i="7"/>
  <c r="E147" i="7"/>
  <c r="E148" i="7"/>
  <c r="E145" i="7"/>
  <c r="E140" i="7"/>
  <c r="E135" i="7"/>
  <c r="E136" i="7"/>
  <c r="E137" i="7"/>
  <c r="E138" i="7"/>
  <c r="E139" i="7"/>
  <c r="E134" i="7"/>
  <c r="E130" i="7"/>
  <c r="G130" i="7" s="1"/>
  <c r="G125" i="7"/>
  <c r="G126" i="7"/>
  <c r="E127" i="7"/>
  <c r="G127" i="7" s="1"/>
  <c r="E128" i="7"/>
  <c r="G128" i="7" s="1"/>
  <c r="E129" i="7"/>
  <c r="G129" i="7" s="1"/>
  <c r="E124" i="7"/>
  <c r="G124" i="7" s="1"/>
  <c r="E119" i="7"/>
  <c r="E120" i="7"/>
  <c r="E113" i="7"/>
  <c r="G113" i="7" s="1"/>
  <c r="E114" i="7"/>
  <c r="E115" i="7"/>
  <c r="E116" i="7"/>
  <c r="E117" i="7"/>
  <c r="E118" i="7"/>
  <c r="E112" i="7"/>
  <c r="E108" i="7"/>
  <c r="G108" i="7" s="1"/>
  <c r="E105" i="7"/>
  <c r="G105" i="7" s="1"/>
  <c r="E106" i="7"/>
  <c r="G106" i="7" s="1"/>
  <c r="G107" i="7"/>
  <c r="E104" i="7"/>
  <c r="G104" i="7" s="1"/>
  <c r="E100" i="7"/>
  <c r="E97" i="7"/>
  <c r="E98" i="7"/>
  <c r="E99" i="7"/>
  <c r="E96" i="7"/>
  <c r="E91" i="7"/>
  <c r="G91" i="7" s="1"/>
  <c r="E92" i="7"/>
  <c r="G92" i="7" s="1"/>
  <c r="E87" i="7"/>
  <c r="G87" i="7" s="1"/>
  <c r="E88" i="7"/>
  <c r="G88" i="7" s="1"/>
  <c r="E89" i="7"/>
  <c r="E90" i="7"/>
  <c r="G90" i="7" s="1"/>
  <c r="G86" i="7"/>
  <c r="E81" i="7"/>
  <c r="E82" i="7"/>
  <c r="E80" i="7"/>
  <c r="E76" i="7"/>
  <c r="G76" i="7" s="1"/>
  <c r="E75" i="7"/>
  <c r="G75" i="7" s="1"/>
  <c r="E68" i="7"/>
  <c r="E69" i="7"/>
  <c r="E70" i="7"/>
  <c r="E67" i="7"/>
  <c r="E63" i="7"/>
  <c r="E61" i="7"/>
  <c r="E62" i="7"/>
  <c r="E56" i="7"/>
  <c r="G56" i="7" s="1"/>
  <c r="E49" i="7"/>
  <c r="G49" i="7" s="1"/>
  <c r="E50" i="7"/>
  <c r="G50" i="7" s="1"/>
  <c r="E51" i="7"/>
  <c r="G51" i="7" s="1"/>
  <c r="E52" i="7"/>
  <c r="G52" i="7" s="1"/>
  <c r="E53" i="7"/>
  <c r="G53" i="7" s="1"/>
  <c r="E54" i="7"/>
  <c r="G54" i="7" s="1"/>
  <c r="E55" i="7"/>
  <c r="G55" i="7" s="1"/>
  <c r="E43" i="7"/>
  <c r="E44" i="7"/>
  <c r="G44" i="7" s="1"/>
  <c r="E45" i="7"/>
  <c r="G45" i="7" s="1"/>
  <c r="E46" i="7"/>
  <c r="G46" i="7" s="1"/>
  <c r="E47" i="7"/>
  <c r="G47" i="7" s="1"/>
  <c r="E48" i="7"/>
  <c r="G48" i="7" s="1"/>
  <c r="E42" i="7"/>
  <c r="E36" i="7"/>
  <c r="G36" i="7" s="1"/>
  <c r="E37" i="7"/>
  <c r="E38" i="7"/>
  <c r="E30" i="7"/>
  <c r="E31" i="7"/>
  <c r="E29" i="7"/>
  <c r="E28" i="7" s="1"/>
  <c r="E25" i="7"/>
  <c r="E19" i="7"/>
  <c r="E17" i="7"/>
  <c r="G17" i="7" s="1"/>
  <c r="E18" i="7"/>
  <c r="E16" i="7"/>
  <c r="G16" i="7" s="1"/>
  <c r="E10" i="7"/>
  <c r="G10" i="7" s="1"/>
  <c r="E11" i="7"/>
  <c r="G11" i="7" s="1"/>
  <c r="E12" i="7"/>
  <c r="G12" i="7" s="1"/>
  <c r="E9" i="7"/>
  <c r="E209" i="7" l="1"/>
  <c r="L104" i="7"/>
  <c r="I104" i="7"/>
  <c r="G120" i="7"/>
  <c r="L242" i="7"/>
  <c r="G242" i="7"/>
  <c r="I242" i="7" s="1"/>
  <c r="J242" i="7" s="1"/>
  <c r="L243" i="7"/>
  <c r="G243" i="7"/>
  <c r="I243" i="7" s="1"/>
  <c r="J243" i="7" s="1"/>
  <c r="G259" i="7"/>
  <c r="L16" i="7"/>
  <c r="I16" i="7"/>
  <c r="I18" i="7"/>
  <c r="J18" i="7" s="1"/>
  <c r="G18" i="7"/>
  <c r="I19" i="7"/>
  <c r="J19" i="7" s="1"/>
  <c r="G19" i="7"/>
  <c r="L54" i="7"/>
  <c r="I54" i="7"/>
  <c r="L92" i="7"/>
  <c r="I92" i="7"/>
  <c r="L241" i="7"/>
  <c r="G241" i="7"/>
  <c r="I241" i="7" s="1"/>
  <c r="J241" i="7" s="1"/>
  <c r="G114" i="7"/>
  <c r="L124" i="7"/>
  <c r="I124" i="7"/>
  <c r="E193" i="7"/>
  <c r="G195" i="7"/>
  <c r="G193" i="7" s="1"/>
  <c r="G198" i="7"/>
  <c r="L257" i="7"/>
  <c r="I257" i="7"/>
  <c r="J257" i="7" s="1"/>
  <c r="G43" i="7"/>
  <c r="E41" i="7"/>
  <c r="L52" i="7"/>
  <c r="I52" i="7"/>
  <c r="L56" i="7"/>
  <c r="I56" i="7"/>
  <c r="L165" i="7"/>
  <c r="I165" i="7"/>
  <c r="G228" i="7"/>
  <c r="L238" i="7"/>
  <c r="I238" i="7"/>
  <c r="G252" i="7"/>
  <c r="E15" i="7"/>
  <c r="E8" i="7"/>
  <c r="G9" i="7"/>
  <c r="G166" i="7"/>
  <c r="G89" i="7"/>
  <c r="G85" i="7" s="1"/>
  <c r="E85" i="7"/>
  <c r="E111" i="7"/>
  <c r="G160" i="7"/>
  <c r="G159" i="7"/>
  <c r="G226" i="7"/>
  <c r="G264" i="7"/>
  <c r="I264" i="7"/>
  <c r="J264" i="7" s="1"/>
  <c r="G267" i="7"/>
  <c r="I267" i="7"/>
  <c r="J267" i="7" s="1"/>
  <c r="G258" i="7"/>
  <c r="I258" i="7"/>
  <c r="J258" i="7" s="1"/>
  <c r="E256" i="7"/>
  <c r="I260" i="7"/>
  <c r="J260" i="7" s="1"/>
  <c r="G253" i="7"/>
  <c r="I253" i="7"/>
  <c r="J253" i="7" s="1"/>
  <c r="G250" i="7"/>
  <c r="E247" i="7"/>
  <c r="I250" i="7"/>
  <c r="J250" i="7" s="1"/>
  <c r="G249" i="7"/>
  <c r="I249" i="7"/>
  <c r="J249" i="7" s="1"/>
  <c r="G251" i="7"/>
  <c r="I251" i="7"/>
  <c r="J251" i="7" s="1"/>
  <c r="G248" i="7"/>
  <c r="I248" i="7"/>
  <c r="J248" i="7" s="1"/>
  <c r="G234" i="7"/>
  <c r="I234" i="7"/>
  <c r="J234" i="7" s="1"/>
  <c r="G229" i="7"/>
  <c r="I229" i="7"/>
  <c r="J229" i="7" s="1"/>
  <c r="G231" i="7"/>
  <c r="I231" i="7"/>
  <c r="J231" i="7" s="1"/>
  <c r="I230" i="7"/>
  <c r="J230" i="7" s="1"/>
  <c r="G230" i="7"/>
  <c r="G232" i="7"/>
  <c r="I232" i="7"/>
  <c r="J232" i="7" s="1"/>
  <c r="I227" i="7"/>
  <c r="J227" i="7" s="1"/>
  <c r="E224" i="7"/>
  <c r="G225" i="7"/>
  <c r="I225" i="7"/>
  <c r="J225" i="7" s="1"/>
  <c r="G216" i="7"/>
  <c r="I216" i="7"/>
  <c r="J216" i="7" s="1"/>
  <c r="G218" i="7"/>
  <c r="I218" i="7"/>
  <c r="J218" i="7" s="1"/>
  <c r="G221" i="7"/>
  <c r="I221" i="7"/>
  <c r="J221" i="7" s="1"/>
  <c r="G219" i="7"/>
  <c r="I219" i="7"/>
  <c r="J219" i="7" s="1"/>
  <c r="G217" i="7"/>
  <c r="I217" i="7"/>
  <c r="J217" i="7" s="1"/>
  <c r="G220" i="7"/>
  <c r="I220" i="7"/>
  <c r="J220" i="7" s="1"/>
  <c r="G215" i="7"/>
  <c r="I215" i="7"/>
  <c r="J215" i="7" s="1"/>
  <c r="G214" i="7"/>
  <c r="I214" i="7"/>
  <c r="J214" i="7" s="1"/>
  <c r="G211" i="7"/>
  <c r="I211" i="7"/>
  <c r="J211" i="7" s="1"/>
  <c r="G213" i="7"/>
  <c r="I213" i="7"/>
  <c r="J213" i="7" s="1"/>
  <c r="G210" i="7"/>
  <c r="I210" i="7"/>
  <c r="J210" i="7" s="1"/>
  <c r="G205" i="7"/>
  <c r="I205" i="7"/>
  <c r="J205" i="7" s="1"/>
  <c r="G206" i="7"/>
  <c r="I206" i="7"/>
  <c r="J206" i="7" s="1"/>
  <c r="E203" i="7"/>
  <c r="G204" i="7"/>
  <c r="I204" i="7"/>
  <c r="J204" i="7" s="1"/>
  <c r="I200" i="7"/>
  <c r="J200" i="7" s="1"/>
  <c r="I199" i="7"/>
  <c r="J199" i="7" s="1"/>
  <c r="I197" i="7"/>
  <c r="J197" i="7" s="1"/>
  <c r="I196" i="7"/>
  <c r="J196" i="7" s="1"/>
  <c r="I195" i="7"/>
  <c r="J195" i="7" s="1"/>
  <c r="J193" i="7" s="1"/>
  <c r="G194" i="7"/>
  <c r="I194" i="7"/>
  <c r="J194" i="7" s="1"/>
  <c r="G190" i="7"/>
  <c r="G187" i="7" s="1"/>
  <c r="E187" i="7"/>
  <c r="I190" i="7"/>
  <c r="J190" i="7" s="1"/>
  <c r="J187" i="7" s="1"/>
  <c r="G189" i="7"/>
  <c r="I189" i="7"/>
  <c r="J189" i="7" s="1"/>
  <c r="I188" i="7"/>
  <c r="J188" i="7" s="1"/>
  <c r="G188" i="7"/>
  <c r="G183" i="7"/>
  <c r="I183" i="7"/>
  <c r="J183" i="7" s="1"/>
  <c r="G184" i="7"/>
  <c r="I184" i="7"/>
  <c r="J184" i="7" s="1"/>
  <c r="G180" i="7"/>
  <c r="I180" i="7"/>
  <c r="J180" i="7" s="1"/>
  <c r="G182" i="7"/>
  <c r="I182" i="7"/>
  <c r="J182" i="7" s="1"/>
  <c r="E178" i="7"/>
  <c r="G179" i="7"/>
  <c r="I179" i="7"/>
  <c r="J179" i="7" s="1"/>
  <c r="G174" i="7"/>
  <c r="L174" i="7"/>
  <c r="I174" i="7"/>
  <c r="J174" i="7" s="1"/>
  <c r="G173" i="7"/>
  <c r="L173" i="7"/>
  <c r="I173" i="7"/>
  <c r="J173" i="7" s="1"/>
  <c r="G172" i="7"/>
  <c r="L172" i="7"/>
  <c r="I172" i="7"/>
  <c r="J172" i="7" s="1"/>
  <c r="E170" i="7"/>
  <c r="G171" i="7"/>
  <c r="L171" i="7"/>
  <c r="I171" i="7"/>
  <c r="J171" i="7" s="1"/>
  <c r="G167" i="7"/>
  <c r="I167" i="7"/>
  <c r="J167" i="7" s="1"/>
  <c r="J165" i="7"/>
  <c r="E164" i="7"/>
  <c r="I161" i="7"/>
  <c r="J161" i="7" s="1"/>
  <c r="I158" i="7"/>
  <c r="J158" i="7" s="1"/>
  <c r="I157" i="7"/>
  <c r="J157" i="7" s="1"/>
  <c r="I156" i="7"/>
  <c r="J156" i="7" s="1"/>
  <c r="I154" i="7"/>
  <c r="J154" i="7" s="1"/>
  <c r="I153" i="7"/>
  <c r="J153" i="7" s="1"/>
  <c r="I155" i="7"/>
  <c r="J155" i="7" s="1"/>
  <c r="E151" i="7"/>
  <c r="G152" i="7"/>
  <c r="G151" i="7" s="1"/>
  <c r="I152" i="7"/>
  <c r="J152" i="7" s="1"/>
  <c r="G146" i="7"/>
  <c r="I146" i="7"/>
  <c r="J146" i="7" s="1"/>
  <c r="G147" i="7"/>
  <c r="I147" i="7"/>
  <c r="J147" i="7" s="1"/>
  <c r="G148" i="7"/>
  <c r="I148" i="7"/>
  <c r="J148" i="7" s="1"/>
  <c r="G145" i="7"/>
  <c r="G144" i="7" s="1"/>
  <c r="E144" i="7"/>
  <c r="I145" i="7"/>
  <c r="J145" i="7" s="1"/>
  <c r="L141" i="7"/>
  <c r="G141" i="7"/>
  <c r="I141" i="7"/>
  <c r="J141" i="7" s="1"/>
  <c r="G138" i="7"/>
  <c r="I138" i="7"/>
  <c r="J138" i="7" s="1"/>
  <c r="G137" i="7"/>
  <c r="I137" i="7"/>
  <c r="J137" i="7" s="1"/>
  <c r="G140" i="7"/>
  <c r="I140" i="7"/>
  <c r="J140" i="7" s="1"/>
  <c r="G136" i="7"/>
  <c r="I136" i="7"/>
  <c r="J136" i="7" s="1"/>
  <c r="G139" i="7"/>
  <c r="I139" i="7"/>
  <c r="J139" i="7" s="1"/>
  <c r="G135" i="7"/>
  <c r="I135" i="7"/>
  <c r="J135" i="7" s="1"/>
  <c r="E133" i="7"/>
  <c r="G134" i="7"/>
  <c r="I134" i="7"/>
  <c r="J134" i="7" s="1"/>
  <c r="I130" i="7"/>
  <c r="J130" i="7" s="1"/>
  <c r="I125" i="7"/>
  <c r="J125" i="7" s="1"/>
  <c r="I127" i="7"/>
  <c r="J127" i="7" s="1"/>
  <c r="I129" i="7"/>
  <c r="J129" i="7" s="1"/>
  <c r="I128" i="7"/>
  <c r="J128" i="7" s="1"/>
  <c r="I126" i="7"/>
  <c r="J126" i="7" s="1"/>
  <c r="J124" i="7"/>
  <c r="E123" i="7"/>
  <c r="G117" i="7"/>
  <c r="I117" i="7"/>
  <c r="J117" i="7" s="1"/>
  <c r="G116" i="7"/>
  <c r="I116" i="7"/>
  <c r="J116" i="7" s="1"/>
  <c r="G119" i="7"/>
  <c r="L119" i="7" s="1"/>
  <c r="I119" i="7"/>
  <c r="J119" i="7" s="1"/>
  <c r="G118" i="7"/>
  <c r="I118" i="7"/>
  <c r="J118" i="7" s="1"/>
  <c r="G115" i="7"/>
  <c r="I115" i="7"/>
  <c r="J115" i="7" s="1"/>
  <c r="I113" i="7"/>
  <c r="J113" i="7" s="1"/>
  <c r="G112" i="7"/>
  <c r="I112" i="7"/>
  <c r="J112" i="7" s="1"/>
  <c r="I107" i="7"/>
  <c r="J107" i="7" s="1"/>
  <c r="I108" i="7"/>
  <c r="J108" i="7" s="1"/>
  <c r="I105" i="7"/>
  <c r="J105" i="7" s="1"/>
  <c r="I106" i="7"/>
  <c r="J106" i="7" s="1"/>
  <c r="J104" i="7"/>
  <c r="E103" i="7"/>
  <c r="G100" i="7"/>
  <c r="I100" i="7"/>
  <c r="J100" i="7" s="1"/>
  <c r="G98" i="7"/>
  <c r="I98" i="7"/>
  <c r="J98" i="7" s="1"/>
  <c r="G99" i="7"/>
  <c r="E95" i="7"/>
  <c r="I99" i="7"/>
  <c r="J99" i="7" s="1"/>
  <c r="G97" i="7"/>
  <c r="I97" i="7"/>
  <c r="J97" i="7" s="1"/>
  <c r="G96" i="7"/>
  <c r="I96" i="7"/>
  <c r="J96" i="7" s="1"/>
  <c r="L90" i="7"/>
  <c r="M90" i="7" s="1"/>
  <c r="I90" i="7"/>
  <c r="J90" i="7" s="1"/>
  <c r="L89" i="7"/>
  <c r="M89" i="7" s="1"/>
  <c r="I89" i="7"/>
  <c r="J89" i="7" s="1"/>
  <c r="L91" i="7"/>
  <c r="M91" i="7" s="1"/>
  <c r="I91" i="7"/>
  <c r="J91" i="7" s="1"/>
  <c r="L88" i="7"/>
  <c r="M88" i="7" s="1"/>
  <c r="I88" i="7"/>
  <c r="J88" i="7" s="1"/>
  <c r="L87" i="7"/>
  <c r="M87" i="7" s="1"/>
  <c r="I87" i="7"/>
  <c r="J87" i="7" s="1"/>
  <c r="L86" i="7"/>
  <c r="M86" i="7" s="1"/>
  <c r="I86" i="7"/>
  <c r="J86" i="7" s="1"/>
  <c r="G81" i="7"/>
  <c r="I81" i="7"/>
  <c r="J81" i="7" s="1"/>
  <c r="G82" i="7"/>
  <c r="I82" i="7"/>
  <c r="J82" i="7" s="1"/>
  <c r="G80" i="7"/>
  <c r="G79" i="7" s="1"/>
  <c r="E79" i="7"/>
  <c r="I80" i="7"/>
  <c r="J80" i="7" s="1"/>
  <c r="J79" i="7" s="1"/>
  <c r="G69" i="7"/>
  <c r="I69" i="7"/>
  <c r="J69" i="7" s="1"/>
  <c r="G67" i="7"/>
  <c r="I67" i="7"/>
  <c r="J67" i="7" s="1"/>
  <c r="G61" i="7"/>
  <c r="I61" i="7"/>
  <c r="J61" i="7" s="1"/>
  <c r="J238" i="7"/>
  <c r="E237" i="7"/>
  <c r="G70" i="7"/>
  <c r="I70" i="7"/>
  <c r="J70" i="7" s="1"/>
  <c r="G68" i="7"/>
  <c r="E66" i="7"/>
  <c r="I68" i="7"/>
  <c r="J68" i="7" s="1"/>
  <c r="G62" i="7"/>
  <c r="I62" i="7"/>
  <c r="J62" i="7" s="1"/>
  <c r="G60" i="7"/>
  <c r="E59" i="7"/>
  <c r="I60" i="7"/>
  <c r="J60" i="7" s="1"/>
  <c r="I46" i="7"/>
  <c r="J46" i="7" s="1"/>
  <c r="I51" i="7"/>
  <c r="J51" i="7" s="1"/>
  <c r="I45" i="7"/>
  <c r="J45" i="7" s="1"/>
  <c r="I50" i="7"/>
  <c r="J50" i="7" s="1"/>
  <c r="I48" i="7"/>
  <c r="J48" i="7" s="1"/>
  <c r="I53" i="7"/>
  <c r="J53" i="7" s="1"/>
  <c r="I49" i="7"/>
  <c r="J49" i="7" s="1"/>
  <c r="I55" i="7"/>
  <c r="J55" i="7" s="1"/>
  <c r="I44" i="7"/>
  <c r="J44" i="7" s="1"/>
  <c r="G42" i="7"/>
  <c r="I42" i="7"/>
  <c r="J42" i="7" s="1"/>
  <c r="G38" i="7"/>
  <c r="I38" i="7"/>
  <c r="J38" i="7" s="1"/>
  <c r="G37" i="7"/>
  <c r="I37" i="7"/>
  <c r="J37" i="7" s="1"/>
  <c r="I36" i="7"/>
  <c r="J36" i="7" s="1"/>
  <c r="I47" i="7"/>
  <c r="J47" i="7" s="1"/>
  <c r="L31" i="7"/>
  <c r="M31" i="7" s="1"/>
  <c r="I31" i="7"/>
  <c r="J31" i="7" s="1"/>
  <c r="G30" i="7"/>
  <c r="I30" i="7"/>
  <c r="J30" i="7" s="1"/>
  <c r="G29" i="7"/>
  <c r="I29" i="7"/>
  <c r="J29" i="7" s="1"/>
  <c r="J28" i="7" s="1"/>
  <c r="L17" i="7"/>
  <c r="M17" i="7" s="1"/>
  <c r="I17" i="7"/>
  <c r="J17" i="7" s="1"/>
  <c r="G25" i="7"/>
  <c r="I25" i="7"/>
  <c r="J25" i="7" s="1"/>
  <c r="G24" i="7"/>
  <c r="I24" i="7"/>
  <c r="J24" i="7" s="1"/>
  <c r="I12" i="7"/>
  <c r="J12" i="7" s="1"/>
  <c r="I11" i="7"/>
  <c r="J11" i="7" s="1"/>
  <c r="I10" i="7"/>
  <c r="J10" i="7" s="1"/>
  <c r="J239" i="7"/>
  <c r="M92" i="7"/>
  <c r="J92" i="7"/>
  <c r="J56" i="7"/>
  <c r="J54" i="7"/>
  <c r="J52" i="7"/>
  <c r="G63" i="7"/>
  <c r="I63" i="7"/>
  <c r="J63" i="7" s="1"/>
  <c r="M16" i="7"/>
  <c r="J16" i="7"/>
  <c r="G31" i="7"/>
  <c r="L19" i="7"/>
  <c r="M19" i="7" s="1"/>
  <c r="L18" i="7"/>
  <c r="M18" i="7" s="1"/>
  <c r="G15" i="7"/>
  <c r="L10" i="7"/>
  <c r="M10" i="7" s="1"/>
  <c r="L11" i="7"/>
  <c r="M11" i="7" s="1"/>
  <c r="L12" i="7"/>
  <c r="M12" i="7" s="1"/>
  <c r="A7" i="7"/>
  <c r="A12" i="7"/>
  <c r="B10" i="7"/>
  <c r="B11" i="7"/>
  <c r="B9" i="7"/>
  <c r="B16" i="7"/>
  <c r="A10" i="7"/>
  <c r="A11" i="7"/>
  <c r="A9" i="7"/>
  <c r="A8" i="7"/>
  <c r="A15" i="7"/>
  <c r="I11" i="2"/>
  <c r="H12" i="7" s="1"/>
  <c r="I10" i="2"/>
  <c r="H11" i="7" s="1"/>
  <c r="I9" i="2"/>
  <c r="H10" i="7" s="1"/>
  <c r="I8" i="2"/>
  <c r="H9" i="7" s="1"/>
  <c r="G95" i="7" l="1"/>
  <c r="G224" i="7"/>
  <c r="J170" i="7"/>
  <c r="G237" i="7"/>
  <c r="J203" i="7"/>
  <c r="G209" i="7"/>
  <c r="G263" i="7"/>
  <c r="L114" i="7"/>
  <c r="I114" i="7"/>
  <c r="J114" i="7" s="1"/>
  <c r="J111" i="7" s="1"/>
  <c r="L120" i="7"/>
  <c r="I120" i="7"/>
  <c r="J120" i="7" s="1"/>
  <c r="G111" i="7"/>
  <c r="G203" i="7"/>
  <c r="L252" i="7"/>
  <c r="I252" i="7"/>
  <c r="J252" i="7" s="1"/>
  <c r="L228" i="7"/>
  <c r="I228" i="7"/>
  <c r="J228" i="7" s="1"/>
  <c r="L198" i="7"/>
  <c r="I198" i="7"/>
  <c r="J198" i="7" s="1"/>
  <c r="L259" i="7"/>
  <c r="I259" i="7"/>
  <c r="J259" i="7" s="1"/>
  <c r="J256" i="7" s="1"/>
  <c r="J144" i="7"/>
  <c r="G41" i="7"/>
  <c r="L43" i="7"/>
  <c r="M43" i="7" s="1"/>
  <c r="I43" i="7"/>
  <c r="J43" i="7" s="1"/>
  <c r="J41" i="7" s="1"/>
  <c r="L9" i="7"/>
  <c r="G8" i="7"/>
  <c r="I9" i="7"/>
  <c r="J9" i="7" s="1"/>
  <c r="J8" i="7" s="1"/>
  <c r="J15" i="7"/>
  <c r="G164" i="7"/>
  <c r="L166" i="7"/>
  <c r="M166" i="7" s="1"/>
  <c r="I166" i="7"/>
  <c r="J166" i="7" s="1"/>
  <c r="J164" i="7"/>
  <c r="J85" i="7"/>
  <c r="L160" i="7"/>
  <c r="I160" i="7"/>
  <c r="J160" i="7" s="1"/>
  <c r="L159" i="7"/>
  <c r="I159" i="7"/>
  <c r="J159" i="7" s="1"/>
  <c r="J151" i="7" s="1"/>
  <c r="L226" i="7"/>
  <c r="I226" i="7"/>
  <c r="J226" i="7" s="1"/>
  <c r="J237" i="7"/>
  <c r="J247" i="7"/>
  <c r="G247" i="7"/>
  <c r="J263" i="7"/>
  <c r="G256" i="7"/>
  <c r="J224" i="7"/>
  <c r="J209" i="7"/>
  <c r="G178" i="7"/>
  <c r="J178" i="7"/>
  <c r="G170" i="7"/>
  <c r="J133" i="7"/>
  <c r="G133" i="7"/>
  <c r="G123" i="7"/>
  <c r="J103" i="7"/>
  <c r="G103" i="7"/>
  <c r="J95" i="7"/>
  <c r="G66" i="7"/>
  <c r="J66" i="7"/>
  <c r="G59" i="7"/>
  <c r="J59" i="7"/>
  <c r="M9" i="7"/>
  <c r="N9" i="7" s="1"/>
  <c r="N10" i="7" s="1"/>
  <c r="N11" i="7" s="1"/>
  <c r="N12" i="7" s="1"/>
  <c r="N16" i="7" s="1"/>
  <c r="N17" i="7" s="1"/>
  <c r="N18" i="7" s="1"/>
  <c r="N19" i="7" s="1"/>
  <c r="L13" i="7"/>
  <c r="M13" i="7" s="1"/>
  <c r="L265" i="7"/>
  <c r="M265" i="7" s="1"/>
  <c r="L266" i="7"/>
  <c r="M266" i="7" s="1"/>
  <c r="L267" i="7"/>
  <c r="M267" i="7" s="1"/>
  <c r="L264" i="7"/>
  <c r="M264" i="7" s="1"/>
  <c r="L258" i="7"/>
  <c r="M258" i="7" s="1"/>
  <c r="M259" i="7"/>
  <c r="L260" i="7"/>
  <c r="M260" i="7" s="1"/>
  <c r="L249" i="7"/>
  <c r="M249" i="7" s="1"/>
  <c r="L250" i="7"/>
  <c r="M250" i="7" s="1"/>
  <c r="L251" i="7"/>
  <c r="M251" i="7" s="1"/>
  <c r="M252" i="7"/>
  <c r="L253" i="7"/>
  <c r="M253" i="7" s="1"/>
  <c r="L248" i="7"/>
  <c r="M248" i="7" s="1"/>
  <c r="M239" i="7"/>
  <c r="M240" i="7"/>
  <c r="M241" i="7"/>
  <c r="M242" i="7"/>
  <c r="M243" i="7"/>
  <c r="L244" i="7"/>
  <c r="M244" i="7" s="1"/>
  <c r="M226" i="7"/>
  <c r="L227" i="7"/>
  <c r="M227" i="7" s="1"/>
  <c r="M228" i="7"/>
  <c r="L229" i="7"/>
  <c r="M229" i="7" s="1"/>
  <c r="L230" i="7"/>
  <c r="M230" i="7" s="1"/>
  <c r="L231" i="7"/>
  <c r="M231" i="7" s="1"/>
  <c r="L232" i="7"/>
  <c r="M232" i="7" s="1"/>
  <c r="L233" i="7"/>
  <c r="M233" i="7" s="1"/>
  <c r="L234" i="7"/>
  <c r="M234" i="7" s="1"/>
  <c r="L225" i="7"/>
  <c r="M225" i="7" s="1"/>
  <c r="L211" i="7"/>
  <c r="M211" i="7" s="1"/>
  <c r="L212" i="7"/>
  <c r="M212" i="7" s="1"/>
  <c r="L213" i="7"/>
  <c r="M213" i="7" s="1"/>
  <c r="L214" i="7"/>
  <c r="M214" i="7" s="1"/>
  <c r="L215" i="7"/>
  <c r="M215" i="7" s="1"/>
  <c r="L216" i="7"/>
  <c r="M216" i="7" s="1"/>
  <c r="L217" i="7"/>
  <c r="M217" i="7" s="1"/>
  <c r="L218" i="7"/>
  <c r="M218" i="7" s="1"/>
  <c r="L219" i="7"/>
  <c r="M219" i="7" s="1"/>
  <c r="L220" i="7"/>
  <c r="M220" i="7" s="1"/>
  <c r="L221" i="7"/>
  <c r="M221" i="7" s="1"/>
  <c r="L210" i="7"/>
  <c r="M257" i="7"/>
  <c r="L205" i="7"/>
  <c r="M205" i="7" s="1"/>
  <c r="L206" i="7"/>
  <c r="M206" i="7" s="1"/>
  <c r="L204" i="7"/>
  <c r="M204" i="7" s="1"/>
  <c r="L195" i="7"/>
  <c r="M195" i="7" s="1"/>
  <c r="L196" i="7"/>
  <c r="M196" i="7" s="1"/>
  <c r="L197" i="7"/>
  <c r="M197" i="7" s="1"/>
  <c r="L199" i="7"/>
  <c r="M199" i="7" s="1"/>
  <c r="L200" i="7"/>
  <c r="M200" i="7" s="1"/>
  <c r="L194" i="7"/>
  <c r="M194" i="7" s="1"/>
  <c r="L189" i="7"/>
  <c r="M189" i="7" s="1"/>
  <c r="L190" i="7"/>
  <c r="M190" i="7" s="1"/>
  <c r="L188" i="7"/>
  <c r="M188" i="7" s="1"/>
  <c r="L180" i="7"/>
  <c r="M180" i="7" s="1"/>
  <c r="L181" i="7"/>
  <c r="M181" i="7" s="1"/>
  <c r="L182" i="7"/>
  <c r="M182" i="7" s="1"/>
  <c r="L183" i="7"/>
  <c r="M183" i="7" s="1"/>
  <c r="L184" i="7"/>
  <c r="M184" i="7" s="1"/>
  <c r="L179" i="7"/>
  <c r="M179" i="7" s="1"/>
  <c r="M172" i="7"/>
  <c r="M174" i="7"/>
  <c r="M175" i="7"/>
  <c r="M171" i="7"/>
  <c r="L167" i="7"/>
  <c r="M167" i="7" s="1"/>
  <c r="M165" i="7"/>
  <c r="M159" i="7"/>
  <c r="M160" i="7"/>
  <c r="L161" i="7"/>
  <c r="M161" i="7" s="1"/>
  <c r="L153" i="7"/>
  <c r="M153" i="7" s="1"/>
  <c r="L154" i="7"/>
  <c r="M154" i="7" s="1"/>
  <c r="L155" i="7"/>
  <c r="M155" i="7" s="1"/>
  <c r="L156" i="7"/>
  <c r="M156" i="7" s="1"/>
  <c r="L157" i="7"/>
  <c r="M157" i="7" s="1"/>
  <c r="L158" i="7"/>
  <c r="M158" i="7" s="1"/>
  <c r="L152" i="7"/>
  <c r="M152" i="7" s="1"/>
  <c r="L146" i="7"/>
  <c r="M146" i="7" s="1"/>
  <c r="L147" i="7"/>
  <c r="M147" i="7" s="1"/>
  <c r="L148" i="7"/>
  <c r="M148" i="7" s="1"/>
  <c r="L145" i="7"/>
  <c r="M145" i="7" s="1"/>
  <c r="L136" i="7"/>
  <c r="M136" i="7" s="1"/>
  <c r="L138" i="7"/>
  <c r="M138" i="7" s="1"/>
  <c r="L139" i="7"/>
  <c r="M139" i="7" s="1"/>
  <c r="L140" i="7"/>
  <c r="M140" i="7" s="1"/>
  <c r="M141" i="7"/>
  <c r="L134" i="7"/>
  <c r="L125" i="7"/>
  <c r="M125" i="7" s="1"/>
  <c r="L126" i="7"/>
  <c r="M126" i="7" s="1"/>
  <c r="L127" i="7"/>
  <c r="M127" i="7" s="1"/>
  <c r="L128" i="7"/>
  <c r="M128" i="7" s="1"/>
  <c r="L129" i="7"/>
  <c r="M129" i="7" s="1"/>
  <c r="L130" i="7"/>
  <c r="M130" i="7" s="1"/>
  <c r="M124" i="7"/>
  <c r="M120" i="7"/>
  <c r="L115" i="7"/>
  <c r="M115" i="7" s="1"/>
  <c r="L116" i="7"/>
  <c r="M116" i="7" s="1"/>
  <c r="L117" i="7"/>
  <c r="M117" i="7" s="1"/>
  <c r="L118" i="7"/>
  <c r="M118" i="7" s="1"/>
  <c r="M119" i="7"/>
  <c r="L105" i="7"/>
  <c r="M105" i="7" s="1"/>
  <c r="N105" i="7" s="1"/>
  <c r="L106" i="7"/>
  <c r="M106" i="7" s="1"/>
  <c r="N106" i="7" s="1"/>
  <c r="L107" i="7"/>
  <c r="M107" i="7" s="1"/>
  <c r="N107" i="7" s="1"/>
  <c r="L108" i="7"/>
  <c r="M108" i="7" s="1"/>
  <c r="L82" i="7"/>
  <c r="M82" i="7" s="1"/>
  <c r="L61" i="7"/>
  <c r="M61" i="7" s="1"/>
  <c r="L62" i="7"/>
  <c r="M62" i="7" s="1"/>
  <c r="L63" i="7"/>
  <c r="M63" i="7" s="1"/>
  <c r="L44" i="7"/>
  <c r="M44" i="7" s="1"/>
  <c r="L45" i="7"/>
  <c r="M45" i="7" s="1"/>
  <c r="L46" i="7"/>
  <c r="M46" i="7" s="1"/>
  <c r="L47" i="7"/>
  <c r="M47" i="7" s="1"/>
  <c r="L48" i="7"/>
  <c r="M48" i="7" s="1"/>
  <c r="L49" i="7"/>
  <c r="M49" i="7" s="1"/>
  <c r="L50" i="7"/>
  <c r="M50" i="7" s="1"/>
  <c r="L51" i="7"/>
  <c r="M51" i="7" s="1"/>
  <c r="M52" i="7"/>
  <c r="L53" i="7"/>
  <c r="M53" i="7" s="1"/>
  <c r="M54" i="7"/>
  <c r="L55" i="7"/>
  <c r="M55" i="7" s="1"/>
  <c r="M56" i="7"/>
  <c r="L36" i="7"/>
  <c r="M36" i="7" s="1"/>
  <c r="L37" i="7"/>
  <c r="M37" i="7" s="1"/>
  <c r="L38" i="7"/>
  <c r="M38" i="7" s="1"/>
  <c r="K94" i="7"/>
  <c r="L135" i="7"/>
  <c r="M135" i="7" s="1"/>
  <c r="M210" i="7" l="1"/>
  <c r="L222" i="7"/>
  <c r="M134" i="7"/>
  <c r="M238" i="7"/>
  <c r="L245" i="7"/>
  <c r="M198" i="7"/>
  <c r="L201" i="7"/>
  <c r="L268" i="7"/>
  <c r="K73" i="7"/>
  <c r="M173" i="7" s="1"/>
  <c r="L131" i="7"/>
  <c r="L93" i="7"/>
  <c r="H265" i="7"/>
  <c r="H266" i="7"/>
  <c r="H267" i="7"/>
  <c r="H264" i="7"/>
  <c r="H258" i="7"/>
  <c r="H259" i="7"/>
  <c r="H260" i="7"/>
  <c r="H257" i="7"/>
  <c r="H249" i="7"/>
  <c r="H250" i="7"/>
  <c r="H251" i="7"/>
  <c r="H252" i="7"/>
  <c r="H253" i="7"/>
  <c r="H248" i="7"/>
  <c r="H244" i="7"/>
  <c r="H234" i="7"/>
  <c r="H233" i="7"/>
  <c r="H232" i="7"/>
  <c r="H231" i="7"/>
  <c r="H230" i="7"/>
  <c r="H229" i="7"/>
  <c r="H228" i="7"/>
  <c r="H239" i="7"/>
  <c r="H240" i="7"/>
  <c r="H241" i="7"/>
  <c r="H242" i="7"/>
  <c r="H243" i="7"/>
  <c r="H238" i="7"/>
  <c r="H226" i="7"/>
  <c r="H227" i="7"/>
  <c r="H225" i="7"/>
  <c r="H211" i="7"/>
  <c r="H212" i="7"/>
  <c r="H213" i="7"/>
  <c r="H214" i="7"/>
  <c r="H215" i="7"/>
  <c r="H216" i="7"/>
  <c r="H217" i="7"/>
  <c r="H218" i="7"/>
  <c r="H219" i="7"/>
  <c r="H220" i="7"/>
  <c r="H221" i="7"/>
  <c r="H210" i="7"/>
  <c r="H205" i="7"/>
  <c r="H206" i="7"/>
  <c r="H204" i="7"/>
  <c r="H195" i="7"/>
  <c r="H196" i="7"/>
  <c r="H197" i="7"/>
  <c r="H198" i="7"/>
  <c r="H199" i="7"/>
  <c r="H200" i="7"/>
  <c r="H194" i="7"/>
  <c r="H189" i="7"/>
  <c r="H190" i="7"/>
  <c r="H188" i="7"/>
  <c r="H180" i="7"/>
  <c r="H181" i="7"/>
  <c r="H182" i="7"/>
  <c r="H183" i="7"/>
  <c r="H184" i="7"/>
  <c r="H179" i="7"/>
  <c r="H172" i="7"/>
  <c r="H173" i="7"/>
  <c r="H174" i="7"/>
  <c r="H175" i="7"/>
  <c r="H166" i="7"/>
  <c r="H167" i="7"/>
  <c r="H153" i="7"/>
  <c r="H154" i="7"/>
  <c r="H155" i="7"/>
  <c r="H156" i="7"/>
  <c r="H157" i="7"/>
  <c r="H158" i="7"/>
  <c r="H159" i="7"/>
  <c r="H160" i="7"/>
  <c r="H161" i="7"/>
  <c r="H152" i="7"/>
  <c r="H146" i="7"/>
  <c r="H147" i="7"/>
  <c r="H148" i="7"/>
  <c r="H145" i="7"/>
  <c r="H135" i="7"/>
  <c r="H136" i="7"/>
  <c r="H137" i="7"/>
  <c r="H138" i="7"/>
  <c r="H139" i="7"/>
  <c r="H140" i="7"/>
  <c r="H141" i="7"/>
  <c r="H134" i="7"/>
  <c r="H125" i="7"/>
  <c r="H126" i="7"/>
  <c r="H127" i="7"/>
  <c r="H128" i="7"/>
  <c r="H129" i="7"/>
  <c r="H130" i="7"/>
  <c r="H124" i="7"/>
  <c r="H113" i="7"/>
  <c r="H114" i="7"/>
  <c r="H115" i="7"/>
  <c r="H116" i="7"/>
  <c r="H117" i="7"/>
  <c r="H118" i="7"/>
  <c r="H119" i="7"/>
  <c r="H120" i="7"/>
  <c r="H112" i="7"/>
  <c r="H105" i="7"/>
  <c r="H106" i="7"/>
  <c r="H107" i="7"/>
  <c r="H108" i="7"/>
  <c r="H104" i="7"/>
  <c r="H97" i="7"/>
  <c r="H98" i="7"/>
  <c r="H99" i="7"/>
  <c r="H100" i="7"/>
  <c r="H96" i="7"/>
  <c r="H87" i="7"/>
  <c r="H88" i="7"/>
  <c r="H89" i="7"/>
  <c r="H90" i="7"/>
  <c r="H91" i="7"/>
  <c r="H92" i="7"/>
  <c r="H86" i="7"/>
  <c r="H81" i="7"/>
  <c r="H82" i="7"/>
  <c r="H80" i="7"/>
  <c r="H76" i="7"/>
  <c r="H75" i="7"/>
  <c r="H68" i="7"/>
  <c r="H69" i="7"/>
  <c r="H70" i="7"/>
  <c r="H67" i="7"/>
  <c r="H63" i="7"/>
  <c r="H61" i="7"/>
  <c r="H62" i="7"/>
  <c r="H60" i="7"/>
  <c r="H56" i="7"/>
  <c r="H55" i="7"/>
  <c r="H52" i="7"/>
  <c r="H53" i="7"/>
  <c r="H54" i="7"/>
  <c r="H49" i="7"/>
  <c r="H50" i="7"/>
  <c r="H51" i="7"/>
  <c r="H46" i="7"/>
  <c r="H47" i="7"/>
  <c r="H48" i="7"/>
  <c r="H44" i="7"/>
  <c r="H45" i="7"/>
  <c r="H38" i="7"/>
  <c r="H31" i="7"/>
  <c r="H36" i="7"/>
  <c r="H37" i="7"/>
  <c r="H35" i="7"/>
  <c r="B92" i="7"/>
  <c r="B91" i="7"/>
  <c r="B90" i="7"/>
  <c r="B89" i="7"/>
  <c r="B88" i="7"/>
  <c r="B96" i="7"/>
  <c r="B87" i="7"/>
  <c r="B86" i="7"/>
  <c r="B81" i="7"/>
  <c r="B82" i="7"/>
  <c r="B80" i="7"/>
  <c r="B76" i="7"/>
  <c r="B75" i="7"/>
  <c r="B68" i="7"/>
  <c r="B69" i="7"/>
  <c r="B70" i="7"/>
  <c r="B67" i="7"/>
  <c r="B62" i="7"/>
  <c r="B60" i="7"/>
  <c r="B43" i="7"/>
  <c r="B44" i="7"/>
  <c r="B45" i="7"/>
  <c r="B46" i="7"/>
  <c r="B47" i="7"/>
  <c r="B48" i="7"/>
  <c r="B49" i="7"/>
  <c r="B50" i="7"/>
  <c r="B51" i="7"/>
  <c r="B52" i="7"/>
  <c r="B53" i="7"/>
  <c r="B54" i="7"/>
  <c r="B55" i="7"/>
  <c r="B56" i="7"/>
  <c r="B42" i="7"/>
  <c r="B36" i="7"/>
  <c r="B37" i="7"/>
  <c r="B38" i="7"/>
  <c r="B35" i="7"/>
  <c r="B30" i="7"/>
  <c r="B31" i="7"/>
  <c r="B29" i="7"/>
  <c r="B24" i="7"/>
  <c r="B25" i="7"/>
  <c r="B23" i="7"/>
  <c r="B17" i="7"/>
  <c r="B18" i="7"/>
  <c r="B19" i="7"/>
  <c r="K38" i="7" l="1"/>
  <c r="L137" i="7"/>
  <c r="B265" i="7"/>
  <c r="B266" i="7"/>
  <c r="B267" i="7"/>
  <c r="B264" i="7"/>
  <c r="B258" i="7"/>
  <c r="B259" i="7"/>
  <c r="B260" i="7"/>
  <c r="B257" i="7"/>
  <c r="B249" i="7"/>
  <c r="B250" i="7"/>
  <c r="B251" i="7"/>
  <c r="B252" i="7"/>
  <c r="B253" i="7"/>
  <c r="B248" i="7"/>
  <c r="B243" i="7"/>
  <c r="B239" i="7"/>
  <c r="B240" i="7"/>
  <c r="B241" i="7"/>
  <c r="B242" i="7"/>
  <c r="B244" i="7"/>
  <c r="B238" i="7"/>
  <c r="B234" i="7"/>
  <c r="B233" i="7"/>
  <c r="B232" i="7"/>
  <c r="B231" i="7"/>
  <c r="B230" i="7"/>
  <c r="B229" i="7"/>
  <c r="B228" i="7"/>
  <c r="B227" i="7"/>
  <c r="B226" i="7"/>
  <c r="B225" i="7"/>
  <c r="B211" i="7"/>
  <c r="B212" i="7"/>
  <c r="B213" i="7"/>
  <c r="B214" i="7"/>
  <c r="B215" i="7"/>
  <c r="B216" i="7"/>
  <c r="B217" i="7"/>
  <c r="B218" i="7"/>
  <c r="B219" i="7"/>
  <c r="B220" i="7"/>
  <c r="B210" i="7"/>
  <c r="B206" i="7"/>
  <c r="B205" i="7"/>
  <c r="B204" i="7"/>
  <c r="B195" i="7"/>
  <c r="B196" i="7"/>
  <c r="B197" i="7"/>
  <c r="B198" i="7"/>
  <c r="B199" i="7"/>
  <c r="B200" i="7"/>
  <c r="B194" i="7"/>
  <c r="B189" i="7"/>
  <c r="B190" i="7"/>
  <c r="B188" i="7"/>
  <c r="B180" i="7"/>
  <c r="B181" i="7"/>
  <c r="B182" i="7"/>
  <c r="B183" i="7"/>
  <c r="B184" i="7"/>
  <c r="B179" i="7"/>
  <c r="B174" i="7"/>
  <c r="B172" i="7"/>
  <c r="B173" i="7"/>
  <c r="B175" i="7"/>
  <c r="A171" i="7"/>
  <c r="A172" i="7"/>
  <c r="B171" i="7"/>
  <c r="B166" i="7"/>
  <c r="B167" i="7"/>
  <c r="B165" i="7"/>
  <c r="B153" i="7"/>
  <c r="B154" i="7"/>
  <c r="B155" i="7"/>
  <c r="B156" i="7"/>
  <c r="B157" i="7"/>
  <c r="B158" i="7"/>
  <c r="B159" i="7"/>
  <c r="B160" i="7"/>
  <c r="B161" i="7"/>
  <c r="B152" i="7"/>
  <c r="B148" i="7"/>
  <c r="B146" i="7"/>
  <c r="B147" i="7"/>
  <c r="B145" i="7"/>
  <c r="B135" i="7"/>
  <c r="B136" i="7"/>
  <c r="B137" i="7"/>
  <c r="B138" i="7"/>
  <c r="B139" i="7"/>
  <c r="B140" i="7"/>
  <c r="B141" i="7"/>
  <c r="B134" i="7"/>
  <c r="B130" i="7"/>
  <c r="B125" i="7"/>
  <c r="B126" i="7"/>
  <c r="B127" i="7"/>
  <c r="B128" i="7"/>
  <c r="B129" i="7"/>
  <c r="B124" i="7"/>
  <c r="B120" i="7"/>
  <c r="B113" i="7"/>
  <c r="B114" i="7"/>
  <c r="B115" i="7"/>
  <c r="B116" i="7"/>
  <c r="B117" i="7"/>
  <c r="B118" i="7"/>
  <c r="B119" i="7"/>
  <c r="B112" i="7"/>
  <c r="B108" i="7"/>
  <c r="B105" i="7"/>
  <c r="B106" i="7"/>
  <c r="B107" i="7"/>
  <c r="B104" i="7"/>
  <c r="B97" i="7"/>
  <c r="B98" i="7"/>
  <c r="B99" i="7"/>
  <c r="B100" i="7"/>
  <c r="A92" i="7"/>
  <c r="A91" i="7"/>
  <c r="A87" i="7"/>
  <c r="A88" i="7"/>
  <c r="A89" i="7"/>
  <c r="A86" i="7"/>
  <c r="A82" i="7"/>
  <c r="A85" i="7"/>
  <c r="A79" i="7"/>
  <c r="A95" i="7"/>
  <c r="A81" i="7"/>
  <c r="A80" i="7"/>
  <c r="A267" i="7"/>
  <c r="A266" i="7"/>
  <c r="A265" i="7"/>
  <c r="A264" i="7"/>
  <c r="A263" i="7"/>
  <c r="A260" i="7"/>
  <c r="A259" i="7"/>
  <c r="A258" i="7"/>
  <c r="A257" i="7"/>
  <c r="A256" i="7"/>
  <c r="A253" i="7"/>
  <c r="A252" i="7"/>
  <c r="A250" i="7"/>
  <c r="A248" i="7"/>
  <c r="A247" i="7"/>
  <c r="A246" i="7"/>
  <c r="A255" i="7" s="1"/>
  <c r="A262" i="7" s="1"/>
  <c r="A244" i="7"/>
  <c r="A243" i="7"/>
  <c r="A242" i="7"/>
  <c r="A241" i="7"/>
  <c r="A240" i="7"/>
  <c r="A239" i="7"/>
  <c r="A238" i="7"/>
  <c r="A237" i="7"/>
  <c r="A234" i="7"/>
  <c r="A233" i="7"/>
  <c r="A230" i="7"/>
  <c r="A229" i="7"/>
  <c r="A228" i="7"/>
  <c r="A227" i="7"/>
  <c r="A225" i="7"/>
  <c r="A224" i="7"/>
  <c r="A221" i="7"/>
  <c r="A217" i="7"/>
  <c r="A215" i="7"/>
  <c r="A214" i="7"/>
  <c r="A213" i="7"/>
  <c r="A212" i="7"/>
  <c r="A210" i="7"/>
  <c r="A209" i="7"/>
  <c r="A208" i="7"/>
  <c r="A223" i="7" s="1"/>
  <c r="A236" i="7" s="1"/>
  <c r="A206" i="7"/>
  <c r="A205" i="7"/>
  <c r="A204" i="7"/>
  <c r="A203" i="7"/>
  <c r="A200" i="7"/>
  <c r="A199" i="7"/>
  <c r="A198" i="7"/>
  <c r="A197" i="7"/>
  <c r="A196" i="7"/>
  <c r="A195" i="7"/>
  <c r="A193" i="7"/>
  <c r="A192" i="7"/>
  <c r="A202" i="7" s="1"/>
  <c r="A190" i="7"/>
  <c r="A189" i="7"/>
  <c r="A188" i="7"/>
  <c r="A187" i="7"/>
  <c r="A184" i="7"/>
  <c r="A183" i="7"/>
  <c r="A179" i="7"/>
  <c r="A178" i="7"/>
  <c r="A175" i="7"/>
  <c r="A174" i="7"/>
  <c r="A173" i="7"/>
  <c r="A170" i="7"/>
  <c r="A169" i="7"/>
  <c r="A177" i="7" s="1"/>
  <c r="A186" i="7" s="1"/>
  <c r="A167" i="7"/>
  <c r="A166" i="7"/>
  <c r="A165" i="7"/>
  <c r="A124" i="7"/>
  <c r="A164" i="7"/>
  <c r="A161" i="7"/>
  <c r="A160" i="7"/>
  <c r="A159" i="7"/>
  <c r="A157" i="7"/>
  <c r="A154" i="7"/>
  <c r="A152" i="7"/>
  <c r="A151" i="7"/>
  <c r="A148" i="7"/>
  <c r="A147" i="7"/>
  <c r="A146" i="7"/>
  <c r="A145" i="7"/>
  <c r="A144" i="7"/>
  <c r="A141" i="7"/>
  <c r="A140" i="7"/>
  <c r="A139" i="7"/>
  <c r="A137" i="7"/>
  <c r="A135" i="7"/>
  <c r="A134" i="7"/>
  <c r="A133" i="7"/>
  <c r="A129" i="7"/>
  <c r="A128" i="7"/>
  <c r="A127" i="7"/>
  <c r="A125" i="7"/>
  <c r="A123" i="7"/>
  <c r="A122" i="7"/>
  <c r="A132" i="7" s="1"/>
  <c r="A120" i="7"/>
  <c r="A119" i="7"/>
  <c r="A117" i="7"/>
  <c r="A115" i="7"/>
  <c r="A114" i="7"/>
  <c r="A113" i="7"/>
  <c r="A112" i="7"/>
  <c r="A111" i="7"/>
  <c r="A108" i="7"/>
  <c r="A107" i="7"/>
  <c r="A106" i="7"/>
  <c r="A105" i="7"/>
  <c r="A104" i="7"/>
  <c r="A103" i="7"/>
  <c r="A99" i="7"/>
  <c r="A98" i="7"/>
  <c r="A97" i="7"/>
  <c r="A96" i="7"/>
  <c r="A78" i="7"/>
  <c r="A94" i="7" s="1"/>
  <c r="A76" i="7"/>
  <c r="A75" i="7"/>
  <c r="A74" i="7"/>
  <c r="A70" i="7"/>
  <c r="A69" i="7"/>
  <c r="A68" i="7"/>
  <c r="A67" i="7"/>
  <c r="A66" i="7"/>
  <c r="A63" i="7"/>
  <c r="A62" i="7"/>
  <c r="A61" i="7"/>
  <c r="A60" i="7"/>
  <c r="A59" i="7"/>
  <c r="A58" i="7"/>
  <c r="A65" i="7" s="1"/>
  <c r="A73" i="7" s="1"/>
  <c r="A56" i="7"/>
  <c r="A55" i="7"/>
  <c r="A54" i="7"/>
  <c r="A51" i="7"/>
  <c r="A49" i="7"/>
  <c r="A42" i="7"/>
  <c r="A41" i="7"/>
  <c r="A37" i="7"/>
  <c r="A36" i="7"/>
  <c r="A35" i="7"/>
  <c r="A31" i="7"/>
  <c r="A34" i="7"/>
  <c r="A28" i="7"/>
  <c r="A30" i="7"/>
  <c r="A21" i="7"/>
  <c r="A27" i="7" s="1"/>
  <c r="M137" i="7" l="1"/>
  <c r="L142" i="7"/>
  <c r="A143" i="7"/>
  <c r="A150" i="7" s="1"/>
  <c r="A163" i="7" s="1"/>
  <c r="A84" i="7"/>
  <c r="A102" i="7"/>
  <c r="A110" i="7" s="1"/>
  <c r="A40" i="7"/>
  <c r="A33" i="7"/>
  <c r="A16" i="7" l="1"/>
  <c r="A17" i="7"/>
  <c r="A19" i="7"/>
  <c r="I30" i="2"/>
  <c r="H42" i="7" s="1"/>
  <c r="I17" i="2" l="1"/>
  <c r="D9" i="9" l="1"/>
  <c r="B5" i="32" l="1"/>
  <c r="G8" i="31" l="1"/>
  <c r="G9" i="31"/>
  <c r="G10" i="31"/>
  <c r="G11" i="31"/>
  <c r="G12" i="31"/>
  <c r="G13" i="31"/>
  <c r="G14" i="31"/>
  <c r="G15" i="31"/>
  <c r="J7" i="31" l="1"/>
  <c r="D48" i="9" l="1"/>
  <c r="D40" i="9"/>
  <c r="C40" i="9"/>
  <c r="D25" i="9"/>
  <c r="D20" i="9"/>
  <c r="D14" i="9"/>
  <c r="C48" i="9"/>
  <c r="C25" i="9"/>
  <c r="C20" i="9"/>
  <c r="C14" i="9"/>
  <c r="C9" i="9"/>
  <c r="C13" i="9" l="1"/>
  <c r="C8" i="9" s="1"/>
  <c r="C7" i="9" s="1"/>
  <c r="C53" i="9" s="1"/>
  <c r="D13" i="9"/>
  <c r="D8" i="9" s="1"/>
  <c r="D7" i="9" s="1"/>
  <c r="I7" i="31"/>
  <c r="J28" i="31"/>
  <c r="J29" i="31"/>
  <c r="J30" i="31"/>
  <c r="J31" i="31"/>
  <c r="J32" i="31"/>
  <c r="J33" i="31"/>
  <c r="J34" i="31"/>
  <c r="J35" i="31"/>
  <c r="J36" i="31"/>
  <c r="J37" i="31"/>
  <c r="J38" i="31"/>
  <c r="J39" i="31"/>
  <c r="J40" i="31"/>
  <c r="J41" i="31"/>
  <c r="J42" i="31"/>
  <c r="J43" i="31"/>
  <c r="J44" i="31"/>
  <c r="J45" i="31"/>
  <c r="J46" i="31"/>
  <c r="J47" i="31"/>
  <c r="J48" i="31"/>
  <c r="J49" i="31"/>
  <c r="J50" i="31"/>
  <c r="J51" i="31"/>
  <c r="J52" i="31"/>
  <c r="J53" i="31"/>
  <c r="J54" i="31"/>
  <c r="J55" i="31"/>
  <c r="J56" i="31"/>
  <c r="J57" i="31"/>
  <c r="J58" i="31"/>
  <c r="J59" i="31"/>
  <c r="J60" i="31"/>
  <c r="J61" i="31"/>
  <c r="J62" i="31"/>
  <c r="J63" i="31"/>
  <c r="J64" i="31"/>
  <c r="J65" i="31"/>
  <c r="J66" i="31"/>
  <c r="J27" i="31"/>
  <c r="I61" i="31"/>
  <c r="I28" i="31"/>
  <c r="I29" i="31"/>
  <c r="I30" i="31"/>
  <c r="I31" i="31"/>
  <c r="I32" i="31"/>
  <c r="I33" i="31"/>
  <c r="I34" i="31"/>
  <c r="I35" i="31"/>
  <c r="I36" i="31"/>
  <c r="I37" i="31"/>
  <c r="I38" i="31"/>
  <c r="I39" i="31"/>
  <c r="I40" i="31"/>
  <c r="I41" i="31"/>
  <c r="I42" i="31"/>
  <c r="I43" i="31"/>
  <c r="I44" i="31"/>
  <c r="I45" i="31"/>
  <c r="I46" i="31"/>
  <c r="I47" i="31"/>
  <c r="I48" i="31"/>
  <c r="I49" i="31"/>
  <c r="I50" i="31"/>
  <c r="I51" i="31"/>
  <c r="I52" i="31"/>
  <c r="I53" i="31"/>
  <c r="I54" i="31"/>
  <c r="I55" i="31"/>
  <c r="I56" i="31"/>
  <c r="I57" i="31"/>
  <c r="I58" i="31"/>
  <c r="I59" i="31"/>
  <c r="I60" i="31"/>
  <c r="I27" i="31"/>
  <c r="H28" i="31"/>
  <c r="H29" i="31"/>
  <c r="H30" i="31"/>
  <c r="H31" i="31"/>
  <c r="H32" i="31"/>
  <c r="H33" i="31"/>
  <c r="H34" i="31"/>
  <c r="H35" i="31"/>
  <c r="H36" i="31"/>
  <c r="H37" i="31"/>
  <c r="H38" i="31"/>
  <c r="H39" i="31"/>
  <c r="H40" i="31"/>
  <c r="H41" i="31"/>
  <c r="H42" i="31"/>
  <c r="H43" i="31"/>
  <c r="H44" i="31"/>
  <c r="H45" i="31"/>
  <c r="H46" i="31"/>
  <c r="H47" i="31"/>
  <c r="H48" i="31"/>
  <c r="H49" i="31"/>
  <c r="H50" i="31"/>
  <c r="H51" i="31"/>
  <c r="H52" i="31"/>
  <c r="H53" i="31"/>
  <c r="H54" i="31"/>
  <c r="H55" i="31"/>
  <c r="H56" i="31"/>
  <c r="H57" i="31"/>
  <c r="H58" i="31"/>
  <c r="H59" i="31"/>
  <c r="H60" i="31"/>
  <c r="H61" i="31"/>
  <c r="H27" i="31"/>
  <c r="I63" i="31"/>
  <c r="I64" i="31"/>
  <c r="I65" i="31"/>
  <c r="I66" i="31"/>
  <c r="I62" i="31"/>
  <c r="H66" i="31"/>
  <c r="H63" i="31"/>
  <c r="H64" i="31"/>
  <c r="H65" i="31"/>
  <c r="H62" i="31"/>
  <c r="I70" i="31" l="1"/>
  <c r="I71" i="31" s="1"/>
  <c r="H70" i="31"/>
  <c r="H7" i="31"/>
  <c r="C12" i="31"/>
  <c r="C8" i="31"/>
  <c r="E8" i="31"/>
  <c r="E12" i="31"/>
  <c r="B12" i="31"/>
  <c r="B8" i="31"/>
  <c r="C26" i="31"/>
  <c r="D26" i="31"/>
  <c r="E26" i="31"/>
  <c r="F26" i="31"/>
  <c r="G26" i="31"/>
  <c r="H26" i="31"/>
  <c r="I26" i="31"/>
  <c r="J26" i="31"/>
  <c r="B26" i="31"/>
  <c r="J67" i="31"/>
  <c r="I67" i="31"/>
  <c r="H67" i="31"/>
  <c r="J23" i="31"/>
  <c r="I23" i="31"/>
  <c r="H23" i="31"/>
  <c r="J22" i="31"/>
  <c r="J21" i="31" s="1"/>
  <c r="I22" i="31"/>
  <c r="I21" i="31" s="1"/>
  <c r="H22" i="31"/>
  <c r="H21" i="31" s="1"/>
  <c r="G21" i="31"/>
  <c r="G20" i="31" s="1"/>
  <c r="F21" i="31"/>
  <c r="F20" i="31" s="1"/>
  <c r="E21" i="31"/>
  <c r="E20" i="31" s="1"/>
  <c r="D21" i="31"/>
  <c r="D20" i="31" s="1"/>
  <c r="C21" i="31"/>
  <c r="C20" i="31" s="1"/>
  <c r="B21" i="31"/>
  <c r="B20" i="31" s="1"/>
  <c r="J19" i="31"/>
  <c r="I19" i="31"/>
  <c r="H19" i="31"/>
  <c r="J18" i="31"/>
  <c r="I18" i="31"/>
  <c r="H18" i="31"/>
  <c r="G17" i="31"/>
  <c r="F17" i="31"/>
  <c r="E17" i="31"/>
  <c r="D17" i="31"/>
  <c r="C17" i="31"/>
  <c r="B17" i="31"/>
  <c r="J16" i="31"/>
  <c r="I16" i="31"/>
  <c r="H16" i="31"/>
  <c r="J15" i="31"/>
  <c r="I15" i="31"/>
  <c r="H15" i="31"/>
  <c r="J14" i="31"/>
  <c r="I14" i="31"/>
  <c r="H14" i="31"/>
  <c r="D13" i="31"/>
  <c r="J11" i="31"/>
  <c r="I11" i="31"/>
  <c r="H11" i="31"/>
  <c r="J10" i="31"/>
  <c r="I10" i="31"/>
  <c r="H10" i="31"/>
  <c r="J9" i="31"/>
  <c r="I9" i="31"/>
  <c r="H9" i="31"/>
  <c r="D8" i="31"/>
  <c r="J13" i="31" l="1"/>
  <c r="J8" i="31"/>
  <c r="H17" i="31"/>
  <c r="J20" i="31"/>
  <c r="D12" i="31"/>
  <c r="D24" i="31" s="1"/>
  <c r="D68" i="31" s="1"/>
  <c r="E24" i="31"/>
  <c r="E68" i="31" s="1"/>
  <c r="C24" i="31"/>
  <c r="C68" i="31" s="1"/>
  <c r="G24" i="31"/>
  <c r="G68" i="31" s="1"/>
  <c r="J17" i="31"/>
  <c r="H13" i="31"/>
  <c r="I8" i="31"/>
  <c r="I13" i="31"/>
  <c r="I17" i="31"/>
  <c r="H20" i="31"/>
  <c r="I20" i="31"/>
  <c r="H8" i="31"/>
  <c r="B24" i="31"/>
  <c r="B68" i="31" s="1"/>
  <c r="F24" i="31"/>
  <c r="F68" i="31" s="1"/>
  <c r="J12" i="31" l="1"/>
  <c r="J24" i="31" s="1"/>
  <c r="J68" i="31" s="1"/>
  <c r="H12" i="31"/>
  <c r="H24" i="31" s="1"/>
  <c r="H68" i="31" s="1"/>
  <c r="I12" i="31"/>
  <c r="I24" i="31" s="1"/>
  <c r="I68" i="31" s="1"/>
  <c r="L113" i="7" l="1"/>
  <c r="M113" i="7" s="1"/>
  <c r="L97" i="7"/>
  <c r="M97" i="7" s="1"/>
  <c r="L98" i="7"/>
  <c r="M98" i="7" s="1"/>
  <c r="L99" i="7"/>
  <c r="M99" i="7" s="1"/>
  <c r="L81" i="7"/>
  <c r="M81" i="7" s="1"/>
  <c r="L80" i="7"/>
  <c r="M80" i="7" s="1"/>
  <c r="L76" i="7"/>
  <c r="M76" i="7" s="1"/>
  <c r="L75" i="7"/>
  <c r="M75" i="7" s="1"/>
  <c r="L60" i="7"/>
  <c r="M60" i="7" s="1"/>
  <c r="L30" i="7"/>
  <c r="M30" i="7" s="1"/>
  <c r="L29" i="7"/>
  <c r="M29" i="7" s="1"/>
  <c r="E49" i="9"/>
  <c r="E44" i="9"/>
  <c r="E39" i="9"/>
  <c r="E31" i="9"/>
  <c r="E30" i="9"/>
  <c r="E29" i="9"/>
  <c r="E28" i="9"/>
  <c r="E26" i="9"/>
  <c r="E21" i="9"/>
  <c r="E20" i="9"/>
  <c r="E15" i="9"/>
  <c r="E14" i="9"/>
  <c r="E13" i="9"/>
  <c r="E11" i="9"/>
  <c r="F5" i="13"/>
  <c r="I16" i="13"/>
  <c r="E32" i="9"/>
  <c r="E9" i="9"/>
  <c r="E48" i="9"/>
  <c r="E25" i="9"/>
  <c r="C55" i="9"/>
  <c r="E40" i="9"/>
  <c r="E8" i="9"/>
  <c r="M114" i="7"/>
  <c r="L100" i="7"/>
  <c r="M100" i="7" s="1"/>
  <c r="L68" i="7"/>
  <c r="M68" i="7" s="1"/>
  <c r="L69" i="7"/>
  <c r="M69" i="7" s="1"/>
  <c r="L67" i="7"/>
  <c r="M67" i="7" s="1"/>
  <c r="L24" i="7"/>
  <c r="M24" i="7" s="1"/>
  <c r="H171" i="7"/>
  <c r="H165" i="7"/>
  <c r="H30" i="7"/>
  <c r="H29" i="7"/>
  <c r="H24" i="7"/>
  <c r="H25" i="7"/>
  <c r="H23" i="7"/>
  <c r="I15" i="2"/>
  <c r="H19" i="7" s="1"/>
  <c r="I12" i="2"/>
  <c r="H16" i="7" s="1"/>
  <c r="I13" i="2"/>
  <c r="H17" i="7" s="1"/>
  <c r="I14" i="2"/>
  <c r="H18" i="7" s="1"/>
  <c r="A23" i="7"/>
  <c r="A25" i="7"/>
  <c r="A24" i="7"/>
  <c r="A18" i="7"/>
  <c r="A3" i="28" s="1"/>
  <c r="A22" i="7"/>
  <c r="A18" i="28"/>
  <c r="A50" i="28"/>
  <c r="I8" i="12"/>
  <c r="I6" i="18"/>
  <c r="I6" i="17"/>
  <c r="G8" i="16"/>
  <c r="F8" i="16"/>
  <c r="J14" i="15"/>
  <c r="C7" i="14"/>
  <c r="C20" i="13"/>
  <c r="C12" i="16"/>
  <c r="C9" i="16"/>
  <c r="C7" i="16"/>
  <c r="C5" i="16"/>
  <c r="C38" i="16" s="1"/>
  <c r="C6" i="15"/>
  <c r="C7" i="15"/>
  <c r="C9" i="15"/>
  <c r="C5" i="15"/>
  <c r="C17" i="15" s="1"/>
  <c r="C11" i="14"/>
  <c r="A4" i="28"/>
  <c r="G24" i="29"/>
  <c r="G23" i="29"/>
  <c r="H20" i="29"/>
  <c r="G20" i="29"/>
  <c r="H19" i="29"/>
  <c r="G21" i="29"/>
  <c r="G19" i="29"/>
  <c r="G18" i="29"/>
  <c r="L8" i="29"/>
  <c r="L7" i="29"/>
  <c r="K7" i="29"/>
  <c r="J7" i="29"/>
  <c r="H14" i="29"/>
  <c r="S6" i="29"/>
  <c r="S5" i="29"/>
  <c r="S4" i="29"/>
  <c r="N32" i="29"/>
  <c r="K32" i="29"/>
  <c r="I32" i="29"/>
  <c r="E26" i="29"/>
  <c r="A26" i="28"/>
  <c r="E240" i="19"/>
  <c r="E239" i="19"/>
  <c r="E238" i="19"/>
  <c r="E237" i="19"/>
  <c r="E234" i="19"/>
  <c r="E233" i="19"/>
  <c r="E200" i="19"/>
  <c r="E196" i="19"/>
  <c r="E182" i="19"/>
  <c r="E181" i="19"/>
  <c r="E180" i="19"/>
  <c r="E179" i="19"/>
  <c r="F178" i="19"/>
  <c r="E177" i="19"/>
  <c r="E176" i="19"/>
  <c r="E174" i="19"/>
  <c r="E170" i="19"/>
  <c r="E168" i="19"/>
  <c r="E166" i="19"/>
  <c r="E165" i="19"/>
  <c r="E163" i="19"/>
  <c r="E162" i="19"/>
  <c r="E161" i="19"/>
  <c r="E158" i="19"/>
  <c r="E156" i="19"/>
  <c r="E150" i="19"/>
  <c r="E114" i="19"/>
  <c r="E113" i="19"/>
  <c r="E93" i="19"/>
  <c r="E92" i="19"/>
  <c r="E91" i="19"/>
  <c r="E86" i="19"/>
  <c r="E85" i="19"/>
  <c r="E73" i="19"/>
  <c r="E72" i="19"/>
  <c r="E66" i="19"/>
  <c r="E65" i="19"/>
  <c r="E54" i="19"/>
  <c r="E52" i="19"/>
  <c r="F51" i="19"/>
  <c r="E51" i="19"/>
  <c r="F45" i="19"/>
  <c r="E45" i="19"/>
  <c r="F42" i="19"/>
  <c r="E41" i="19"/>
  <c r="E18" i="19"/>
  <c r="E15" i="19"/>
  <c r="E14" i="19"/>
  <c r="E13" i="19"/>
  <c r="E12" i="19"/>
  <c r="E11" i="19"/>
  <c r="E10" i="19"/>
  <c r="E8" i="19"/>
  <c r="F7" i="19"/>
  <c r="E7" i="19"/>
  <c r="F6" i="19"/>
  <c r="E6" i="19"/>
  <c r="J24" i="18"/>
  <c r="I24" i="18"/>
  <c r="D24" i="18"/>
  <c r="C24" i="18"/>
  <c r="B24" i="18"/>
  <c r="D23" i="18"/>
  <c r="C23" i="18"/>
  <c r="J22" i="18"/>
  <c r="I22" i="18"/>
  <c r="D22" i="18"/>
  <c r="C22" i="18"/>
  <c r="B22" i="18"/>
  <c r="J21" i="18"/>
  <c r="I21" i="18"/>
  <c r="D21" i="18"/>
  <c r="C21" i="18"/>
  <c r="B21" i="18"/>
  <c r="J20" i="18"/>
  <c r="I20" i="18"/>
  <c r="D20" i="18"/>
  <c r="C20" i="18"/>
  <c r="B20" i="18"/>
  <c r="J19" i="18"/>
  <c r="I19" i="18"/>
  <c r="D19" i="18"/>
  <c r="C19" i="18"/>
  <c r="B19" i="18"/>
  <c r="J14" i="18"/>
  <c r="I14" i="18"/>
  <c r="D14" i="18"/>
  <c r="C14" i="18"/>
  <c r="B14" i="18"/>
  <c r="J13" i="18"/>
  <c r="I13" i="18"/>
  <c r="D13" i="18"/>
  <c r="C13" i="18"/>
  <c r="B13" i="18"/>
  <c r="D12" i="18"/>
  <c r="C12" i="18"/>
  <c r="J11" i="18"/>
  <c r="I11" i="18"/>
  <c r="D11" i="18"/>
  <c r="C11" i="18"/>
  <c r="B11" i="18"/>
  <c r="J10" i="18"/>
  <c r="I10" i="18"/>
  <c r="D10" i="18"/>
  <c r="C10" i="18"/>
  <c r="B10" i="18"/>
  <c r="D9" i="18"/>
  <c r="C9" i="18"/>
  <c r="D8" i="18"/>
  <c r="C8" i="18"/>
  <c r="D7" i="18"/>
  <c r="C7" i="18"/>
  <c r="J6" i="18"/>
  <c r="D6" i="18"/>
  <c r="C6" i="18"/>
  <c r="B6" i="18"/>
  <c r="J5" i="18"/>
  <c r="J25" i="18" s="1"/>
  <c r="G5" i="18"/>
  <c r="D5" i="18"/>
  <c r="D25" i="18" s="1"/>
  <c r="B5" i="18"/>
  <c r="A5" i="18"/>
  <c r="A19" i="18" s="1"/>
  <c r="H4" i="18"/>
  <c r="G4" i="18"/>
  <c r="F4" i="18"/>
  <c r="J22" i="17"/>
  <c r="I22" i="17"/>
  <c r="D22" i="17"/>
  <c r="C22" i="17"/>
  <c r="B22" i="17"/>
  <c r="D21" i="17"/>
  <c r="C21" i="17"/>
  <c r="D20" i="17"/>
  <c r="C20" i="17"/>
  <c r="J19" i="17"/>
  <c r="I19" i="17"/>
  <c r="D19" i="17"/>
  <c r="C19" i="17"/>
  <c r="B19" i="17"/>
  <c r="J18" i="17"/>
  <c r="I18" i="17"/>
  <c r="D18" i="17"/>
  <c r="C18" i="17"/>
  <c r="B18" i="17"/>
  <c r="J17" i="17"/>
  <c r="I17" i="17"/>
  <c r="D17" i="17"/>
  <c r="C17" i="17"/>
  <c r="B17" i="17"/>
  <c r="J16" i="17"/>
  <c r="I16" i="17"/>
  <c r="D16" i="17"/>
  <c r="C16" i="17"/>
  <c r="B16" i="17"/>
  <c r="J15" i="17"/>
  <c r="I15" i="17"/>
  <c r="D15" i="17"/>
  <c r="C15" i="17"/>
  <c r="B15" i="17"/>
  <c r="D14" i="17"/>
  <c r="C14" i="17"/>
  <c r="D13" i="17"/>
  <c r="C13" i="17"/>
  <c r="D12" i="17"/>
  <c r="C12" i="17"/>
  <c r="D11" i="17"/>
  <c r="C11" i="17"/>
  <c r="D10" i="17"/>
  <c r="C10" i="17"/>
  <c r="D9" i="17"/>
  <c r="C9" i="17"/>
  <c r="D8" i="17"/>
  <c r="C8" i="17"/>
  <c r="D7" i="17"/>
  <c r="C7" i="17"/>
  <c r="J6" i="17"/>
  <c r="D6" i="17"/>
  <c r="C6" i="17"/>
  <c r="B6" i="17"/>
  <c r="D5" i="17"/>
  <c r="D23" i="17" s="1"/>
  <c r="B5" i="17"/>
  <c r="A5" i="17"/>
  <c r="H4" i="17"/>
  <c r="G4" i="17"/>
  <c r="F4" i="17"/>
  <c r="D37" i="16"/>
  <c r="C37" i="16"/>
  <c r="D36" i="16"/>
  <c r="C36" i="16"/>
  <c r="D35" i="16"/>
  <c r="C35" i="16"/>
  <c r="D34" i="16"/>
  <c r="C34" i="16"/>
  <c r="J33" i="16"/>
  <c r="I33" i="16"/>
  <c r="G33" i="16"/>
  <c r="F33" i="16"/>
  <c r="D33" i="16"/>
  <c r="C33" i="16"/>
  <c r="B33" i="16"/>
  <c r="A33" i="16"/>
  <c r="D32" i="16"/>
  <c r="C32" i="16"/>
  <c r="D31" i="16"/>
  <c r="C31" i="16"/>
  <c r="J30" i="16"/>
  <c r="I30" i="16"/>
  <c r="D30" i="16"/>
  <c r="C30" i="16"/>
  <c r="B30" i="16"/>
  <c r="J29" i="16"/>
  <c r="I29" i="16"/>
  <c r="G29" i="16"/>
  <c r="F29" i="16"/>
  <c r="D29" i="16"/>
  <c r="C29" i="16"/>
  <c r="B29" i="16"/>
  <c r="A29" i="16"/>
  <c r="J28" i="16"/>
  <c r="I28" i="16"/>
  <c r="D28" i="16"/>
  <c r="C28" i="16"/>
  <c r="B28" i="16"/>
  <c r="D27" i="16"/>
  <c r="C27" i="16"/>
  <c r="J26" i="16"/>
  <c r="I26" i="16"/>
  <c r="D26" i="16"/>
  <c r="C26" i="16"/>
  <c r="B26" i="16"/>
  <c r="J25" i="16"/>
  <c r="I25" i="16"/>
  <c r="D25" i="16"/>
  <c r="C25" i="16"/>
  <c r="B25" i="16"/>
  <c r="J24" i="16"/>
  <c r="I24" i="16"/>
  <c r="D24" i="16"/>
  <c r="C24" i="16"/>
  <c r="B24" i="16"/>
  <c r="J23" i="16"/>
  <c r="I23" i="16"/>
  <c r="G23" i="16"/>
  <c r="F23" i="16"/>
  <c r="D23" i="16"/>
  <c r="C23" i="16"/>
  <c r="B23" i="16"/>
  <c r="A23" i="16"/>
  <c r="A26" i="16" s="1"/>
  <c r="J22" i="16"/>
  <c r="I22" i="16"/>
  <c r="D22" i="16"/>
  <c r="C22" i="16"/>
  <c r="B22" i="16"/>
  <c r="D21" i="16"/>
  <c r="C21" i="16"/>
  <c r="D20" i="16"/>
  <c r="C20" i="16"/>
  <c r="D19" i="16"/>
  <c r="C19" i="16"/>
  <c r="J18" i="16"/>
  <c r="I18" i="16"/>
  <c r="G18" i="16"/>
  <c r="F18" i="16"/>
  <c r="D18" i="16"/>
  <c r="C18" i="16"/>
  <c r="B18" i="16"/>
  <c r="A18" i="16"/>
  <c r="D17" i="16"/>
  <c r="C17" i="16"/>
  <c r="D16" i="16"/>
  <c r="C16" i="16"/>
  <c r="J15" i="16"/>
  <c r="I15" i="16"/>
  <c r="D15" i="16"/>
  <c r="C15" i="16"/>
  <c r="B15" i="16"/>
  <c r="J14" i="16"/>
  <c r="I14" i="16"/>
  <c r="D14" i="16"/>
  <c r="C14" i="16"/>
  <c r="B14" i="16"/>
  <c r="D13" i="16"/>
  <c r="J12" i="16"/>
  <c r="I12" i="16"/>
  <c r="D12" i="16"/>
  <c r="B12" i="16"/>
  <c r="I11" i="16"/>
  <c r="G11" i="16"/>
  <c r="F11" i="16"/>
  <c r="D11" i="16"/>
  <c r="B11" i="16"/>
  <c r="A11" i="16"/>
  <c r="D10" i="16"/>
  <c r="D9" i="16"/>
  <c r="J8" i="16"/>
  <c r="D8" i="16"/>
  <c r="B8" i="16"/>
  <c r="A8" i="16"/>
  <c r="J7" i="16"/>
  <c r="I7" i="16"/>
  <c r="D7" i="16"/>
  <c r="B7" i="16"/>
  <c r="J6" i="16"/>
  <c r="I6" i="16"/>
  <c r="D6" i="16"/>
  <c r="B6" i="16"/>
  <c r="J5" i="16"/>
  <c r="J38" i="16" s="1"/>
  <c r="I5" i="16"/>
  <c r="I38" i="16" s="1"/>
  <c r="G5" i="16"/>
  <c r="F5" i="16"/>
  <c r="D5" i="16"/>
  <c r="D38" i="16" s="1"/>
  <c r="B5" i="16"/>
  <c r="A5" i="16"/>
  <c r="H4" i="16"/>
  <c r="G4" i="16"/>
  <c r="F4" i="16"/>
  <c r="F3" i="16"/>
  <c r="J16" i="15"/>
  <c r="I16" i="15"/>
  <c r="D16" i="15"/>
  <c r="C16" i="15"/>
  <c r="B16" i="15"/>
  <c r="J15" i="15"/>
  <c r="I15" i="15"/>
  <c r="D15" i="15"/>
  <c r="B15" i="15"/>
  <c r="D14" i="15"/>
  <c r="C14" i="15"/>
  <c r="B14" i="15"/>
  <c r="A14" i="15"/>
  <c r="J13" i="15"/>
  <c r="I13" i="15"/>
  <c r="D13" i="15"/>
  <c r="C13" i="15"/>
  <c r="B13" i="15"/>
  <c r="J12" i="15"/>
  <c r="I12" i="15"/>
  <c r="D12" i="15"/>
  <c r="C12" i="15"/>
  <c r="B12" i="15"/>
  <c r="J11" i="15"/>
  <c r="I11" i="15"/>
  <c r="D11" i="15"/>
  <c r="C11" i="15"/>
  <c r="B11" i="15"/>
  <c r="J10" i="15"/>
  <c r="I10" i="15"/>
  <c r="D10" i="15"/>
  <c r="C10" i="15"/>
  <c r="B10" i="15"/>
  <c r="J9" i="15"/>
  <c r="I9" i="15"/>
  <c r="D9" i="15"/>
  <c r="D5" i="15"/>
  <c r="D17" i="15" s="1"/>
  <c r="D6" i="15"/>
  <c r="D7" i="15"/>
  <c r="D8" i="15"/>
  <c r="C8" i="15"/>
  <c r="C15" i="15"/>
  <c r="B9" i="15"/>
  <c r="J8" i="15"/>
  <c r="I8" i="15"/>
  <c r="B8" i="15"/>
  <c r="J7" i="15"/>
  <c r="I7" i="15"/>
  <c r="B7" i="15"/>
  <c r="J6" i="15"/>
  <c r="I6" i="15"/>
  <c r="B6" i="15"/>
  <c r="I5" i="15"/>
  <c r="I17" i="15" s="1"/>
  <c r="J5" i="15"/>
  <c r="J17" i="15" s="1"/>
  <c r="G5" i="15"/>
  <c r="F5" i="15"/>
  <c r="B5" i="15"/>
  <c r="A5" i="15"/>
  <c r="H4" i="15"/>
  <c r="G4" i="15"/>
  <c r="F4" i="15"/>
  <c r="F3" i="15"/>
  <c r="J22" i="14"/>
  <c r="I22" i="14"/>
  <c r="D22" i="14"/>
  <c r="C22" i="14"/>
  <c r="B22" i="14"/>
  <c r="J21" i="14"/>
  <c r="I21" i="14"/>
  <c r="D21" i="14"/>
  <c r="C21" i="14"/>
  <c r="B21" i="14"/>
  <c r="D20" i="14"/>
  <c r="C20" i="14"/>
  <c r="J19" i="14"/>
  <c r="I19" i="14"/>
  <c r="D19" i="14"/>
  <c r="C19" i="14"/>
  <c r="B19" i="14"/>
  <c r="D18" i="14"/>
  <c r="C18" i="14"/>
  <c r="J17" i="14"/>
  <c r="I17" i="14"/>
  <c r="G17" i="14"/>
  <c r="F17" i="14"/>
  <c r="D17" i="14"/>
  <c r="C17" i="14"/>
  <c r="B17" i="14"/>
  <c r="A17" i="14"/>
  <c r="J16" i="14"/>
  <c r="I16" i="14"/>
  <c r="G16" i="14"/>
  <c r="F16" i="14"/>
  <c r="D16" i="14"/>
  <c r="C16" i="14"/>
  <c r="B16" i="14"/>
  <c r="A16" i="14"/>
  <c r="D15" i="14"/>
  <c r="C15" i="14"/>
  <c r="J14" i="14"/>
  <c r="I14" i="14"/>
  <c r="D14" i="14"/>
  <c r="C14" i="14"/>
  <c r="B14" i="14"/>
  <c r="D13" i="14"/>
  <c r="C13" i="14"/>
  <c r="J12" i="14"/>
  <c r="I12" i="14"/>
  <c r="D12" i="14"/>
  <c r="C12" i="14"/>
  <c r="B12" i="14"/>
  <c r="J11" i="14"/>
  <c r="I11" i="14"/>
  <c r="G11" i="14"/>
  <c r="F11" i="14"/>
  <c r="D11" i="14"/>
  <c r="B11" i="14"/>
  <c r="A11" i="14"/>
  <c r="J10" i="14"/>
  <c r="I10" i="14"/>
  <c r="D10" i="14"/>
  <c r="C10" i="14"/>
  <c r="B10" i="14"/>
  <c r="J9" i="14"/>
  <c r="I9" i="14"/>
  <c r="D9" i="14"/>
  <c r="C9" i="14"/>
  <c r="B9" i="14"/>
  <c r="J8" i="14"/>
  <c r="I8" i="14"/>
  <c r="D8" i="14"/>
  <c r="C8" i="14"/>
  <c r="B8" i="14"/>
  <c r="J7" i="14"/>
  <c r="G7" i="14"/>
  <c r="D7" i="14"/>
  <c r="B7" i="14"/>
  <c r="A7" i="14"/>
  <c r="I6" i="14"/>
  <c r="F6" i="14"/>
  <c r="D6" i="14"/>
  <c r="B6" i="14"/>
  <c r="A6" i="14"/>
  <c r="J5" i="14"/>
  <c r="J23" i="14" s="1"/>
  <c r="I5" i="14"/>
  <c r="I23" i="14" s="1"/>
  <c r="G5" i="14"/>
  <c r="F5" i="14"/>
  <c r="E5" i="14"/>
  <c r="E77" i="19" s="1"/>
  <c r="D5" i="14"/>
  <c r="D23" i="14" s="1"/>
  <c r="C5" i="14"/>
  <c r="C23" i="14" s="1"/>
  <c r="B5" i="14"/>
  <c r="A5" i="14"/>
  <c r="H4" i="14"/>
  <c r="G4" i="14"/>
  <c r="F4" i="14"/>
  <c r="D37" i="13"/>
  <c r="C37" i="13"/>
  <c r="J36" i="13"/>
  <c r="I36" i="13"/>
  <c r="G36" i="13"/>
  <c r="F36" i="13"/>
  <c r="D36" i="13"/>
  <c r="C36" i="13"/>
  <c r="B36" i="13"/>
  <c r="J35" i="13"/>
  <c r="I35" i="13"/>
  <c r="G35" i="13"/>
  <c r="F35" i="13"/>
  <c r="D35" i="13"/>
  <c r="C35" i="13"/>
  <c r="B35" i="13"/>
  <c r="A35" i="13"/>
  <c r="J34" i="13"/>
  <c r="I34" i="13"/>
  <c r="D34" i="13"/>
  <c r="C34" i="13"/>
  <c r="B34" i="13"/>
  <c r="J33" i="13"/>
  <c r="I33" i="13"/>
  <c r="D33" i="13"/>
  <c r="C33" i="13"/>
  <c r="B33" i="13"/>
  <c r="D32" i="13"/>
  <c r="C32" i="13"/>
  <c r="J31" i="13"/>
  <c r="D31" i="13"/>
  <c r="B31" i="13"/>
  <c r="D30" i="13"/>
  <c r="I29" i="13"/>
  <c r="G29" i="13"/>
  <c r="F29" i="13"/>
  <c r="D29" i="13"/>
  <c r="B29" i="13"/>
  <c r="A29" i="13"/>
  <c r="J28" i="13"/>
  <c r="I28" i="13"/>
  <c r="G28" i="13"/>
  <c r="F28" i="13"/>
  <c r="D28" i="13"/>
  <c r="C28" i="13"/>
  <c r="B28" i="13"/>
  <c r="A28" i="13"/>
  <c r="J27" i="13"/>
  <c r="I27" i="13"/>
  <c r="D27" i="13"/>
  <c r="C27" i="13"/>
  <c r="B27" i="13"/>
  <c r="J26" i="13"/>
  <c r="I26" i="13"/>
  <c r="D26" i="13"/>
  <c r="C26" i="13"/>
  <c r="B26" i="13"/>
  <c r="J25" i="13"/>
  <c r="I25" i="13"/>
  <c r="D25" i="13"/>
  <c r="C25" i="13"/>
  <c r="B25" i="13"/>
  <c r="J24" i="13"/>
  <c r="G24" i="13"/>
  <c r="D24" i="13"/>
  <c r="B24" i="13"/>
  <c r="A24" i="13"/>
  <c r="D23" i="13"/>
  <c r="B23" i="13"/>
  <c r="A23" i="13"/>
  <c r="J22" i="13"/>
  <c r="I22" i="13"/>
  <c r="D22" i="13"/>
  <c r="C22" i="13"/>
  <c r="B22" i="13"/>
  <c r="J21" i="13"/>
  <c r="I21" i="13"/>
  <c r="D21" i="13"/>
  <c r="C21" i="13"/>
  <c r="B21" i="13"/>
  <c r="J20" i="13"/>
  <c r="I20" i="13"/>
  <c r="G20" i="13"/>
  <c r="F20" i="13"/>
  <c r="D20" i="13"/>
  <c r="B20" i="13"/>
  <c r="A20" i="13"/>
  <c r="J19" i="13"/>
  <c r="I19" i="13"/>
  <c r="D19" i="13"/>
  <c r="C19" i="13"/>
  <c r="B19" i="13"/>
  <c r="J18" i="13"/>
  <c r="I18" i="13"/>
  <c r="D18" i="13"/>
  <c r="C18" i="13"/>
  <c r="B18" i="13"/>
  <c r="J17" i="13"/>
  <c r="I17" i="13"/>
  <c r="D17" i="13"/>
  <c r="C17" i="13"/>
  <c r="B17" i="13"/>
  <c r="J16" i="13"/>
  <c r="G16" i="13"/>
  <c r="D16" i="13"/>
  <c r="B16" i="13"/>
  <c r="A16" i="13"/>
  <c r="J15" i="13"/>
  <c r="I15" i="13"/>
  <c r="D15" i="13"/>
  <c r="C15" i="13"/>
  <c r="B15" i="13"/>
  <c r="J14" i="13"/>
  <c r="I14" i="13"/>
  <c r="D14" i="13"/>
  <c r="C14" i="13"/>
  <c r="B14" i="13"/>
  <c r="J13" i="13"/>
  <c r="I13" i="13"/>
  <c r="D13" i="13"/>
  <c r="C13" i="13"/>
  <c r="B13" i="13"/>
  <c r="J12" i="13"/>
  <c r="I12" i="13"/>
  <c r="D12" i="13"/>
  <c r="C12" i="13"/>
  <c r="B12" i="13"/>
  <c r="J11" i="13"/>
  <c r="I11" i="13"/>
  <c r="D11" i="13"/>
  <c r="C11" i="13"/>
  <c r="B11" i="13"/>
  <c r="J10" i="13"/>
  <c r="I10" i="13"/>
  <c r="D10" i="13"/>
  <c r="C10" i="13"/>
  <c r="B10" i="13"/>
  <c r="J9" i="13"/>
  <c r="C9" i="13"/>
  <c r="B9" i="13"/>
  <c r="J8" i="13"/>
  <c r="I8" i="13"/>
  <c r="D8" i="13"/>
  <c r="C8" i="13"/>
  <c r="B8" i="13"/>
  <c r="J7" i="13"/>
  <c r="I7" i="13"/>
  <c r="D7" i="13"/>
  <c r="C7" i="13"/>
  <c r="B7" i="13"/>
  <c r="J6" i="13"/>
  <c r="I6" i="13"/>
  <c r="D6" i="13"/>
  <c r="C6" i="13"/>
  <c r="B6" i="13"/>
  <c r="P5" i="13"/>
  <c r="J5" i="13"/>
  <c r="J38" i="13" s="1"/>
  <c r="I5" i="13"/>
  <c r="I38" i="13" s="1"/>
  <c r="D5" i="13"/>
  <c r="D38" i="13" s="1"/>
  <c r="C5" i="13"/>
  <c r="C38" i="13" s="1"/>
  <c r="B5" i="13"/>
  <c r="A5" i="13"/>
  <c r="H4" i="13"/>
  <c r="G4" i="13"/>
  <c r="F4" i="13"/>
  <c r="I2" i="13"/>
  <c r="I2" i="14" s="1"/>
  <c r="I2" i="15" s="1"/>
  <c r="I2" i="16" s="1"/>
  <c r="I2" i="17" s="1"/>
  <c r="I2" i="18" s="1"/>
  <c r="F2" i="13"/>
  <c r="F2" i="14"/>
  <c r="F2" i="15" s="1"/>
  <c r="F2" i="16" s="1"/>
  <c r="F2" i="17" s="1"/>
  <c r="F2" i="18" s="1"/>
  <c r="D18" i="12"/>
  <c r="C18" i="12"/>
  <c r="J17" i="12"/>
  <c r="I17" i="12"/>
  <c r="D17" i="12"/>
  <c r="C17" i="12"/>
  <c r="B17" i="12"/>
  <c r="J16" i="12"/>
  <c r="I16" i="12"/>
  <c r="D16" i="12"/>
  <c r="C16" i="12"/>
  <c r="B16" i="12"/>
  <c r="J15" i="12"/>
  <c r="I15" i="12"/>
  <c r="D15" i="12"/>
  <c r="C15" i="12"/>
  <c r="B15" i="12"/>
  <c r="J14" i="12"/>
  <c r="I14" i="12"/>
  <c r="D14" i="12"/>
  <c r="C14" i="12"/>
  <c r="B14" i="12"/>
  <c r="D13" i="12"/>
  <c r="C13" i="12"/>
  <c r="J12" i="12"/>
  <c r="I12" i="12"/>
  <c r="D12" i="12"/>
  <c r="C12" i="12"/>
  <c r="B12" i="12"/>
  <c r="J11" i="12"/>
  <c r="I11" i="12"/>
  <c r="G11" i="12"/>
  <c r="F11" i="12"/>
  <c r="D11" i="12"/>
  <c r="C11" i="12"/>
  <c r="B11" i="12"/>
  <c r="A11" i="12"/>
  <c r="J10" i="12"/>
  <c r="I10" i="12"/>
  <c r="G10" i="12"/>
  <c r="F10" i="12"/>
  <c r="D10" i="12"/>
  <c r="C10" i="12"/>
  <c r="B10" i="12"/>
  <c r="A10" i="12"/>
  <c r="J9" i="12"/>
  <c r="I9" i="12"/>
  <c r="D9" i="12"/>
  <c r="C9" i="12"/>
  <c r="B9" i="12"/>
  <c r="J8" i="12"/>
  <c r="D8" i="12"/>
  <c r="C8" i="12"/>
  <c r="B8" i="12"/>
  <c r="D7" i="12"/>
  <c r="C7" i="12"/>
  <c r="C19" i="12" s="1"/>
  <c r="B7" i="12"/>
  <c r="D6" i="12"/>
  <c r="C6" i="12"/>
  <c r="B6" i="12"/>
  <c r="D5" i="12"/>
  <c r="B5" i="12"/>
  <c r="A5" i="12"/>
  <c r="H4" i="12"/>
  <c r="G4" i="12"/>
  <c r="F4" i="12"/>
  <c r="A36" i="26"/>
  <c r="A35" i="26"/>
  <c r="A34" i="26"/>
  <c r="A33" i="26"/>
  <c r="A31" i="26"/>
  <c r="A30" i="26"/>
  <c r="A29" i="26"/>
  <c r="A28" i="26"/>
  <c r="A27" i="26"/>
  <c r="A26" i="26"/>
  <c r="A25" i="26"/>
  <c r="A24" i="26"/>
  <c r="A23" i="26"/>
  <c r="A22" i="26"/>
  <c r="A21" i="26"/>
  <c r="A20" i="26"/>
  <c r="A19" i="26"/>
  <c r="A18" i="26"/>
  <c r="A17" i="26"/>
  <c r="A16" i="26"/>
  <c r="A14" i="26"/>
  <c r="D9" i="26"/>
  <c r="D14" i="26" s="1"/>
  <c r="C67" i="28"/>
  <c r="D51" i="28"/>
  <c r="D34" i="28"/>
  <c r="D17" i="28"/>
  <c r="D11" i="28"/>
  <c r="D13" i="28" s="1"/>
  <c r="A73" i="28"/>
  <c r="A72" i="28"/>
  <c r="A71" i="28"/>
  <c r="A70" i="28"/>
  <c r="A69" i="28"/>
  <c r="A68" i="28"/>
  <c r="A67" i="28"/>
  <c r="A66" i="28"/>
  <c r="A65" i="28"/>
  <c r="A64" i="28"/>
  <c r="A63" i="28"/>
  <c r="A62" i="28"/>
  <c r="A61" i="28"/>
  <c r="A60" i="28"/>
  <c r="A59" i="28"/>
  <c r="A58" i="28"/>
  <c r="C6" i="16"/>
  <c r="A57" i="28"/>
  <c r="A56" i="28"/>
  <c r="A55" i="28"/>
  <c r="A53" i="28"/>
  <c r="A52" i="28"/>
  <c r="A51" i="28"/>
  <c r="A48" i="28"/>
  <c r="A47" i="28"/>
  <c r="A46" i="28"/>
  <c r="A45" i="28"/>
  <c r="A44" i="28"/>
  <c r="A43" i="28"/>
  <c r="A42" i="28"/>
  <c r="A41" i="28"/>
  <c r="A40" i="28"/>
  <c r="A39" i="28"/>
  <c r="A38" i="28"/>
  <c r="A37" i="28"/>
  <c r="A36" i="28"/>
  <c r="A35" i="28"/>
  <c r="A34" i="28"/>
  <c r="A32" i="28"/>
  <c r="A31" i="28"/>
  <c r="A30" i="28"/>
  <c r="A12" i="26" s="1"/>
  <c r="A29" i="28"/>
  <c r="A11" i="26" s="1"/>
  <c r="A28" i="28"/>
  <c r="A10" i="26" s="1"/>
  <c r="A27" i="28"/>
  <c r="A9" i="26" s="1"/>
  <c r="A25" i="28"/>
  <c r="A24" i="28"/>
  <c r="A23" i="28"/>
  <c r="A22" i="28"/>
  <c r="A21" i="28"/>
  <c r="A20" i="28"/>
  <c r="A19" i="28"/>
  <c r="A17" i="28"/>
  <c r="A16" i="28"/>
  <c r="A15" i="28"/>
  <c r="A14" i="28"/>
  <c r="A13" i="28"/>
  <c r="A12" i="28"/>
  <c r="A11" i="28"/>
  <c r="A10" i="28"/>
  <c r="A9" i="28"/>
  <c r="A8" i="28"/>
  <c r="C31" i="13"/>
  <c r="C30" i="13"/>
  <c r="C29" i="13"/>
  <c r="A7" i="28"/>
  <c r="A6" i="28"/>
  <c r="A5" i="28"/>
  <c r="A29" i="7"/>
  <c r="A2" i="28"/>
  <c r="G28" i="23"/>
  <c r="B28" i="23"/>
  <c r="D28" i="23"/>
  <c r="C28" i="23"/>
  <c r="H27" i="23"/>
  <c r="E27" i="23"/>
  <c r="F27" i="23"/>
  <c r="D27" i="23"/>
  <c r="H26" i="23"/>
  <c r="E26" i="23"/>
  <c r="F26" i="23"/>
  <c r="D26" i="23"/>
  <c r="H25" i="23"/>
  <c r="E25" i="23"/>
  <c r="F25" i="23"/>
  <c r="D25" i="23"/>
  <c r="H24" i="23"/>
  <c r="E24" i="23"/>
  <c r="F24" i="23"/>
  <c r="D24" i="23"/>
  <c r="H23" i="23"/>
  <c r="E23" i="23"/>
  <c r="F23" i="23"/>
  <c r="D23" i="23"/>
  <c r="H22" i="23"/>
  <c r="E22" i="23"/>
  <c r="F22" i="23"/>
  <c r="D22" i="23"/>
  <c r="H21" i="23"/>
  <c r="E21" i="23"/>
  <c r="F21" i="23"/>
  <c r="D21" i="23"/>
  <c r="H20" i="23"/>
  <c r="E20" i="23"/>
  <c r="F20" i="23"/>
  <c r="D20" i="23"/>
  <c r="H19" i="23"/>
  <c r="E19" i="23"/>
  <c r="F19" i="23"/>
  <c r="D19" i="23"/>
  <c r="H18" i="23"/>
  <c r="E18" i="23"/>
  <c r="F18" i="23"/>
  <c r="D18" i="23"/>
  <c r="H17" i="23"/>
  <c r="E17" i="23"/>
  <c r="F17" i="23"/>
  <c r="D17" i="23"/>
  <c r="H16" i="23"/>
  <c r="E16" i="23"/>
  <c r="F16" i="23"/>
  <c r="D16" i="23"/>
  <c r="H15" i="23"/>
  <c r="E15" i="23"/>
  <c r="F15" i="23"/>
  <c r="D15" i="23"/>
  <c r="H14" i="23"/>
  <c r="E14" i="23"/>
  <c r="F14" i="23"/>
  <c r="D14" i="23"/>
  <c r="H13" i="23"/>
  <c r="E13" i="23"/>
  <c r="F13" i="23"/>
  <c r="D13" i="23"/>
  <c r="H12" i="23"/>
  <c r="E12" i="23"/>
  <c r="F12" i="23"/>
  <c r="D12" i="23"/>
  <c r="H11" i="23"/>
  <c r="E11" i="23"/>
  <c r="F11" i="23"/>
  <c r="D11" i="23"/>
  <c r="H10" i="23"/>
  <c r="E10" i="23"/>
  <c r="F10" i="23"/>
  <c r="D10" i="23"/>
  <c r="H9" i="23"/>
  <c r="E9" i="23"/>
  <c r="F9" i="23"/>
  <c r="D9" i="23"/>
  <c r="H8" i="23"/>
  <c r="E8" i="23"/>
  <c r="F8" i="23"/>
  <c r="D8" i="23"/>
  <c r="H7" i="23"/>
  <c r="E7" i="23"/>
  <c r="F7" i="23"/>
  <c r="D7" i="23"/>
  <c r="G42" i="11"/>
  <c r="E42" i="11"/>
  <c r="C42" i="11"/>
  <c r="K41" i="11"/>
  <c r="L41" i="11"/>
  <c r="K40" i="11"/>
  <c r="N40" i="11"/>
  <c r="G39" i="11"/>
  <c r="K38" i="11"/>
  <c r="L38" i="11" s="1"/>
  <c r="K37" i="11"/>
  <c r="N37" i="11" s="1"/>
  <c r="G36" i="11"/>
  <c r="K35" i="11"/>
  <c r="L35" i="11" s="1"/>
  <c r="K34" i="11"/>
  <c r="N34" i="11" s="1"/>
  <c r="K33" i="11"/>
  <c r="L33" i="11"/>
  <c r="G32" i="11"/>
  <c r="K31" i="11"/>
  <c r="N31" i="11" s="1"/>
  <c r="K30" i="11"/>
  <c r="K29" i="11"/>
  <c r="L29" i="11" s="1"/>
  <c r="G28" i="11"/>
  <c r="E28" i="11"/>
  <c r="K27" i="11"/>
  <c r="N27" i="11" s="1"/>
  <c r="K26" i="11"/>
  <c r="L26" i="11" s="1"/>
  <c r="K25" i="11"/>
  <c r="N25" i="11" s="1"/>
  <c r="G24" i="11"/>
  <c r="K23" i="11"/>
  <c r="L23" i="11" s="1"/>
  <c r="K22" i="11"/>
  <c r="N22" i="11" s="1"/>
  <c r="G21" i="11"/>
  <c r="K20" i="11"/>
  <c r="L20" i="11" s="1"/>
  <c r="K19" i="11"/>
  <c r="N19" i="11"/>
  <c r="K18" i="11"/>
  <c r="L18" i="11" s="1"/>
  <c r="G17" i="11"/>
  <c r="E17" i="11"/>
  <c r="K16" i="11"/>
  <c r="N16" i="11" s="1"/>
  <c r="K15" i="11"/>
  <c r="L15" i="11"/>
  <c r="G14" i="11"/>
  <c r="K13" i="11"/>
  <c r="N13" i="11" s="1"/>
  <c r="L13" i="11"/>
  <c r="K12" i="11"/>
  <c r="N12" i="11" s="1"/>
  <c r="K11" i="11"/>
  <c r="L11" i="11" s="1"/>
  <c r="G10" i="11"/>
  <c r="K9" i="11"/>
  <c r="N9" i="11" s="1"/>
  <c r="L9" i="11"/>
  <c r="K8" i="11"/>
  <c r="L8" i="11" s="1"/>
  <c r="M10" i="11" s="1"/>
  <c r="N15" i="11"/>
  <c r="N33" i="11"/>
  <c r="L19" i="11"/>
  <c r="L22" i="11"/>
  <c r="H28" i="23"/>
  <c r="L34" i="11"/>
  <c r="L40" i="11"/>
  <c r="C8" i="16"/>
  <c r="N35" i="11"/>
  <c r="N41" i="11"/>
  <c r="N11" i="11"/>
  <c r="C5" i="17"/>
  <c r="C23" i="17" s="1"/>
  <c r="F7" i="14"/>
  <c r="I7" i="14"/>
  <c r="J5" i="17"/>
  <c r="J23" i="17" s="1"/>
  <c r="G5" i="17"/>
  <c r="G14" i="15"/>
  <c r="I31" i="13"/>
  <c r="J29" i="13"/>
  <c r="J11" i="16"/>
  <c r="G23" i="13"/>
  <c r="I24" i="13"/>
  <c r="J6" i="14"/>
  <c r="J23" i="13"/>
  <c r="F24" i="13"/>
  <c r="G6" i="14"/>
  <c r="C6" i="14"/>
  <c r="C13" i="16"/>
  <c r="C10" i="16"/>
  <c r="A5" i="26"/>
  <c r="C24" i="13"/>
  <c r="C5" i="18"/>
  <c r="C25" i="18" s="1"/>
  <c r="C11" i="16"/>
  <c r="C23" i="13"/>
  <c r="I5" i="17"/>
  <c r="I23" i="17" s="1"/>
  <c r="I14" i="15"/>
  <c r="I5" i="18"/>
  <c r="I25" i="18" s="1"/>
  <c r="F5" i="18"/>
  <c r="I23" i="13"/>
  <c r="I8" i="16"/>
  <c r="F14" i="15"/>
  <c r="F5" i="17"/>
  <c r="F23" i="13"/>
  <c r="C5" i="12"/>
  <c r="L31" i="11"/>
  <c r="K44" i="11"/>
  <c r="E28" i="23"/>
  <c r="F28" i="23" s="1"/>
  <c r="E7" i="9"/>
  <c r="E53" i="9"/>
  <c r="D55" i="9"/>
  <c r="G5" i="12"/>
  <c r="J7" i="12"/>
  <c r="I7" i="12"/>
  <c r="F5" i="12"/>
  <c r="G5" i="13"/>
  <c r="F16" i="13"/>
  <c r="L25" i="7"/>
  <c r="M25" i="7" s="1"/>
  <c r="L96" i="7"/>
  <c r="M96" i="7" s="1"/>
  <c r="L112" i="7"/>
  <c r="M112" i="7" s="1"/>
  <c r="N23" i="11" l="1"/>
  <c r="M24" i="11"/>
  <c r="N38" i="11"/>
  <c r="N8" i="11"/>
  <c r="N20" i="11"/>
  <c r="L25" i="11"/>
  <c r="M28" i="11" s="1"/>
  <c r="L27" i="11"/>
  <c r="M42" i="11"/>
  <c r="L12" i="11"/>
  <c r="M14" i="11" s="1"/>
  <c r="M21" i="11"/>
  <c r="S7" i="29"/>
  <c r="E35" i="7"/>
  <c r="L83" i="7"/>
  <c r="K7" i="13"/>
  <c r="F43" i="19" s="1"/>
  <c r="E11" i="13"/>
  <c r="E47" i="19" s="1"/>
  <c r="H28" i="13"/>
  <c r="K34" i="13"/>
  <c r="F70" i="19" s="1"/>
  <c r="E23" i="14"/>
  <c r="K10" i="15"/>
  <c r="F118" i="19" s="1"/>
  <c r="E12" i="15"/>
  <c r="E120" i="19" s="1"/>
  <c r="E15" i="16"/>
  <c r="E160" i="19" s="1"/>
  <c r="E22" i="13"/>
  <c r="E58" i="19" s="1"/>
  <c r="K14" i="14"/>
  <c r="F86" i="19" s="1"/>
  <c r="H16" i="14"/>
  <c r="H17" i="14"/>
  <c r="K23" i="16"/>
  <c r="F168" i="19" s="1"/>
  <c r="K5" i="14"/>
  <c r="F77" i="19" s="1"/>
  <c r="K16" i="13"/>
  <c r="F52" i="19" s="1"/>
  <c r="K29" i="13"/>
  <c r="F65" i="19" s="1"/>
  <c r="E23" i="13"/>
  <c r="E59" i="19" s="1"/>
  <c r="K26" i="16"/>
  <c r="F171" i="19" s="1"/>
  <c r="E21" i="17"/>
  <c r="E206" i="19" s="1"/>
  <c r="E25" i="18"/>
  <c r="K21" i="13"/>
  <c r="F57" i="19" s="1"/>
  <c r="E24" i="13"/>
  <c r="E60" i="19" s="1"/>
  <c r="K15" i="17"/>
  <c r="F200" i="19" s="1"/>
  <c r="K13" i="18"/>
  <c r="F235" i="19" s="1"/>
  <c r="K16" i="15"/>
  <c r="F124" i="19" s="1"/>
  <c r="H18" i="16"/>
  <c r="K6" i="14"/>
  <c r="F78" i="19" s="1"/>
  <c r="E34" i="13"/>
  <c r="E70" i="19" s="1"/>
  <c r="K11" i="15"/>
  <c r="F119" i="19" s="1"/>
  <c r="H29" i="16"/>
  <c r="H16" i="13"/>
  <c r="K14" i="15"/>
  <c r="F122" i="19" s="1"/>
  <c r="K11" i="13"/>
  <c r="F47" i="19" s="1"/>
  <c r="E13" i="13"/>
  <c r="E49" i="19" s="1"/>
  <c r="K19" i="13"/>
  <c r="F55" i="19" s="1"/>
  <c r="H11" i="14"/>
  <c r="E14" i="17"/>
  <c r="E199" i="19" s="1"/>
  <c r="K23" i="13"/>
  <c r="F59" i="19" s="1"/>
  <c r="K5" i="15"/>
  <c r="F113" i="19" s="1"/>
  <c r="H35" i="13"/>
  <c r="K17" i="12"/>
  <c r="F18" i="19" s="1"/>
  <c r="E7" i="15"/>
  <c r="E115" i="19" s="1"/>
  <c r="K28" i="16"/>
  <c r="F173" i="19" s="1"/>
  <c r="K29" i="16"/>
  <c r="F174" i="19" s="1"/>
  <c r="E8" i="17"/>
  <c r="E193" i="19" s="1"/>
  <c r="K18" i="17"/>
  <c r="F203" i="19" s="1"/>
  <c r="E9" i="18"/>
  <c r="E231" i="19" s="1"/>
  <c r="K20" i="18"/>
  <c r="F242" i="19" s="1"/>
  <c r="L42" i="7"/>
  <c r="M42" i="7" s="1"/>
  <c r="C16" i="13"/>
  <c r="M104" i="7"/>
  <c r="H6" i="14"/>
  <c r="K10" i="14"/>
  <c r="F82" i="19" s="1"/>
  <c r="K22" i="14"/>
  <c r="F94" i="19" s="1"/>
  <c r="H5" i="15"/>
  <c r="E10" i="15"/>
  <c r="E118" i="19" s="1"/>
  <c r="E27" i="16"/>
  <c r="E172" i="19" s="1"/>
  <c r="E30" i="16"/>
  <c r="E175" i="19" s="1"/>
  <c r="E23" i="17"/>
  <c r="E6" i="17"/>
  <c r="E191" i="19" s="1"/>
  <c r="K17" i="17"/>
  <c r="F202" i="19" s="1"/>
  <c r="E19" i="17"/>
  <c r="E204" i="19" s="1"/>
  <c r="E10" i="18"/>
  <c r="E232" i="19" s="1"/>
  <c r="K19" i="18"/>
  <c r="F241" i="19" s="1"/>
  <c r="E21" i="18"/>
  <c r="E243" i="19" s="1"/>
  <c r="E7" i="14"/>
  <c r="E79" i="19" s="1"/>
  <c r="K5" i="18"/>
  <c r="F227" i="19" s="1"/>
  <c r="E10" i="16"/>
  <c r="E155" i="19" s="1"/>
  <c r="H24" i="13"/>
  <c r="E6" i="16"/>
  <c r="E151" i="19" s="1"/>
  <c r="E8" i="13"/>
  <c r="E44" i="19" s="1"/>
  <c r="E10" i="13"/>
  <c r="E46" i="19" s="1"/>
  <c r="K12" i="13"/>
  <c r="F48" i="19" s="1"/>
  <c r="E14" i="13"/>
  <c r="E50" i="19" s="1"/>
  <c r="K36" i="13"/>
  <c r="F72" i="19" s="1"/>
  <c r="E9" i="14"/>
  <c r="E81" i="19" s="1"/>
  <c r="E17" i="14"/>
  <c r="E89" i="19" s="1"/>
  <c r="H23" i="16"/>
  <c r="E12" i="17"/>
  <c r="E197" i="19" s="1"/>
  <c r="J19" i="12"/>
  <c r="H7" i="14"/>
  <c r="E6" i="13"/>
  <c r="E42" i="19" s="1"/>
  <c r="K17" i="13"/>
  <c r="F53" i="19" s="1"/>
  <c r="K20" i="13"/>
  <c r="F56" i="19" s="1"/>
  <c r="E27" i="13"/>
  <c r="E63" i="19" s="1"/>
  <c r="K11" i="14"/>
  <c r="F83" i="19" s="1"/>
  <c r="E18" i="14"/>
  <c r="E90" i="19" s="1"/>
  <c r="E17" i="15"/>
  <c r="E21" i="13"/>
  <c r="E57" i="19" s="1"/>
  <c r="E15" i="14"/>
  <c r="E87" i="19" s="1"/>
  <c r="K9" i="15"/>
  <c r="F117" i="19" s="1"/>
  <c r="K5" i="16"/>
  <c r="F150" i="19" s="1"/>
  <c r="K7" i="16"/>
  <c r="F152" i="19" s="1"/>
  <c r="E22" i="16"/>
  <c r="E167" i="19" s="1"/>
  <c r="K25" i="13"/>
  <c r="F61" i="19" s="1"/>
  <c r="E35" i="13"/>
  <c r="E71" i="19" s="1"/>
  <c r="K16" i="14"/>
  <c r="F88" i="19" s="1"/>
  <c r="K6" i="15"/>
  <c r="F114" i="19" s="1"/>
  <c r="E5" i="17"/>
  <c r="E190" i="19" s="1"/>
  <c r="K5" i="17"/>
  <c r="F190" i="19" s="1"/>
  <c r="E8" i="16"/>
  <c r="E153" i="19" s="1"/>
  <c r="E8" i="12"/>
  <c r="E9" i="19" s="1"/>
  <c r="H10" i="12"/>
  <c r="E20" i="13"/>
  <c r="E56" i="19" s="1"/>
  <c r="K26" i="13"/>
  <c r="F62" i="19" s="1"/>
  <c r="K23" i="14"/>
  <c r="E22" i="14"/>
  <c r="E94" i="19" s="1"/>
  <c r="E13" i="15"/>
  <c r="E121" i="19" s="1"/>
  <c r="E24" i="16"/>
  <c r="E169" i="19" s="1"/>
  <c r="K12" i="12"/>
  <c r="F13" i="19" s="1"/>
  <c r="K35" i="13"/>
  <c r="F71" i="19" s="1"/>
  <c r="E16" i="14"/>
  <c r="E88" i="19" s="1"/>
  <c r="K17" i="14"/>
  <c r="F89" i="19" s="1"/>
  <c r="E11" i="15"/>
  <c r="E119" i="19" s="1"/>
  <c r="K5" i="13"/>
  <c r="F41" i="19" s="1"/>
  <c r="E7" i="13"/>
  <c r="E43" i="19" s="1"/>
  <c r="E17" i="13"/>
  <c r="E53" i="19" s="1"/>
  <c r="H20" i="13"/>
  <c r="H29" i="13"/>
  <c r="E9" i="15"/>
  <c r="E117" i="19" s="1"/>
  <c r="K12" i="15"/>
  <c r="F120" i="19" s="1"/>
  <c r="H11" i="16"/>
  <c r="K24" i="16"/>
  <c r="F169" i="19" s="1"/>
  <c r="H8" i="16"/>
  <c r="M36" i="11"/>
  <c r="H5" i="17"/>
  <c r="H14" i="15"/>
  <c r="N18" i="11"/>
  <c r="N44" i="11" s="1"/>
  <c r="L37" i="11"/>
  <c r="M39" i="11" s="1"/>
  <c r="N29" i="11"/>
  <c r="K38" i="13"/>
  <c r="L16" i="11"/>
  <c r="M17" i="11" s="1"/>
  <c r="N26" i="11"/>
  <c r="L30" i="11"/>
  <c r="M32" i="11" s="1"/>
  <c r="N30" i="11"/>
  <c r="K27" i="13"/>
  <c r="F63" i="19" s="1"/>
  <c r="K28" i="13"/>
  <c r="F64" i="19" s="1"/>
  <c r="E8" i="15"/>
  <c r="E116" i="19" s="1"/>
  <c r="E15" i="15"/>
  <c r="E123" i="19" s="1"/>
  <c r="K14" i="16"/>
  <c r="F159" i="19" s="1"/>
  <c r="E10" i="17"/>
  <c r="E195" i="19" s="1"/>
  <c r="E16" i="17"/>
  <c r="E201" i="19" s="1"/>
  <c r="E22" i="17"/>
  <c r="E207" i="19" s="1"/>
  <c r="E5" i="18"/>
  <c r="E227" i="19" s="1"/>
  <c r="E7" i="18"/>
  <c r="E229" i="19" s="1"/>
  <c r="E14" i="18"/>
  <c r="E236" i="19" s="1"/>
  <c r="E19" i="18"/>
  <c r="E241" i="19" s="1"/>
  <c r="E22" i="18"/>
  <c r="E244" i="19" s="1"/>
  <c r="E23" i="18"/>
  <c r="E245" i="19" s="1"/>
  <c r="K11" i="12"/>
  <c r="F12" i="19" s="1"/>
  <c r="K8" i="13"/>
  <c r="F44" i="19" s="1"/>
  <c r="K10" i="13"/>
  <c r="F46" i="19" s="1"/>
  <c r="E12" i="13"/>
  <c r="E48" i="19" s="1"/>
  <c r="K13" i="13"/>
  <c r="F49" i="19" s="1"/>
  <c r="K18" i="13"/>
  <c r="F54" i="19" s="1"/>
  <c r="K22" i="13"/>
  <c r="F58" i="19" s="1"/>
  <c r="E31" i="13"/>
  <c r="E67" i="19" s="1"/>
  <c r="H5" i="14"/>
  <c r="E8" i="14"/>
  <c r="E80" i="19" s="1"/>
  <c r="K12" i="14"/>
  <c r="F84" i="19" s="1"/>
  <c r="K19" i="14"/>
  <c r="F91" i="19" s="1"/>
  <c r="K13" i="15"/>
  <c r="F121" i="19" s="1"/>
  <c r="E16" i="15"/>
  <c r="E124" i="19" s="1"/>
  <c r="E14" i="16"/>
  <c r="E159" i="19" s="1"/>
  <c r="K18" i="16"/>
  <c r="F163" i="19" s="1"/>
  <c r="K25" i="16"/>
  <c r="F170" i="19" s="1"/>
  <c r="E26" i="16"/>
  <c r="E171" i="19" s="1"/>
  <c r="E28" i="16"/>
  <c r="E173" i="19" s="1"/>
  <c r="K30" i="16"/>
  <c r="F175" i="19" s="1"/>
  <c r="E9" i="17"/>
  <c r="E194" i="19" s="1"/>
  <c r="K16" i="17"/>
  <c r="F201" i="19" s="1"/>
  <c r="E17" i="17"/>
  <c r="E202" i="19" s="1"/>
  <c r="E18" i="17"/>
  <c r="E203" i="19" s="1"/>
  <c r="K22" i="17"/>
  <c r="F207" i="19" s="1"/>
  <c r="K10" i="18"/>
  <c r="F232" i="19" s="1"/>
  <c r="K15" i="12"/>
  <c r="F16" i="19" s="1"/>
  <c r="K31" i="13"/>
  <c r="F67" i="19" s="1"/>
  <c r="E33" i="13"/>
  <c r="E69" i="19" s="1"/>
  <c r="H36" i="13"/>
  <c r="E6" i="14"/>
  <c r="E78" i="19" s="1"/>
  <c r="K7" i="14"/>
  <c r="F79" i="19" s="1"/>
  <c r="K17" i="15"/>
  <c r="E19" i="16"/>
  <c r="E164" i="19" s="1"/>
  <c r="H33" i="16"/>
  <c r="K25" i="18"/>
  <c r="K11" i="18"/>
  <c r="F233" i="19" s="1"/>
  <c r="K22" i="18"/>
  <c r="F244" i="19" s="1"/>
  <c r="E11" i="14"/>
  <c r="E83" i="19" s="1"/>
  <c r="E9" i="16"/>
  <c r="E154" i="19" s="1"/>
  <c r="K16" i="12"/>
  <c r="F17" i="19" s="1"/>
  <c r="E38" i="13"/>
  <c r="E12" i="16"/>
  <c r="E157" i="19" s="1"/>
  <c r="I19" i="12"/>
  <c r="K23" i="17"/>
  <c r="H11" i="12"/>
  <c r="E33" i="16"/>
  <c r="E178" i="19" s="1"/>
  <c r="K19" i="17"/>
  <c r="F204" i="19" s="1"/>
  <c r="K24" i="13"/>
  <c r="F60" i="19" s="1"/>
  <c r="E15" i="12"/>
  <c r="E16" i="19" s="1"/>
  <c r="K8" i="14"/>
  <c r="F80" i="19" s="1"/>
  <c r="E7" i="17"/>
  <c r="E192" i="19" s="1"/>
  <c r="H5" i="18"/>
  <c r="K9" i="12"/>
  <c r="F10" i="19" s="1"/>
  <c r="K10" i="12"/>
  <c r="F11" i="19" s="1"/>
  <c r="E25" i="13"/>
  <c r="E61" i="19" s="1"/>
  <c r="E28" i="13"/>
  <c r="E64" i="19" s="1"/>
  <c r="E32" i="13"/>
  <c r="E68" i="19" s="1"/>
  <c r="E14" i="15"/>
  <c r="E122" i="19" s="1"/>
  <c r="E20" i="17"/>
  <c r="E205" i="19" s="1"/>
  <c r="E8" i="18"/>
  <c r="E230" i="19" s="1"/>
  <c r="K14" i="18"/>
  <c r="F236" i="19" s="1"/>
  <c r="E20" i="18"/>
  <c r="E242" i="19" s="1"/>
  <c r="K8" i="12"/>
  <c r="F9" i="19" s="1"/>
  <c r="K11" i="16"/>
  <c r="F156" i="19" s="1"/>
  <c r="D19" i="12"/>
  <c r="E19" i="12" s="1"/>
  <c r="K14" i="13"/>
  <c r="F50" i="19" s="1"/>
  <c r="E19" i="13"/>
  <c r="E55" i="19" s="1"/>
  <c r="K7" i="15"/>
  <c r="F115" i="19" s="1"/>
  <c r="K6" i="16"/>
  <c r="F151" i="19" s="1"/>
  <c r="K8" i="16"/>
  <c r="F153" i="19" s="1"/>
  <c r="K15" i="16"/>
  <c r="F160" i="19" s="1"/>
  <c r="K22" i="16"/>
  <c r="F167" i="19" s="1"/>
  <c r="E6" i="18"/>
  <c r="E228" i="19" s="1"/>
  <c r="E13" i="18"/>
  <c r="E235" i="19" s="1"/>
  <c r="E24" i="18"/>
  <c r="E246" i="19" s="1"/>
  <c r="K12" i="16"/>
  <c r="F157" i="19" s="1"/>
  <c r="E10" i="14"/>
  <c r="E82" i="19" s="1"/>
  <c r="E38" i="16"/>
  <c r="H5" i="13"/>
  <c r="H23" i="13"/>
  <c r="K14" i="12"/>
  <c r="F15" i="19" s="1"/>
  <c r="E16" i="12"/>
  <c r="E17" i="19" s="1"/>
  <c r="K9" i="14"/>
  <c r="F81" i="19" s="1"/>
  <c r="E12" i="14"/>
  <c r="E84" i="19" s="1"/>
  <c r="K21" i="14"/>
  <c r="F93" i="19" s="1"/>
  <c r="K8" i="15"/>
  <c r="F116" i="19" s="1"/>
  <c r="K15" i="15"/>
  <c r="F123" i="19" s="1"/>
  <c r="E13" i="17"/>
  <c r="E198" i="19" s="1"/>
  <c r="K6" i="18"/>
  <c r="F228" i="19" s="1"/>
  <c r="K24" i="18"/>
  <c r="F246" i="19" s="1"/>
  <c r="K38" i="16"/>
  <c r="K7" i="12"/>
  <c r="F8" i="19" s="1"/>
  <c r="E26" i="13"/>
  <c r="E62" i="19" s="1"/>
  <c r="K33" i="13"/>
  <c r="F69" i="19" s="1"/>
  <c r="E7" i="16"/>
  <c r="E152" i="19" s="1"/>
  <c r="K6" i="17"/>
  <c r="F191" i="19" s="1"/>
  <c r="L162" i="7"/>
  <c r="L101" i="7"/>
  <c r="L121" i="7"/>
  <c r="L191" i="7"/>
  <c r="H5" i="16"/>
  <c r="L20" i="7"/>
  <c r="K21" i="18"/>
  <c r="F243" i="19" s="1"/>
  <c r="L70" i="7"/>
  <c r="M70" i="7" s="1"/>
  <c r="H5" i="12"/>
  <c r="L32" i="7"/>
  <c r="G35" i="7" l="1"/>
  <c r="E34" i="7"/>
  <c r="K19" i="12"/>
  <c r="L207" i="7"/>
  <c r="L168" i="7"/>
  <c r="L176" i="7"/>
  <c r="L57" i="7"/>
  <c r="L109" i="7"/>
  <c r="L235" i="7"/>
  <c r="L185" i="7"/>
  <c r="L149" i="7"/>
  <c r="L77" i="7"/>
  <c r="L254" i="7"/>
  <c r="L71" i="7"/>
  <c r="L64" i="7"/>
  <c r="L261" i="7"/>
  <c r="G34" i="7" l="1"/>
  <c r="I35" i="7"/>
  <c r="J35" i="7" s="1"/>
  <c r="J34" i="7" s="1"/>
  <c r="L35" i="7"/>
  <c r="M35" i="7" s="1"/>
  <c r="E22" i="7"/>
  <c r="G23" i="7"/>
  <c r="G22" i="7" s="1"/>
  <c r="I23" i="7"/>
  <c r="J23" i="7"/>
  <c r="J22" i="7" s="1"/>
  <c r="L23" i="7"/>
  <c r="M23" i="7" s="1"/>
  <c r="N23" i="7" s="1"/>
  <c r="N24" i="7" s="1"/>
  <c r="N25" i="7" s="1"/>
  <c r="N29" i="7" s="1"/>
  <c r="N30" i="7" s="1"/>
  <c r="N31" i="7" s="1"/>
  <c r="L39" i="7" l="1"/>
  <c r="L26" i="7"/>
  <c r="N35" i="7"/>
  <c r="N36" i="7" s="1"/>
  <c r="N37" i="7" s="1"/>
  <c r="N38" i="7" s="1"/>
  <c r="N42" i="7" s="1"/>
  <c r="N43" i="7" s="1"/>
  <c r="N44" i="7" s="1"/>
  <c r="N45" i="7" s="1"/>
  <c r="N46" i="7" s="1"/>
  <c r="N47" i="7" s="1"/>
  <c r="N48" i="7" s="1"/>
  <c r="N49" i="7" s="1"/>
  <c r="N50" i="7" s="1"/>
  <c r="N51" i="7" s="1"/>
  <c r="N52" i="7" s="1"/>
  <c r="N53" i="7" s="1"/>
  <c r="N54" i="7" s="1"/>
  <c r="N55" i="7" s="1"/>
  <c r="N56" i="7" s="1"/>
  <c r="N60" i="7" s="1"/>
  <c r="N61" i="7" s="1"/>
  <c r="N62" i="7" s="1"/>
  <c r="N63" i="7" s="1"/>
  <c r="N67" i="7" s="1"/>
  <c r="N68" i="7" s="1"/>
  <c r="N69" i="7" s="1"/>
  <c r="N70" i="7" s="1"/>
  <c r="N75" i="7" s="1"/>
  <c r="N76" i="7" s="1"/>
  <c r="N80" i="7" s="1"/>
  <c r="N81" i="7" s="1"/>
  <c r="N82" i="7" s="1"/>
  <c r="N86" i="7" s="1"/>
  <c r="N87" i="7" s="1"/>
  <c r="N88" i="7" s="1"/>
  <c r="N89" i="7" s="1"/>
  <c r="N90" i="7" s="1"/>
  <c r="N91" i="7" s="1"/>
  <c r="N92" i="7" s="1"/>
  <c r="N96" i="7" s="1"/>
  <c r="N97" i="7" s="1"/>
  <c r="N98" i="7" s="1"/>
  <c r="N99" i="7" s="1"/>
  <c r="N100" i="7" s="1"/>
  <c r="N104" i="7" s="1"/>
  <c r="N108" i="7" s="1"/>
  <c r="N112" i="7" s="1"/>
  <c r="N113" i="7" s="1"/>
  <c r="N114" i="7" s="1"/>
  <c r="N115" i="7" s="1"/>
  <c r="N116" i="7" s="1"/>
  <c r="N117" i="7" s="1"/>
  <c r="N118" i="7" s="1"/>
  <c r="N119" i="7" s="1"/>
  <c r="N120" i="7" s="1"/>
  <c r="N124" i="7" s="1"/>
  <c r="N125" i="7" s="1"/>
  <c r="N126" i="7" s="1"/>
  <c r="N127" i="7" s="1"/>
  <c r="N128" i="7" s="1"/>
  <c r="N129" i="7" s="1"/>
  <c r="N130" i="7" s="1"/>
  <c r="N134" i="7" s="1"/>
  <c r="N135" i="7" s="1"/>
  <c r="N136" i="7" s="1"/>
  <c r="N137" i="7" s="1"/>
  <c r="N138" i="7" s="1"/>
  <c r="N139" i="7" s="1"/>
  <c r="N140" i="7" s="1"/>
  <c r="N141" i="7" s="1"/>
  <c r="N145" i="7" s="1"/>
  <c r="N146" i="7" s="1"/>
  <c r="N147" i="7" s="1"/>
  <c r="N148" i="7" s="1"/>
  <c r="N152" i="7" s="1"/>
  <c r="N153" i="7" s="1"/>
  <c r="N154" i="7" s="1"/>
  <c r="N155" i="7" s="1"/>
  <c r="N156" i="7" s="1"/>
  <c r="N157" i="7" s="1"/>
  <c r="N158" i="7" s="1"/>
  <c r="N159" i="7" s="1"/>
  <c r="N160" i="7" s="1"/>
  <c r="N161" i="7" s="1"/>
  <c r="N165" i="7" s="1"/>
  <c r="N166" i="7" s="1"/>
  <c r="N167" i="7" s="1"/>
  <c r="N171" i="7" s="1"/>
  <c r="N172" i="7" s="1"/>
  <c r="N173" i="7" s="1"/>
  <c r="N174" i="7" s="1"/>
  <c r="N175" i="7" s="1"/>
  <c r="N179" i="7" s="1"/>
  <c r="N180" i="7" s="1"/>
  <c r="N181" i="7" s="1"/>
  <c r="N182" i="7" s="1"/>
  <c r="N183" i="7" s="1"/>
  <c r="N184" i="7" s="1"/>
  <c r="N188" i="7" s="1"/>
  <c r="N189" i="7" s="1"/>
  <c r="N190" i="7" s="1"/>
  <c r="N194" i="7" s="1"/>
  <c r="N195" i="7" s="1"/>
  <c r="N196" i="7" s="1"/>
  <c r="N197" i="7" s="1"/>
  <c r="N198" i="7" s="1"/>
  <c r="N199" i="7" s="1"/>
  <c r="N200" i="7" s="1"/>
  <c r="N204" i="7" s="1"/>
  <c r="N205" i="7" s="1"/>
  <c r="N206" i="7" s="1"/>
  <c r="N210" i="7" s="1"/>
  <c r="N211" i="7" s="1"/>
  <c r="N212" i="7" s="1"/>
  <c r="N213" i="7" s="1"/>
  <c r="N214" i="7" s="1"/>
  <c r="N215" i="7" s="1"/>
  <c r="N216" i="7" s="1"/>
  <c r="N217" i="7" s="1"/>
  <c r="N218" i="7" s="1"/>
  <c r="N219" i="7" s="1"/>
  <c r="N220" i="7" s="1"/>
  <c r="N221" i="7" s="1"/>
  <c r="N225" i="7" s="1"/>
  <c r="N226" i="7" s="1"/>
  <c r="N227" i="7" s="1"/>
  <c r="N228" i="7" s="1"/>
  <c r="N229" i="7" s="1"/>
  <c r="N230" i="7" s="1"/>
  <c r="N231" i="7" s="1"/>
  <c r="N232" i="7" s="1"/>
  <c r="N233" i="7" s="1"/>
  <c r="N234" i="7" s="1"/>
  <c r="N238" i="7" s="1"/>
  <c r="N239" i="7" s="1"/>
  <c r="N240" i="7" s="1"/>
  <c r="N241" i="7" s="1"/>
  <c r="N242" i="7" s="1"/>
  <c r="N243" i="7" s="1"/>
  <c r="N244" i="7" s="1"/>
  <c r="N248" i="7" s="1"/>
  <c r="N249" i="7" s="1"/>
  <c r="N250" i="7" s="1"/>
  <c r="N251" i="7" s="1"/>
  <c r="N252" i="7" s="1"/>
  <c r="N253" i="7" s="1"/>
  <c r="N257" i="7" s="1"/>
  <c r="N258" i="7" s="1"/>
  <c r="N259" i="7" s="1"/>
  <c r="N260" i="7" s="1"/>
  <c r="N264" i="7" s="1"/>
  <c r="N265" i="7" s="1"/>
  <c r="N266" i="7" s="1"/>
  <c r="N267" i="7" s="1"/>
  <c r="N269" i="7" s="1"/>
</calcChain>
</file>

<file path=xl/comments1.xml><?xml version="1.0" encoding="utf-8"?>
<comments xmlns="http://schemas.openxmlformats.org/spreadsheetml/2006/main">
  <authors>
    <author>dmunoz</author>
    <author>xxxxxxxxxx</author>
  </authors>
  <commentList>
    <comment ref="A6" authorId="0" shapeId="0">
      <text>
        <r>
          <rPr>
            <b/>
            <sz val="9"/>
            <color indexed="81"/>
            <rFont val="Tahoma"/>
            <family val="2"/>
          </rPr>
          <t>Indicar en esta columna el nombre de la línea estratégica del PGAR vigente</t>
        </r>
        <r>
          <rPr>
            <sz val="9"/>
            <color indexed="81"/>
            <rFont val="Tahoma"/>
            <family val="2"/>
          </rPr>
          <t xml:space="preserve">
</t>
        </r>
      </text>
    </comment>
    <comment ref="B6" authorId="0" shapeId="0">
      <text>
        <r>
          <rPr>
            <b/>
            <sz val="9"/>
            <color indexed="81"/>
            <rFont val="Tahoma"/>
            <family val="2"/>
          </rPr>
          <t xml:space="preserve">Indicar en esta columna el nombre del Programa definido relacionado con la Línea estratégica del PGAR vigente.
Recuerde que  según el decreto 2350 de junio de 2009 se deben conservar los programas del plan  2007-2009. </t>
        </r>
      </text>
    </comment>
    <comment ref="C6" authorId="0" shapeId="0">
      <text>
        <r>
          <rPr>
            <b/>
            <sz val="9"/>
            <color indexed="81"/>
            <rFont val="Tahoma"/>
            <family val="2"/>
          </rPr>
          <t>Indicar en esta columna el nombre del Proyecto de cada programa. 
Ingrese las filas que sean necesarias.
Recuerde que  según el decreto 2350 de junio de 2009 se pueden adicionar proyectos a los propuestos en el plan 2007-2009.  
Con la finalidad de mantener una estructura mas integral de programas, proyectos y actividades; se deben conservar los nombres de los proyectos del Plan anterior independientemente que no se continuen en el año 2010 y/o 2011. Igualmente  los nuevos proyectos serán integrados  en la estructura general independientemente que en los años 2007, 2008 y-2009 aparezcan con meta "cero".</t>
        </r>
      </text>
    </comment>
    <comment ref="D6" authorId="0" shapeId="0">
      <text>
        <r>
          <rPr>
            <b/>
            <sz val="9"/>
            <color indexed="81"/>
            <rFont val="Tahoma"/>
            <family val="2"/>
          </rPr>
          <t xml:space="preserve">NOTA ACLARATORIA:
Algunas Corporaciones denominan a las actividades con el nombre de metas y en algunos casos las nombran como indicadores, independiente de esta condición esta denominación es en texto y se expresa en esta columna, y el valor cuantitativo o númerico se expresa en las columnas de metas físicas  que estan a la derecha.
Recuerde que  según el decreto 2350 de junio de 2009 se pueden adicionar actividades a las propuestas en el plan 2007-2009.  </t>
        </r>
        <r>
          <rPr>
            <sz val="9"/>
            <color indexed="81"/>
            <rFont val="Tahoma"/>
            <family val="2"/>
          </rPr>
          <t xml:space="preserve">
</t>
        </r>
      </text>
    </comment>
    <comment ref="D21" authorId="1" shapeId="0">
      <text>
        <r>
          <rPr>
            <b/>
            <sz val="9"/>
            <color indexed="81"/>
            <rFont val="Tahoma"/>
            <family val="2"/>
          </rPr>
          <t>xxxxxxxxxx:</t>
        </r>
        <r>
          <rPr>
            <sz val="9"/>
            <color indexed="81"/>
            <rFont val="Tahoma"/>
            <family val="2"/>
          </rPr>
          <t xml:space="preserve">
</t>
        </r>
        <r>
          <rPr>
            <sz val="16"/>
            <color indexed="81"/>
            <rFont val="Tahoma"/>
            <family val="2"/>
          </rPr>
          <t xml:space="preserve">Proyecto 3.5 - RCC (Quebrada Buturama)
</t>
        </r>
      </text>
    </comment>
  </commentList>
</comments>
</file>

<file path=xl/comments2.xml><?xml version="1.0" encoding="utf-8"?>
<comments xmlns="http://schemas.openxmlformats.org/spreadsheetml/2006/main">
  <authors>
    <author>dmunoz</author>
  </authors>
  <commentList>
    <comment ref="I6" authorId="0" shapeId="0">
      <text>
        <r>
          <rPr>
            <b/>
            <sz val="9"/>
            <color indexed="81"/>
            <rFont val="Tahoma"/>
            <family val="2"/>
          </rPr>
          <t>LAS UNIDADES DE MEDIDA SON SUPUESTAS PARA EL EJEMPLO</t>
        </r>
        <r>
          <rPr>
            <sz val="9"/>
            <color indexed="81"/>
            <rFont val="Tahoma"/>
            <family val="2"/>
          </rPr>
          <t xml:space="preserve">
</t>
        </r>
      </text>
    </comment>
  </commentList>
</comments>
</file>

<file path=xl/comments3.xml><?xml version="1.0" encoding="utf-8"?>
<comments xmlns="http://schemas.openxmlformats.org/spreadsheetml/2006/main">
  <authors>
    <author>PLANEACIÓN</author>
  </authors>
  <commentList>
    <comment ref="D5" authorId="0" shapeId="0">
      <text>
        <r>
          <rPr>
            <b/>
            <sz val="9"/>
            <color indexed="81"/>
            <rFont val="Tahoma"/>
            <family val="2"/>
          </rPr>
          <t>JORGE ARMENTA.</t>
        </r>
        <r>
          <rPr>
            <sz val="9"/>
            <color indexed="81"/>
            <rFont val="Tahoma"/>
            <family val="2"/>
          </rPr>
          <t xml:space="preserve">
</t>
        </r>
      </text>
    </comment>
    <comment ref="D6" authorId="0" shapeId="0">
      <text>
        <r>
          <rPr>
            <b/>
            <sz val="9"/>
            <color indexed="81"/>
            <rFont val="Tahoma"/>
            <family val="2"/>
          </rPr>
          <t>JORGE ARMENTA.</t>
        </r>
      </text>
    </comment>
    <comment ref="D7" authorId="0" shapeId="0">
      <text>
        <r>
          <rPr>
            <b/>
            <sz val="9"/>
            <color indexed="81"/>
            <rFont val="Tahoma"/>
            <family val="2"/>
          </rPr>
          <t>JORGE ARMENTA.</t>
        </r>
        <r>
          <rPr>
            <sz val="9"/>
            <color indexed="81"/>
            <rFont val="Tahoma"/>
            <family val="2"/>
          </rPr>
          <t xml:space="preserve">
</t>
        </r>
      </text>
    </comment>
    <comment ref="D8" authorId="0" shapeId="0">
      <text>
        <r>
          <rPr>
            <b/>
            <sz val="9"/>
            <color indexed="81"/>
            <rFont val="Tahoma"/>
            <family val="2"/>
          </rPr>
          <t>JORGE ARMENTA.</t>
        </r>
        <r>
          <rPr>
            <sz val="9"/>
            <color indexed="81"/>
            <rFont val="Tahoma"/>
            <family val="2"/>
          </rPr>
          <t xml:space="preserve">
</t>
        </r>
      </text>
    </comment>
  </commentList>
</comments>
</file>

<file path=xl/sharedStrings.xml><?xml version="1.0" encoding="utf-8"?>
<sst xmlns="http://schemas.openxmlformats.org/spreadsheetml/2006/main" count="1761" uniqueCount="1263">
  <si>
    <t>CONCEPTO</t>
  </si>
  <si>
    <t>RECURSOS PROPIOS
$</t>
  </si>
  <si>
    <t>RECURSOS DE LA NACION 
$</t>
  </si>
  <si>
    <t>TOTAL RECURSOS 
(PROPIOS -NACION)
$</t>
  </si>
  <si>
    <t>GASTOS DE PERSONAL</t>
  </si>
  <si>
    <t>GASTOS GENERALES</t>
  </si>
  <si>
    <t>Adquisición de Servicios</t>
  </si>
  <si>
    <t>Impuestos y Multas</t>
  </si>
  <si>
    <t>TRANSFERENCIAS CORRIENTES</t>
  </si>
  <si>
    <t>Otros</t>
  </si>
  <si>
    <t>OTRAS TRANSFERENCIAS</t>
  </si>
  <si>
    <t>Sentencias y Conciliaciones</t>
  </si>
  <si>
    <t>TOTAL GASTOS DE FUNCIONAMIENTO</t>
  </si>
  <si>
    <t>TOTAL INVERSION</t>
  </si>
  <si>
    <t>Programa 2</t>
  </si>
  <si>
    <t>TOTAL SERVICIO DE LA DEUDA</t>
  </si>
  <si>
    <t xml:space="preserve">TOTAL PRESUPUESTO  </t>
  </si>
  <si>
    <t>COMPONENTES DEL PGAR</t>
  </si>
  <si>
    <t>LINEA ESTRATÉGICA</t>
  </si>
  <si>
    <t xml:space="preserve">PROGRAMA </t>
  </si>
  <si>
    <t>PROYECTOS</t>
  </si>
  <si>
    <t>ACTIVIDADES</t>
  </si>
  <si>
    <t>UNIDAD DE MEDIDA DE LA ACTIVIDAD</t>
  </si>
  <si>
    <t>Programa 1</t>
  </si>
  <si>
    <t>Proyecto 1.1</t>
  </si>
  <si>
    <t>Actividad 1.1.1</t>
  </si>
  <si>
    <t>Proyecto 1.2</t>
  </si>
  <si>
    <t>Actividad 1.2.1</t>
  </si>
  <si>
    <t>Actividad 1.2.2</t>
  </si>
  <si>
    <t>Actividad 1.3.1</t>
  </si>
  <si>
    <t>Proyecto 2.1</t>
  </si>
  <si>
    <t>Actividad 2.1.1</t>
  </si>
  <si>
    <t>Actividad 2.1.2</t>
  </si>
  <si>
    <t>Proyecto 2.2</t>
  </si>
  <si>
    <t>Actividad 2.2.1</t>
  </si>
  <si>
    <t>Actividad 2.3.1</t>
  </si>
  <si>
    <t>Actividad 2.3.2</t>
  </si>
  <si>
    <t>Programa de Acción Gubernamental (PAG) / Indicadores</t>
  </si>
  <si>
    <t>UNIDAD</t>
  </si>
  <si>
    <t xml:space="preserve">META </t>
  </si>
  <si>
    <t>Desarrollo Urbano: Ciudades compactas y sostenibles</t>
  </si>
  <si>
    <t>1. Municipios capacitados y/o apoyados técnicamente para la revisión de Planes de Ordenamiento Territorial</t>
  </si>
  <si>
    <t>Municipios</t>
  </si>
  <si>
    <t>2. Municipios apoyados con proyectos de atención Integral de Barrios</t>
  </si>
  <si>
    <t>Número de municipios</t>
  </si>
  <si>
    <t>Agua para la vida</t>
  </si>
  <si>
    <t xml:space="preserve">1. Departamentos con esquemas regionales estructurados en la prestación de servicios de acueducto y alcantarillado </t>
  </si>
  <si>
    <t xml:space="preserve">Número de departamentos </t>
  </si>
  <si>
    <t>2. Empresas comunitarias constituidas y/o  puestas en funcionamiento para fomentar la capacidad asociativa de los usuarios</t>
  </si>
  <si>
    <t>Número de Empresas</t>
  </si>
  <si>
    <t>3. Nueva población beneficiada con el servicio de acueducto</t>
  </si>
  <si>
    <t>Número de Habitantes</t>
  </si>
  <si>
    <t>4. Nueva población beneficiada con el servicio de alcantarillado</t>
  </si>
  <si>
    <t xml:space="preserve">5. Municipios con acceso a sitios de disposición final de residuos sólidos técnicamente adecuados (relleno sanitario, celdas transitorias) </t>
  </si>
  <si>
    <t>Número de Municipios</t>
  </si>
  <si>
    <t>Planificación ambiental en la gestión territorial</t>
  </si>
  <si>
    <t>1. Zonas secas con zonificación y  plan de ordenamiento formulado (Hectáreas)</t>
  </si>
  <si>
    <t>Hectáreas</t>
  </si>
  <si>
    <t xml:space="preserve">Gestión Integrada del Recurso Hídrico </t>
  </si>
  <si>
    <t xml:space="preserve">1. Hectáreas reforestadas y/o en proceso de restauración en cuencas abastecedoras de los acueductos municipales. </t>
  </si>
  <si>
    <t>Número de Hectáreas</t>
  </si>
  <si>
    <t>2. Planes de manejo ambiental formulados en páramos relacionados con abastecimiento hídrico de asentamientos humanos.</t>
  </si>
  <si>
    <t>Número de Páramos</t>
  </si>
  <si>
    <t xml:space="preserve">3. Humedales prioritarios con acciones de  manejo </t>
  </si>
  <si>
    <t>Número de Humedales</t>
  </si>
  <si>
    <t xml:space="preserve">Conocimiento, conservación y uso sostenible de los recursos naturales renovables y de la Biodiversidad </t>
  </si>
  <si>
    <t xml:space="preserve">1. Nuevas hectáreas declaradas bajo diferentes categorías de manejo para el Sistema Nacional de Áreas Protegidas </t>
  </si>
  <si>
    <t xml:space="preserve">2. Número de nuevos esquemas de participación privada o comunitaria en operación para  la prestación de servicios ecoturísticos en áreas de Parques Nacionales Naturales </t>
  </si>
  <si>
    <t>Número de Esquemas</t>
  </si>
  <si>
    <t>3. Número de acuerdos con comunidades indígenas para el ordenamiento ambiental de parques nacionales naturales traslapados con resguardos indígenas.</t>
  </si>
  <si>
    <t>Número de Acuerdos</t>
  </si>
  <si>
    <t>4. Número de hectáreas en proceso de restauración concertada, en el marco de una estrategia integral para la atención de asentamientos y usos ilícitos en áreas protegidas del Área de Manejo Especial de la Macarena.</t>
  </si>
  <si>
    <t>Conservación de la Biodiversidad</t>
  </si>
  <si>
    <t>1.Manglares zonificados o con planes de ordenación formulados (hectáreas)</t>
  </si>
  <si>
    <t>Promoción de procesos productivos competitivos y sostenibles</t>
  </si>
  <si>
    <t>1. Proyectos piloto de producción más limpia para la disminución del consumo de mercurio para la minería de oro</t>
  </si>
  <si>
    <t>Número de proyectos piloto</t>
  </si>
  <si>
    <t>Promoción  de mecanismos de  desarrollo limpio</t>
  </si>
  <si>
    <t>1. Opciones de compra de certificados de reducción de gases efecto invernadero</t>
  </si>
  <si>
    <t>US $ Millones</t>
  </si>
  <si>
    <t>Bienes y servicios amigables con el medio ambiente</t>
  </si>
  <si>
    <t>1. Mipymes y empresas de base comunitaria vinculada a mercados verdes</t>
  </si>
  <si>
    <t>Número de Mipymes y empresas de base comunitaria</t>
  </si>
  <si>
    <t>Número de productos certificados</t>
  </si>
  <si>
    <t>ANEXO  3.   RELACION DE METAS SIGOB DEL SECTOR DE AMBIENTE, VIVIENDA Y DESARROLLO TERRITORIAL PARA EL PND 2006-2010</t>
  </si>
  <si>
    <t>COMPORTAMIENTO META FISICA 
PLAN DE ACCION TRIENAL</t>
  </si>
  <si>
    <t>(17)
OBSERVACIONES</t>
  </si>
  <si>
    <t xml:space="preserve">   (2)                                      UNIDAD DE MEDIDA</t>
  </si>
  <si>
    <t>(3)                                      META FISICA ANUAL             (Según unidad de medida)</t>
  </si>
  <si>
    <t>(4)
AVANCE DE LA META
FISICA  (Según unidad de medida y Periodo Evaluado)</t>
  </si>
  <si>
    <t xml:space="preserve">(5)
PORCENTAJE DE AVANCE 
FISICO %
(Periodo Evaluado)
((4/3)*100)
</t>
  </si>
  <si>
    <t>(5-A) DESCRIPCIÓN DEL AVANCE 
(Se puede describir en texto lo que se desea aclarar del avance númerico respectivo)</t>
  </si>
  <si>
    <t>(6)
PORCENTAJE DE AVANCE PROCESO DE GESTION DE LA META
FISICA
(aplica unicamente para el informe del primer semestre)</t>
  </si>
  <si>
    <t>(8)
ACUMULADO DE LA META
FISICA
(Según unidad de medida)</t>
  </si>
  <si>
    <t xml:space="preserve">(9)
PORCENTAJE DE AVANCE 
FISICO ACUMULADO %
((8/7)*100)
</t>
  </si>
  <si>
    <t>(11)                          META FINANCIERA ANUAL             ($)</t>
  </si>
  <si>
    <t xml:space="preserve">(12)
AVANCE DE LA META
FINANCIERA
(Recursos comprometidos periodo Evaluado)
($)
</t>
  </si>
  <si>
    <t>(13)                           PORCENTAJE DEL AVANCE 
FINANCIERO %
(Periodo Evaluado)
((12/11)*100)</t>
  </si>
  <si>
    <t xml:space="preserve">(15)
ACUMULADO DE LA META
FINANCIERA
$
</t>
  </si>
  <si>
    <t xml:space="preserve">(16)
PORCENTAJE DE  AVANCE FINANCIERO ACUMULADO %
((15/14)*100)
</t>
  </si>
  <si>
    <t>INGRESOS PROPIOS</t>
  </si>
  <si>
    <t>INGRESOS CORRIENTES</t>
  </si>
  <si>
    <t>Tributarios</t>
  </si>
  <si>
    <t>Sobretasa Ambiental</t>
  </si>
  <si>
    <t>No Tributarios</t>
  </si>
  <si>
    <t>Venta de Bienes y Servicios</t>
  </si>
  <si>
    <t>Licencias, permisos y tramites ambientales</t>
  </si>
  <si>
    <t>Otros por Venta de Bienes y Servicios</t>
  </si>
  <si>
    <t>Operaciones Comerciales</t>
  </si>
  <si>
    <t>Aportes Patronales</t>
  </si>
  <si>
    <t>Aportes de Afiliados</t>
  </si>
  <si>
    <t>Aportes de otras entidades</t>
  </si>
  <si>
    <t>Transferencias Sector Electrico</t>
  </si>
  <si>
    <t>Otros Aportes de Otras Entidades</t>
  </si>
  <si>
    <t>Otros Ingresos</t>
  </si>
  <si>
    <t>Tasa Material de Arrastre</t>
  </si>
  <si>
    <t>Tasa por Uso del Agua</t>
  </si>
  <si>
    <t>Tasa Aprovechamiento Forestal</t>
  </si>
  <si>
    <t>RECURSOS DE CAPITAL</t>
  </si>
  <si>
    <t>Crédito externo</t>
  </si>
  <si>
    <t>Perfeccionado</t>
  </si>
  <si>
    <t>Autorizado</t>
  </si>
  <si>
    <t>Crédito Interno</t>
  </si>
  <si>
    <t>Rendimientos Financieros</t>
  </si>
  <si>
    <t>Recursos del Balance</t>
  </si>
  <si>
    <t>Venta de Activos</t>
  </si>
  <si>
    <t>Excedentes Financieros</t>
  </si>
  <si>
    <t>Cancelación de Reservas</t>
  </si>
  <si>
    <t>Recuperación de Cartera</t>
  </si>
  <si>
    <t>Otros Recursos del Balance</t>
  </si>
  <si>
    <t>Donaciones</t>
  </si>
  <si>
    <t>RENTAS PARAFISCALES</t>
  </si>
  <si>
    <t>APORTES DE LA NACION</t>
  </si>
  <si>
    <t>Servicio de la Deuda</t>
  </si>
  <si>
    <t>TOTAL INGRESOS VIGENCIA</t>
  </si>
  <si>
    <t>Tabla 7.  Estructura Básica de las Acciones Operativas del Plan de Acción</t>
  </si>
  <si>
    <t>UNIDAD DEL MEDIDA DE LA ACTIVIDAD</t>
  </si>
  <si>
    <t>Actividad 1.1.2</t>
  </si>
  <si>
    <t>Actividad 1.2.3</t>
  </si>
  <si>
    <t>Proyecto 1.3</t>
  </si>
  <si>
    <t>Actividad 1.3.2</t>
  </si>
  <si>
    <t>Actividad 2.1.3</t>
  </si>
  <si>
    <t>Actividad 2.2.2</t>
  </si>
  <si>
    <t>Proyecto 2.3</t>
  </si>
  <si>
    <t>Actividad 2.3.3</t>
  </si>
  <si>
    <t>Programa 3</t>
  </si>
  <si>
    <t>Proyecto 3.1</t>
  </si>
  <si>
    <t>Actividad 3.1.1</t>
  </si>
  <si>
    <t>Actividad 3.1.2</t>
  </si>
  <si>
    <t>Actividad 3.1.3</t>
  </si>
  <si>
    <t>Proyecto 3.2</t>
  </si>
  <si>
    <t>Actividad 3.2.1</t>
  </si>
  <si>
    <t>Actividad 3.2.2</t>
  </si>
  <si>
    <t>Actividad 3.2.3</t>
  </si>
  <si>
    <t>Proyecto 3.3</t>
  </si>
  <si>
    <t>Actividad 3.3.1</t>
  </si>
  <si>
    <t>Actividad 3.3.2</t>
  </si>
  <si>
    <t>Proyecto 3.4</t>
  </si>
  <si>
    <t>Actividad 3.4.1</t>
  </si>
  <si>
    <t>Actividad 3.4.2</t>
  </si>
  <si>
    <t>ACTIVIDADES/ METAS</t>
  </si>
  <si>
    <t>METAS FÍSICAS</t>
  </si>
  <si>
    <t>CUATRIENIO NACIONAL  2006-2010</t>
  </si>
  <si>
    <t>AVANCE  REGIONAL
2007</t>
  </si>
  <si>
    <t>AVANCE  REGIONAL
2008</t>
  </si>
  <si>
    <t>META REGIONAL 2009</t>
  </si>
  <si>
    <t>AVANCE REGIONAL  2009</t>
  </si>
  <si>
    <t>AVANCE REGIONAL  2010</t>
  </si>
  <si>
    <t>AVANCE REGIONAL  2011</t>
  </si>
  <si>
    <t>META REGIONAL 
2011</t>
  </si>
  <si>
    <t>META REGIONAL
 2010</t>
  </si>
  <si>
    <t>2. Productos certificados con el Sello Ambiental Colombiano</t>
  </si>
  <si>
    <t>Ordenamiento y planificación para la conservación del recurso hídrico</t>
  </si>
  <si>
    <t>1. Planes de ordenamiento y manejo de las cuenca abastecedoras de agua (POMC) formulados y en implementación, prioritariamente en capitales de departamento y municipios con poblaciones &gt; 50.000 habitantes con índices de escasez entre media y alta</t>
  </si>
  <si>
    <t>Número de cuencas</t>
  </si>
  <si>
    <t>Fortalecimiento del SINA para la gobernabilidad ambiental</t>
  </si>
  <si>
    <t>1. Tiempo promedio para el trámite de licencias ambientales en los sectores: agroindustrial, infraestructura, minero y eléctrico (Semanas)</t>
  </si>
  <si>
    <t>Semanas</t>
  </si>
  <si>
    <t>2. Tiempo promedio para el trámite de licencias ambientales en el sector hidrocarburos (Semanas)</t>
  </si>
  <si>
    <t>Prevención y control de la  contaminación ambiental</t>
  </si>
  <si>
    <t>1.Reducción del consumo de Sustancias Agotadoras de Ozono (SAO) que se importan y consumen anualmente en el país</t>
  </si>
  <si>
    <t>Número de Toneladas SAO eliminadas</t>
  </si>
  <si>
    <t>2. Sistema y/o redes de monitoreo de calidad del aire para los centro urbanos y/o corredores industriales definidos como prioritarios implementados y fortalecidos</t>
  </si>
  <si>
    <t>Número de Sistemas o redes</t>
  </si>
  <si>
    <t>3. Estudios piloto realizados para evaluar los efectos de la contaminación atmosférica en la salud</t>
  </si>
  <si>
    <t>Número de Estudios Piloto</t>
  </si>
  <si>
    <t>hectareas</t>
  </si>
  <si>
    <t>Unidades</t>
  </si>
  <si>
    <t>metros</t>
  </si>
  <si>
    <t>personas</t>
  </si>
  <si>
    <t xml:space="preserve">metros </t>
  </si>
  <si>
    <t>metros cúbicos</t>
  </si>
  <si>
    <t>toneladas</t>
  </si>
  <si>
    <t>porcentaje</t>
  </si>
  <si>
    <t>PONDERACION DEL PROGRAMA
(Ppri)</t>
  </si>
  <si>
    <t>PONDERACIÓN DEL PROYECTO
AÑO X
(Ppi)</t>
  </si>
  <si>
    <t>PONDERACIÓN DE LAS ACTIVIDADES
AÑO X
( Pai )</t>
  </si>
  <si>
    <t>METAS FÍSICA 
AÑO X
( Mi )</t>
  </si>
  <si>
    <t>AVANCE DE META FÍSICA 
AÑO X
( Ri)</t>
  </si>
  <si>
    <t>% DE AVANCE ACTIVIDAD
(Ai) = (Ri ) / (Mi)  X 100</t>
  </si>
  <si>
    <t>% DE AVANCE PONDERADO POR ACTIVIDAD
(Api)= (Ai) x  ( Pai )</t>
  </si>
  <si>
    <t xml:space="preserve">% DE AVANCE PONDERADO POR PROYECTO
(% APpi)= sumatoria % de avance ponderados de actividades del proyecto (Api) </t>
  </si>
  <si>
    <t>Fracción de % de avance ponderado por actividad respecto al Plan total
(FApi) = (Ai) x (Pai ) x ( Ppi) x  (Ppri)</t>
  </si>
  <si>
    <t>∑  FApi =</t>
  </si>
  <si>
    <t>PROMEDIO [ Ri ] =</t>
  </si>
  <si>
    <t>EJEMPLO GENERAL  IDENTIFICACIÓN DE PONDERACIONES Y DE CÁLCULO DE AVANCE DEL PLAN 
AÑO X</t>
  </si>
  <si>
    <t>(10)               PONDERACIONES DE PROGRAMAS  Y PROYECTOS (OPCIONAL DE ACUERDO AL PLAN)</t>
  </si>
  <si>
    <t>(14)                                         META FINANCIERA   PERIODO DEL PLAN            
($)</t>
  </si>
  <si>
    <t>PROMEDIO ARITMÉTICO DE AVANCE DEL  PLAN AÑO  X 
(promedio de % de avance de actividades (Ai) )</t>
  </si>
  <si>
    <t>PROMEDIO PONDERADO DE AVANCE DEL  PLAN AÑO  X 
(sumatoria de fracciones de % de avance ponderados de actividades (FApi) )</t>
  </si>
  <si>
    <t>DETERMINACIÓN DEL PORCENTAJE DE AVANCE DEL PLAN DE ACCIÓN EN UN AÑO X</t>
  </si>
  <si>
    <t>Para el Plan 2007-2011 diligenciar las columnas E, F,G,H,I y K</t>
  </si>
  <si>
    <t xml:space="preserve"> (7)                                                    META FISICA PERIODO DEL PLAN            (Según unidad de medida)</t>
  </si>
  <si>
    <t>REGIONAL PERIODO 
2007-2011</t>
  </si>
  <si>
    <t>1.1.1: Declaración de áreas protegidas Serrania de Perija.</t>
  </si>
  <si>
    <t xml:space="preserve">1.1.3 Ejecuciòn de acciones del PMA </t>
  </si>
  <si>
    <t>1.1.4 Apoyo profesional y técnico</t>
  </si>
  <si>
    <t>1.1.5 Contratación</t>
  </si>
  <si>
    <t>1.1.2: Ejecuciòn de los Planes de Manejo de las áreas Protegidas de Perijá u otras áreas.</t>
  </si>
  <si>
    <t>1.2.1 Implementación del  plan de ordenación forestal en el Departamento del Cesar. (caracterización de ambientes terrestres: bosques secos, bosques semihúmedos, enclaves xerofíticos y urbanos), y otras acciones dentro del marco del Plan</t>
  </si>
  <si>
    <t>PROGRAMA 4: PROMOCION DE PROCESOS PRODUCTIVOS COMPETITIVOS Y SOSTENIBLES</t>
  </si>
  <si>
    <t>1.3.1 Consolidación de la línea base ambiental urbano- regional</t>
  </si>
  <si>
    <t>1.3.2 Formulación, adopción e implementación de un plan de monitoreo y seguimiento del estado de los recursos 
naturales renovables urbano-regionales</t>
  </si>
  <si>
    <t>1.3.3 Promoción y apoyo a proyecto  municipales dirigidos a disminuir la generación de residuos de alto impacto en las áreas urbanas</t>
  </si>
  <si>
    <t xml:space="preserve">1.3.4 Promoción y apoyo técnico a los municipios para la implementación de proyectos pilotos de PML en sectores productivos de áreas urbanas.     </t>
  </si>
  <si>
    <t>1.3.5 Promoción de la conservación, preservación y recuperación de 
los elementos naturales del espacio público a través de la definición de directrices ambientales para el manejo del espacio público.</t>
  </si>
  <si>
    <t xml:space="preserve">1.3.6 Investigación y estudios sobre dinámicas urbanas regionales para la concertación de estrategias con los E.T </t>
  </si>
  <si>
    <t>2.1.1.1 Apoyo a la consolidación del Cordón Ambiental y Saneamiento de resguardos en la SNSM, mediante acciones debidamente concertadas con los indígenas.</t>
  </si>
  <si>
    <t>2.1.1.2 Apoyo a proyectos productivos sostenibles - agroforestales, agrícolas y/o pecuarios.</t>
  </si>
  <si>
    <t>2.1.1.3 Apoyo a proyectos de producción limpia.</t>
  </si>
  <si>
    <t>2.1.1.4 Conocimiento y conservación de sitios sagrados - Educación ambiental .</t>
  </si>
  <si>
    <t>2.1.2 Ejecución de acciones prioritarias de mitigación y mejoramiento ambiental en la ecorregión Sierra Nevada de Santa Marta.</t>
  </si>
  <si>
    <t>2.1.2.1 Establecimiento del programa de manejo de residuos solidos en zona indigena.</t>
  </si>
  <si>
    <t>2.1.2.2 Establecimiento del programa de abastecimiento de agua para zona indigena</t>
  </si>
  <si>
    <t>2.1.2.3 Construcción de Sistemas de Tratamiento de Aguas Residuales en zona indígena.</t>
  </si>
  <si>
    <t xml:space="preserve">2.1.2.5 Programa de Acciones para la mitigación de impactos ambientales en la Cuenca Hidrográfica del río Guatapurí, municipio de Valledupar. </t>
  </si>
  <si>
    <t>2.1.3 Apoyo al trabajo conjunto de la formulación del plan de desarrollo sostenible de la Sierra Nevada de Santa Marta,</t>
  </si>
  <si>
    <t>2.1.4 Delimitación de zonas amortiguadoras del parque Sierra Nevada.</t>
  </si>
  <si>
    <t>2.2.1 Ejecución de seguimiento, control y vigilancia a través de operativos</t>
  </si>
  <si>
    <t>2.2.2 Educación ambiental para la conservación y restauración de la Ciénaga</t>
  </si>
  <si>
    <t>2.2.3 Control de la Contaminación en la ciénaga a través de la implementación de estrategias para mitigación y otras estrategias de manejo y mitigación ambiental.</t>
  </si>
  <si>
    <t xml:space="preserve">2.2.5 Caracterización de ciénagas (bioecológica en áreas seleccionadas) y monitoreo y seguimiento al estado de poblaciones y ambientes  cenagosos.  </t>
  </si>
  <si>
    <t xml:space="preserve">2.3.1. Educación ambiental para la conservación y restauración del ecosistema de paramos. </t>
  </si>
  <si>
    <t>2.3.2 Aislamiento de áreas.</t>
  </si>
  <si>
    <t>2.3.3 Acciones de Manejo y Mitigación Ambiental en zonas de páramos.</t>
  </si>
  <si>
    <t xml:space="preserve">2.4.1 Implementación del Plan de Manejo de la Especie Faunística Oso de Anteojos u Oso Andino, en zonas indígenas de los municipios de Agustín Codazzi, Becerril y La Paz, y en áreas estratégicas del municipio de Manaure, en el Departamento del Cesar, en el marco del Programa Nacional de Conservación del Oso Andino. </t>
  </si>
  <si>
    <t xml:space="preserve">2.5.1 Educación ambiental para la conservación y restauración del ecosistema del bosque El Aguil.. </t>
  </si>
  <si>
    <t>2.5.2 Aislamiento de áreas.</t>
  </si>
  <si>
    <t>2.5.3 Implementación de estrategias para el control y mitigación de la contaminación, y otras estrategias de manejo y mitigación ambiental.</t>
  </si>
  <si>
    <t>2.5.4 Articulación del PMA a la politica de Gestión Ambiental urbana.</t>
  </si>
  <si>
    <t>2.6.1 Apoyo a proyectos de agroforesteria y/o patios productivos</t>
  </si>
  <si>
    <t>2.7.1 Control del trafico ilegal de especies</t>
  </si>
  <si>
    <t>2.7.2 Construcción y puesta en marcha del Centro de Atención, valoración y rehabilitación de fauna silvestre en el Departamento del Cesar.</t>
  </si>
  <si>
    <t>2.7.3 Interventoría para la construcción del Centro de Atención, Valoración y Rehabilitación de Fauna Silvestre en el Departamento del Cesar.</t>
  </si>
  <si>
    <t>2.7.4 Formulación e implementación de planes de conservación de especies amenazadas: aves migratorias de la biodiversidad colombiana, cóndor andino, babilla, caimán, mamíferos acuáticos (Manatí y Nutria), icotea,  felinos.</t>
  </si>
  <si>
    <t>2.8.1 Formulación e implementación del plan de acción regional de lucha contra la desertificación y sequía en el departamento del cesar con enfasis en la región del Río Cesar..</t>
  </si>
  <si>
    <t xml:space="preserve">2.9.3 Establecimiento de viveros y producción de arboles. </t>
  </si>
  <si>
    <t>3.1.1 Realizar el inventario de puntos de aprovechamiento de aguas subterráneas, pozos, aljibes y manantiales (incluye adquisición de equipos de monitoreo).</t>
  </si>
  <si>
    <t>3.2.1 Elaborar los estudios de hidrosedimentología en corrientes de aguas superficiales en el Departamento del Cesar.</t>
  </si>
  <si>
    <t>3.3.2 Elaboración del mapa de riesgo por eventos geotécnicos.</t>
  </si>
  <si>
    <t>3.3.1 Elaboración del mapa de riesgo por inundaciones.</t>
  </si>
  <si>
    <t xml:space="preserve">3.3.3 Socialización del conocimiento del riesgo (Torcoroma, Chiriaimo, Honda, San Alberto, Badillo y Guatapurí) </t>
  </si>
  <si>
    <t xml:space="preserve">3.3.4 Concertación e Implementación  de Acciones de mitigación en el marco de la Gestión integral del riesgo. </t>
  </si>
  <si>
    <t>3.4.1 Ejecución de Fases para la formulación de los POMCAS priorizados</t>
  </si>
  <si>
    <t>3.4.2 Gestión para la priorización de nuevas  cuencas según caracterización ambIental del  PDA</t>
  </si>
  <si>
    <t xml:space="preserve">3.4.3 Ejecución del proceso de formulación de  POMCAS en cuencas   priorizados mendiante Res/2004 y en  nuevas cuencas ).  </t>
  </si>
  <si>
    <t>3.6.1 Reglamentación de las corrientes hídricas priorizadas.</t>
  </si>
  <si>
    <t>3.6.3 Facturación por concepto de uso del agua.</t>
  </si>
  <si>
    <t xml:space="preserve">3.6.5 Implementación y seguimiento  a las tasas de reducción de cargas contaminantes adoptadas por el Consejo Directivo </t>
  </si>
  <si>
    <t>3.6.7 Establecimiento y ejecución de estrategias  de Manejo Ambiental en el Arroyo El Salao, municipio de San Diego.</t>
  </si>
  <si>
    <t>4.1.1 Diseño y Construcción de un proyecto piloto demostrativo de arquitectura bioclimática.</t>
  </si>
  <si>
    <t>4.1.2 Interventoría para la construcción de un proyecto piloto demostrativo de arquitectura bioclimática.</t>
  </si>
  <si>
    <t xml:space="preserve">4.1.3 Seguimiento y evaluación de resultados alcanzados con los convenios vigentes </t>
  </si>
  <si>
    <t>4.1.4 Establecimiento del programa de protección de la capa de ozono.</t>
  </si>
  <si>
    <t>4.1.5 Establecimiento del programa de Cambio Climático.</t>
  </si>
  <si>
    <t>4.1.6 Establecimiento del programa de Medidas Sanitarias y Fitosanitarias (MSF).</t>
  </si>
  <si>
    <t>4.1.7 Promoción de proyectos de mercados verdes en el Departamento del Cesar.</t>
  </si>
  <si>
    <t>4.1.8 Apoyo al aprovechamiento de residuos solidos bajo los programas de mercados verdes y aplicación de Tecnologías limpias en el municipio de Valledupar y en el resto del Departamento del Cesar</t>
  </si>
  <si>
    <t xml:space="preserve">4.1.10 Control de Deforestación y captura de CO2 en diferentes áreas bajo la figura de conservación a través de servicios ambientales.   </t>
  </si>
  <si>
    <t xml:space="preserve">4.2.1 Diseño y adopción de la  política pública  local  de PML.   (objetivo, estrategias, acciones y metas)  </t>
  </si>
  <si>
    <t xml:space="preserve">4.2.2 Conformación de un equipo multidisciplinario  de trabajo para el desarrollo de la politica o  Programa de PML según  sectores  productivos y estratégicos vinculados.  </t>
  </si>
  <si>
    <t xml:space="preserve">4.2.3 Formulación e implementación del Proyecto de gestión integral de RESPEL como estrategia de PML    </t>
  </si>
  <si>
    <t>5.1.1.1 Operativos de control de fuentes moviles en Valledupar</t>
  </si>
  <si>
    <t>5.1.1.2 Operativos de control de fuentes moviles en Aguachica</t>
  </si>
  <si>
    <t>5.1.1.3 Adquisición de vehículo y estación móvil para el control de emisiones de gases de automotores.</t>
  </si>
  <si>
    <t>5.1.5 Realización estudio epidemiológico en la zona carbonífera del Cesar.</t>
  </si>
  <si>
    <t>5.2.1 Acciones de control, monitoreo y manejo ambiental en la zona minera según acuerdos de la Jagua. Operación Red de Monitoreo de la Calidad del Aire en la Zona Carbonífera del Cesar.</t>
  </si>
  <si>
    <t xml:space="preserve">5.3.1 Control y seguimiento a los PSMV aprobados  </t>
  </si>
  <si>
    <t xml:space="preserve">5.3.2 Formulación,  diseño e implementaión de una  red de monitoreo  de aguas residuales domésticas  e  industirales </t>
  </si>
  <si>
    <t>5.3.3 Caracterización e Impacto Ambiental por vertimientos en la cuenca media y baja del Río Cesar.</t>
  </si>
  <si>
    <t>5.3.4 Implementación y operación del laboratorio de aguas</t>
  </si>
  <si>
    <t>5.4.1 Gestión y manejo de residuos solidos en el Departamento del Cesar.</t>
  </si>
  <si>
    <t>5.4.2. Gestión y manejo de aguas residuales en el Departamento del Cesar</t>
  </si>
  <si>
    <t>5.5.1 Prevención y atención de incendios forestales a través de contratos o convenios de cooperación técnica y financiera.</t>
  </si>
  <si>
    <t xml:space="preserve">5.5.2 Formulación y adopción de las determinantes ambientales del área de jurisdicción de Corpocesar, para el Ordenamiento Territorial. </t>
  </si>
  <si>
    <t>5.5.3 Diseño y/o Construcción de obras de control de erosión e inundaciones.</t>
  </si>
  <si>
    <t xml:space="preserve">5.5.6.  Formulación  e implementación del Plan de Gestión Integral del Riesgo - GIR- </t>
  </si>
  <si>
    <t>5.5.7.  Estrategia de apoyo para solucionar la problemática del ataque del comején y las hormigas a la Arborización de Valledupar y otras Zonas del Departamento del Cesar.</t>
  </si>
  <si>
    <t>5.6.1 Evaluación y Seguimiento a los instrumentos ambientales que otorga Corpocesar, y atención de quejas por infracciones ambientales.</t>
  </si>
  <si>
    <t xml:space="preserve">5.6.2 Implementación de la ventanilla integral de trámites ambientales en línea, en el marco de las politicas de GOBIERNO EN LINEA, mediante la ejecución de FASES del proceso. Orientado por el MAVDT.  </t>
  </si>
  <si>
    <t xml:space="preserve">5.7.1 Gestión de vinculación y operación  de acciones interinsitucionales.    </t>
  </si>
  <si>
    <t>6.1.1 Establecimiento y operación de la Red Interna de Multiplicadores Ambientales.</t>
  </si>
  <si>
    <t>6.1.2 Desarrollo y fortalecimiento de las comunicaciones (periodico ambiental, programa mision revive, programa en radio, revistas, boletín oficial, divulgación y pautas) como estratégia de formación de cultura ambiental en la región.</t>
  </si>
  <si>
    <t>6.1.3 Implementación del programa pedagógico a los proyectos corporativos PROCEDAS Y PRAES.</t>
  </si>
  <si>
    <t>6.1.4 Impulso a la formación y dinamización de promotores ambientales</t>
  </si>
  <si>
    <t>6.1.5 Impulso a la formación de veedores ambientales para forlatecer los sistemas de veedurias.</t>
  </si>
  <si>
    <t>6.1.6 Conmemoraciones,  exaltaciones ambientales y formación de periodistas y comunicadores regionales para el fortalecimiento de la cultura ambiental.</t>
  </si>
  <si>
    <t xml:space="preserve">6.1.7 Fortalecimiento del proceso de educación y comunicación del riesgo  </t>
  </si>
  <si>
    <t>6.1.8 Educación ambiental para la conservación de sitios turísticos o ecosistemas sensibles.</t>
  </si>
  <si>
    <t>7.1.2 Apoyo profesional y técnico para la gestión misional de la Oficina de Control Interno</t>
  </si>
  <si>
    <t>7.1.6 Bienestar social de los funcionarios, capacitación, recreación y salud ocupacional</t>
  </si>
  <si>
    <t>7.1.7 Adecuación, construcción, adquisición y/o mejoramiento de la infraestructura de la entidad.</t>
  </si>
  <si>
    <t xml:space="preserve">7.1.8 Dotación y modernización de elementos y soportes fisicos de los espacios de trabajo según requerimientos y recursos disponibles. </t>
  </si>
  <si>
    <t>7.1.9 Fortalecimiento del SINA a través de la cooperación institucional con ASOCARS, Unidad de Enlace SNSM y SIRAP Caribe.</t>
  </si>
  <si>
    <t>7.1.10 Fortalecimiento de la gestión mediante el apoyo asistencial, técnico, profesional y especializado.</t>
  </si>
  <si>
    <t>7.1.11 Implementación,  operación e interporalización con otras entidades del SINA y el SIPGA del SIA_SIG.</t>
  </si>
  <si>
    <t xml:space="preserve">7.1.12 Operación del Gestor integral del banco de proyectos  Implementado para fortalecer el proceso de formulación,  seguimiento informes internos y a entes de Control (auditorías, plan de mejoramiento, otros) con todos los involucrados.  </t>
  </si>
  <si>
    <t>7.1.13 Fortalecimiento de la gestión ambiental mediante la adquisición de equipos, instalación, construcción y/u operación de equipos, elementos e infraestructuras para el desarrollo de la investigación, monitoreo, control, seguimiento, mejoramiento y rehabilitación de los recursos naturales y el medio ambiente.</t>
  </si>
  <si>
    <t>7.1.15 Implementación o apoyo a la conformación del centro de documentación y archivo.</t>
  </si>
  <si>
    <t>7.1.16 Consultoría para interventoría de proyectos.</t>
  </si>
  <si>
    <t xml:space="preserve">3.5.1 Concertación  de Acciones para la formulación de POMCAS en cuencas compartidas, previamente priorizadas. </t>
  </si>
  <si>
    <t>5.1.4 Ampliación y operación de la red de monitoreo del aire en la zona minera del Departamento del Cesar.</t>
  </si>
  <si>
    <t>MINISTERIO DE AMBIENTE, VIVIENDA Y DESARROLLO TERRITORIAL</t>
  </si>
  <si>
    <t>CORPORACION AUTONOMA REGIONAL DEL CESAR &gt;CORPOCESAR&lt;</t>
  </si>
  <si>
    <t>EJECUCION</t>
  </si>
  <si>
    <t>% EJEC</t>
  </si>
  <si>
    <t>Programa 1: PLANIFICACION AMBIENTAL DEL TERRITORIO.</t>
  </si>
  <si>
    <t xml:space="preserve">PROYECTO </t>
  </si>
  <si>
    <t>EJECUCIÓN  FÍSICA 2010</t>
  </si>
  <si>
    <t>EJECUCIÓN FINANCIERA 2010</t>
  </si>
  <si>
    <t xml:space="preserve">META PROGRAMADA </t>
  </si>
  <si>
    <t>META EJECUTADA</t>
  </si>
  <si>
    <t>PORCENTAJE EJECUCIÓN</t>
  </si>
  <si>
    <t xml:space="preserve">TOTALES </t>
  </si>
  <si>
    <t>VALOR REGISTRADO A 30/06/2010</t>
  </si>
  <si>
    <t>PROGRAMA 2: CONOCIMIENTO, CONSERVACION Y USO DE LOS RECURSOS NATURALES RENOVABLES Y LA BIODIVERSIDAD.</t>
  </si>
  <si>
    <t>TOTALES</t>
  </si>
  <si>
    <t>PROGRAMA 3: GESTION INTEGRAL DEL RECURSO HIDRICO</t>
  </si>
  <si>
    <t>PROGRAMA 5 : CONTROL DEL IMPACTO AMBIENTAL GENERADO POR LAS ACTIVIDADES QUE PRESIONAN LOS RECURSOS NATURALES Y DEL MEDIO AMBIENTE EN EL DEPARTAMENTO DEL CESAR.</t>
  </si>
  <si>
    <t>PROGRAMA 6 : CONSTRUCCIÓN DE UNA NUEVA CULTURA AMBIENTAL COLECTIVA.</t>
  </si>
  <si>
    <t>META REGISTRADA A 30/06/2010</t>
  </si>
  <si>
    <t>7 : MEJORAMIENTO Y FORTALECIMIENTO INSTITUCIONAL DE LA CORPORACIÓN AUTONOMA REGIONAL DEL CESAR.</t>
  </si>
  <si>
    <t>% EJECUCIÓN FÍSICA</t>
  </si>
  <si>
    <t>% EJECUCIÓN FÍNANCIERA</t>
  </si>
  <si>
    <t>1.1.1</t>
  </si>
  <si>
    <t>1.1.2</t>
  </si>
  <si>
    <t>1.1.3</t>
  </si>
  <si>
    <t>1.1.4</t>
  </si>
  <si>
    <t>1.1.5</t>
  </si>
  <si>
    <t>1.2.1.</t>
  </si>
  <si>
    <t>1.3.1</t>
  </si>
  <si>
    <t>1.3.2</t>
  </si>
  <si>
    <t>1.3.3.</t>
  </si>
  <si>
    <t>1.3.4.</t>
  </si>
  <si>
    <t>2.1.1.1</t>
  </si>
  <si>
    <t>2.1.1.2</t>
  </si>
  <si>
    <t>2.1.1.3</t>
  </si>
  <si>
    <t>2.1.1.4</t>
  </si>
  <si>
    <t>2.1.2</t>
  </si>
  <si>
    <t>2.1.2.1</t>
  </si>
  <si>
    <t>2.1.2.2</t>
  </si>
  <si>
    <t>2.1.2.3</t>
  </si>
  <si>
    <t>2.1.2.5</t>
  </si>
  <si>
    <t>2.1.3</t>
  </si>
  <si>
    <t>2.1.4</t>
  </si>
  <si>
    <t>2.2.1</t>
  </si>
  <si>
    <t>2.2.2</t>
  </si>
  <si>
    <t>2.2.3</t>
  </si>
  <si>
    <t>2.2.5</t>
  </si>
  <si>
    <t>2.3.1</t>
  </si>
  <si>
    <t>2.3.2</t>
  </si>
  <si>
    <t>2.3.3</t>
  </si>
  <si>
    <t>2.4.1</t>
  </si>
  <si>
    <t>2.5.1</t>
  </si>
  <si>
    <t>2.5.2</t>
  </si>
  <si>
    <t>2.5.3</t>
  </si>
  <si>
    <t>2.5.4</t>
  </si>
  <si>
    <t>2.6.1</t>
  </si>
  <si>
    <t>2.7.1</t>
  </si>
  <si>
    <t>2.7.2</t>
  </si>
  <si>
    <t>2.7.3</t>
  </si>
  <si>
    <t>2.7.4</t>
  </si>
  <si>
    <t>2.8.1</t>
  </si>
  <si>
    <t>2.9.3</t>
  </si>
  <si>
    <t>3.1.1</t>
  </si>
  <si>
    <t>3.2.1</t>
  </si>
  <si>
    <t>3.3.1</t>
  </si>
  <si>
    <t>3.3.2</t>
  </si>
  <si>
    <t>3.3.3</t>
  </si>
  <si>
    <t>3.3.4</t>
  </si>
  <si>
    <t>3.4.1</t>
  </si>
  <si>
    <t>3.4.2</t>
  </si>
  <si>
    <t>3.4.3</t>
  </si>
  <si>
    <t>3.5.1</t>
  </si>
  <si>
    <t>3.6.1</t>
  </si>
  <si>
    <t>3.6.3</t>
  </si>
  <si>
    <t>3.6.5</t>
  </si>
  <si>
    <t>3.6.7</t>
  </si>
  <si>
    <t>4.1.1</t>
  </si>
  <si>
    <t>4.1.2</t>
  </si>
  <si>
    <t>4.1.3</t>
  </si>
  <si>
    <t>4.1.4</t>
  </si>
  <si>
    <t>4.1.5</t>
  </si>
  <si>
    <t>4.1.6</t>
  </si>
  <si>
    <t>4.1.7</t>
  </si>
  <si>
    <t>4.1.8</t>
  </si>
  <si>
    <t>4.1.10</t>
  </si>
  <si>
    <t>4.2.1</t>
  </si>
  <si>
    <t>4.2.2</t>
  </si>
  <si>
    <t>4.2.3</t>
  </si>
  <si>
    <t>5.1.1.1</t>
  </si>
  <si>
    <t>5.1.1.2</t>
  </si>
  <si>
    <t>5.1.1.3</t>
  </si>
  <si>
    <t>5.1.4</t>
  </si>
  <si>
    <t>5.1.5</t>
  </si>
  <si>
    <t>5.2.1</t>
  </si>
  <si>
    <t>5.3.1</t>
  </si>
  <si>
    <t>5.3.2</t>
  </si>
  <si>
    <t>5.3.3</t>
  </si>
  <si>
    <t>5.3.4</t>
  </si>
  <si>
    <t>5.4.1</t>
  </si>
  <si>
    <t>5.4.2</t>
  </si>
  <si>
    <t>5.5.1</t>
  </si>
  <si>
    <t>5.5.2</t>
  </si>
  <si>
    <t>5.5.3</t>
  </si>
  <si>
    <t>5.5.6</t>
  </si>
  <si>
    <t>5.5.7</t>
  </si>
  <si>
    <t>5.6.1</t>
  </si>
  <si>
    <t>5.6.2</t>
  </si>
  <si>
    <t>5.7.1</t>
  </si>
  <si>
    <t>6.1.1</t>
  </si>
  <si>
    <t>6.1.2</t>
  </si>
  <si>
    <t>6.1.3</t>
  </si>
  <si>
    <t>6.1.4</t>
  </si>
  <si>
    <t>6.1.5</t>
  </si>
  <si>
    <t>6.1.6</t>
  </si>
  <si>
    <t>6.1.7</t>
  </si>
  <si>
    <t>6.1.8</t>
  </si>
  <si>
    <t>7.1.2</t>
  </si>
  <si>
    <t>7.1.6</t>
  </si>
  <si>
    <t>7.1.7</t>
  </si>
  <si>
    <t>7.1.8</t>
  </si>
  <si>
    <t>7.1.9</t>
  </si>
  <si>
    <t>7.1.10</t>
  </si>
  <si>
    <t>7.1.11</t>
  </si>
  <si>
    <t>7.1.12</t>
  </si>
  <si>
    <t>7.1.13</t>
  </si>
  <si>
    <t>7.1.15</t>
  </si>
  <si>
    <t>7.1.16</t>
  </si>
  <si>
    <t>1.3.5.</t>
  </si>
  <si>
    <t>1.3.6</t>
  </si>
  <si>
    <t>POR ACTIVIDAD</t>
  </si>
  <si>
    <t>POR PROYECTO</t>
  </si>
  <si>
    <t>EJECUCIÓN FINANCIERA 2011</t>
  </si>
  <si>
    <t>FRACCIÓN DE PORCENTAJE AVANCE PONDERADO POR ACTIVIDAD RESPECTO AL PLAN TOTAL (Fapi)</t>
  </si>
  <si>
    <t>% DE AVANCE PONDERADO POR ACTIVIDAD - (Api)</t>
  </si>
  <si>
    <t>SENTENCIAS Y CONCILIACIONES</t>
  </si>
  <si>
    <t xml:space="preserve">RECURSOS VIGENCIA (2013): </t>
  </si>
  <si>
    <t>INFORME DE EJECUCION PRESUPUESTAL ACUMULADA DE GASTOS DE INVERSIÓN RCC - JUNIO 30 /2013</t>
  </si>
  <si>
    <t>SALDO PRO EJECUTAR</t>
  </si>
  <si>
    <t>% POR EJECUTAR</t>
  </si>
  <si>
    <t>Pagos acumulados RCC</t>
  </si>
  <si>
    <t>Saldo pro pagar RC</t>
  </si>
  <si>
    <t>113.900.1 (7.1)</t>
  </si>
  <si>
    <t>123.900.4 (5.6)</t>
  </si>
  <si>
    <t>123.900.4 (5.3)</t>
  </si>
  <si>
    <t>310.900.5 (6.1)</t>
  </si>
  <si>
    <t>410.903.6 (2.2)</t>
  </si>
  <si>
    <t>410.903.7 (2.3)</t>
  </si>
  <si>
    <t>410.903.7 (2.7)</t>
  </si>
  <si>
    <t>410.903.9 (2.9)</t>
  </si>
  <si>
    <t>410.903.11 (5.5)</t>
  </si>
  <si>
    <t>410.903.13 (1.2)</t>
  </si>
  <si>
    <t>410.903.14 (2.5)</t>
  </si>
  <si>
    <t>410.903.15 (2.8)</t>
  </si>
  <si>
    <t>410.903.17 (1.3)</t>
  </si>
  <si>
    <t>410.903.18 (2.4)</t>
  </si>
  <si>
    <t>410.903.19 (2.6)</t>
  </si>
  <si>
    <t>420.900.1 (3.2)</t>
  </si>
  <si>
    <t>420.900.3 (3.4)</t>
  </si>
  <si>
    <t>420.900.4 (3.5)</t>
  </si>
  <si>
    <t>420.903.16 (3.3)</t>
  </si>
  <si>
    <t>420.1200.1 (5.4)</t>
  </si>
  <si>
    <t>420.1200.2 (5.7)</t>
  </si>
  <si>
    <t xml:space="preserve">APROPIACION 
</t>
  </si>
  <si>
    <t xml:space="preserve">GRAN TOTAL </t>
  </si>
  <si>
    <t>% Ejec</t>
  </si>
  <si>
    <t>Participación Ambiental Municipios</t>
  </si>
  <si>
    <t>Compensación Explotación Carbón</t>
  </si>
  <si>
    <t>Tasa Retributiva y Compensatoria</t>
  </si>
  <si>
    <t>Multas y Sanciones</t>
  </si>
  <si>
    <t>Elaboro: Armando Villazon</t>
  </si>
  <si>
    <t>META 2014</t>
  </si>
  <si>
    <t>OBSERVACIÓN</t>
  </si>
  <si>
    <t>PROYECTO/ACTIVIDAD</t>
  </si>
  <si>
    <t>1 Acción</t>
  </si>
  <si>
    <t>No se ha definido qué acción se va a implementar</t>
  </si>
  <si>
    <t>RESPONSABLES</t>
  </si>
  <si>
    <t>Jorge Carpio - Wilson Marquez - Libardo Lascarro</t>
  </si>
  <si>
    <t>1 Línea Base hidrológica y de usuarios levantada</t>
  </si>
  <si>
    <t>Leuger Cortés</t>
  </si>
  <si>
    <t>250 muestras analizadas</t>
  </si>
  <si>
    <t>No se han presentado los estudios previos para su contratación</t>
  </si>
  <si>
    <t>Eduardo López</t>
  </si>
  <si>
    <t>1 Sistema diseñado e implementado</t>
  </si>
  <si>
    <t>1 ente territorial o persona prestadora apoyado</t>
  </si>
  <si>
    <t>100% asistencias técnicas</t>
  </si>
  <si>
    <t>1 sistema de AP o SB con apoyo</t>
  </si>
  <si>
    <t>No se ha definido la ejecución de esta actividad</t>
  </si>
  <si>
    <t>Definir las acciones a desarrollar</t>
  </si>
  <si>
    <t>Definir las acciones a desarrollar con Aguas del Cesar</t>
  </si>
  <si>
    <t>2 Estudios</t>
  </si>
  <si>
    <t>2 Acciones</t>
  </si>
  <si>
    <t>1 Corriente delimitada</t>
  </si>
  <si>
    <t>1 mapa de amenazas</t>
  </si>
  <si>
    <t>1 Convenio</t>
  </si>
  <si>
    <t>3 Convenios</t>
  </si>
  <si>
    <t>3 Acciones implementadas sobre sitios críticos</t>
  </si>
  <si>
    <t>11 Obras de mitigación realizadas</t>
  </si>
  <si>
    <t>156 Ha mantenidas</t>
  </si>
  <si>
    <t>100% avance del estudio</t>
  </si>
  <si>
    <t>1 área declarada</t>
  </si>
  <si>
    <t>1 ente/sector con apoyo</t>
  </si>
  <si>
    <t>Se presentó un borrador del estudio previo. Agilizar la entrega formal para iniciar el proceso de contratación</t>
  </si>
  <si>
    <t>El responsable manifiesta estar adelantando los estudios previos. Agilizar la entrega formal para iniciar el proceso de contratación</t>
  </si>
  <si>
    <t>Definir qué se va a hacer al respecto</t>
  </si>
  <si>
    <t>Agilizar la formalización de los convenios con los cuerpos de bomberos</t>
  </si>
  <si>
    <t>Definir qué tipo de apoyo se va a dar</t>
  </si>
  <si>
    <t>Se inició la ejecución del módulo de gestión del riesgo, limpieza de caños. Falta definir la otra acción</t>
  </si>
  <si>
    <t>La ejecución de las obras va atrasada. Se debe definir si se va a posponer la meta y justificar claramente ante la Subdirección de Planeación, para presentar propuesta ante el Consejo Directivo</t>
  </si>
  <si>
    <t>Si no se va a realizar el mantenimiento de las hectáreas reforestadas, justificar bien para presentar propuesta ante el Consejo Directivo.</t>
  </si>
  <si>
    <t>100 Ha Reforestadas</t>
  </si>
  <si>
    <t>100 ha Mantenidas</t>
  </si>
  <si>
    <t>40 Ha Reforestadas</t>
  </si>
  <si>
    <t>40 Ha Mantenidas</t>
  </si>
  <si>
    <t>Se tenía contemplado la reforestación en la cuenca del río Garupal. Si se decidió no realizar esta reforestación, presentar la justificación completa a la Subdirección de Planeación para presentar propuesta ante el Consejo Directivo.</t>
  </si>
  <si>
    <t>Esta actividad es ejecutada con el Convenio con la Fundación Herencia Ambiental Caribe. Lleva un avance del 50%</t>
  </si>
  <si>
    <t>Definir si esta meta se alcanza a cumplir al finalizar el periodo 2014, de lo contrario presentar justificación para postergar la meta para el 2015 ante el CD.</t>
  </si>
  <si>
    <t>En los informes presentados, siempre se manifiesta que se tiene previsto suscribir carta de entendimiento con Corpoica para la declaratoria del predio Motilonia. Se requiere avanzar definitivamente, en esta actividad.</t>
  </si>
  <si>
    <t>1 Zona con delimitación</t>
  </si>
  <si>
    <t>En el informe de avance, se manifiesta que se adelanta con el Instituto Von Humboldt, la definición de los lineamientos o terminos de referencia para la delimitación de páramos en el país. Por lo tanto, se debe definir si al finalizar el periodo 2014 sí se alcanza a cumplir la meta de delimitar 1 zona de páramos. Si no es posible el cumplimiento de la meta, se debe presentar la debida justificación para solicitar ante el CD el aplazamiento de la meta.</t>
  </si>
  <si>
    <t>Definir si para el periodo 2014 se cumple la meta, o es necesario su aplazamiento. En este caso, presentar la debida justificación</t>
  </si>
  <si>
    <t>1 Humedal con procesos de delimitación apoyados por la CAR</t>
  </si>
  <si>
    <t>Definir la ejecución de esta actividad, si es realizable en el periodo 2014</t>
  </si>
  <si>
    <t>Definir qué se va a realizar, para el cumplimiento de la meta</t>
  </si>
  <si>
    <t>1 Plan de manejo</t>
  </si>
  <si>
    <t>Fueron presentados los estudios previos y está en proceso de formulación el proyecto</t>
  </si>
  <si>
    <t>1 Diseño STAR</t>
  </si>
  <si>
    <t>1 STAR en funcionamiento</t>
  </si>
  <si>
    <t>10 Ha de espejo de agua</t>
  </si>
  <si>
    <t>Definir la ejecución de esta actividad</t>
  </si>
  <si>
    <t>Se inició proceso contractual para la limpieza y destaponamiento de caños, en el área de influencia de la ciénaga. Verificar el cumplimiento de la meta</t>
  </si>
  <si>
    <t>1 proyecto productivo con apoyo</t>
  </si>
  <si>
    <t>1 Sistema de abastecimiento construido</t>
  </si>
  <si>
    <t>1 sistema de saneamiento construido</t>
  </si>
  <si>
    <t>Fueron presentados los estudios previos a la subdirección de planeación, la cual realizó una serie de observaciones y se está a la espera del ajuste de los mismos para que inicie el proceso de contratación.</t>
  </si>
  <si>
    <t>Los estudios previos de esta actividad están bajo la responsabilidad del Ing. Antonio Pastrana, el cual a la fecha no ha presentado los estudios previos respectivos.</t>
  </si>
  <si>
    <t>Wilson Marquez</t>
  </si>
  <si>
    <t>Jorge Armenta</t>
  </si>
  <si>
    <t>Jorge Carpio - Maria Cristina Robayo</t>
  </si>
  <si>
    <t>Asdrubal González - Horacio García</t>
  </si>
  <si>
    <t>Libardo Lascarro</t>
  </si>
  <si>
    <t>Jorge Carpio</t>
  </si>
  <si>
    <t>1200 Vehículos automotores</t>
  </si>
  <si>
    <t>600 motocicletas</t>
  </si>
  <si>
    <t>Agilizar la ejecución de esta actividad, para el cumplimiento de las metas</t>
  </si>
  <si>
    <t>Alvaro Zuleta</t>
  </si>
  <si>
    <t>1 Sistema implementado y operando</t>
  </si>
  <si>
    <t>365 mediciones automáticas</t>
  </si>
  <si>
    <t>En el informe de avance, se manifiesta que el equipo TEOM esta por fuera de funcionamiento desde el segundo semestre del año 2012, el equipo fue dado de baja. Definir entonces si no se va a cumplir la meta en el 2014, la justificación respectiva para presentar solicitud ante el CD.</t>
  </si>
  <si>
    <t>1 Estudio</t>
  </si>
  <si>
    <t>NO TIENE RESPONSABLE</t>
  </si>
  <si>
    <t>Definir la ejecución de esta actividad.</t>
  </si>
  <si>
    <t>10 Campañas</t>
  </si>
  <si>
    <t>Ejecutar la actividad para cumplir con la meta del periodo 2014</t>
  </si>
  <si>
    <t>1 Equipo</t>
  </si>
  <si>
    <t>Los estudios previos fueron presentados por el Ing. Jorge Armenta, sin embargo, aún no se ha iniciado el proceso de contratación.</t>
  </si>
  <si>
    <t>Carlos Andrade</t>
  </si>
  <si>
    <t>5 Proyectos apoyados</t>
  </si>
  <si>
    <t>Se inició la ejecución de un proyecto para la implementación de  acciones para  el desarrollo de la protección de la especie de la Abeja Apis mellifera africanizada, sin embargo, falta por apoyar 4 proyectos</t>
  </si>
  <si>
    <t>2 generadores de RP regulados</t>
  </si>
  <si>
    <t>10 sistios inventriados</t>
  </si>
  <si>
    <t>1 sitio recuperado</t>
  </si>
  <si>
    <t>No se ha avanzado en esta actividad</t>
  </si>
  <si>
    <t>Se tiene conocimiento de que se elaboraron los estudios previos, sin embargo, aún no se ha iniciado el proceso de contratación</t>
  </si>
  <si>
    <t>1 Estrategia</t>
  </si>
  <si>
    <t>25 Bachilleres</t>
  </si>
  <si>
    <t>50% Fondocumental organizado y sistematizado</t>
  </si>
  <si>
    <t>1 Dotación de Equipo</t>
  </si>
  <si>
    <t>1 Dotación de útiles de oficina</t>
  </si>
  <si>
    <t>En el informe de avance se manifiesta que se realizaron estudios previos, sin embargo, aún no se ha iniciado el proceso de contratación</t>
  </si>
  <si>
    <t>Definir cómo se va a cumplir con la meta</t>
  </si>
  <si>
    <t>Erika Mendoza</t>
  </si>
  <si>
    <t>Alex Ospino</t>
  </si>
  <si>
    <t>Ismael Escorcia</t>
  </si>
  <si>
    <t>1.5.3 Fortalecimiento del Componente ambiental del plan Dptal de Aguas del Cesar a través de la Vinculación CAR procesos ambiental PDA</t>
  </si>
  <si>
    <t>1 Sistema de Agua potable o saneamiento básico con apoyo</t>
  </si>
  <si>
    <t xml:space="preserve">2.2.3 Prevención y Mitigación del riesgo y desastres naturales en la jurisdicción de Corpocesar </t>
  </si>
  <si>
    <t>No tiene actividad</t>
  </si>
  <si>
    <t>No tiene meta</t>
  </si>
  <si>
    <t>Una vez realizados los Convenios con los municipios para la construcción de obras de control de erosión, quedó un saldo de $42.086.600,62. Se debe definir qué se va a ejecutar con este recurso</t>
  </si>
  <si>
    <t>3.1.2 Implementación del Plan de Ordenación Forestal del Departamento del Cesar</t>
  </si>
  <si>
    <t xml:space="preserve">3.1.3 Implementación de acciones de Revegetalización para la protección Recurso Hídrico </t>
  </si>
  <si>
    <t>Meta programada para el 2013, que aún no ha sido ejecutada</t>
  </si>
  <si>
    <t>3.2.5 Ejecución plan manejo Ambiental y acciones prioritarias de mitigación ERE-CCZ</t>
  </si>
  <si>
    <t>7,5 km de adecuación de áreas</t>
  </si>
  <si>
    <t>3 talleres de educación ambiental</t>
  </si>
  <si>
    <t>400 cartillas ilustrativas</t>
  </si>
  <si>
    <t>Asdrúbal Gonzalez</t>
  </si>
  <si>
    <t>No se ha iniciado la ejecución de esta actividad. La meta se encuentra rezagada, ya que su cumplimiento era para el 2013</t>
  </si>
  <si>
    <t>351 m3 de obras de protección y control de erosión</t>
  </si>
  <si>
    <t>1742 ml de obras de adecuación</t>
  </si>
  <si>
    <t>1 interventoría de obras</t>
  </si>
  <si>
    <t>No se ha definido qué acciones se van a implementar. Si estas acciones definitivamente no se van a realizar, presentar propuesta a consideración del Consejo Directivo</t>
  </si>
  <si>
    <t>72 Ha en reforestación</t>
  </si>
  <si>
    <t>72 Unidades productivas</t>
  </si>
  <si>
    <t>72 sistemas agroforestales en evaluación</t>
  </si>
  <si>
    <t>5.1.2 Construcción de una nueva cultura Ambiental Colectiva en el Departamento del Cesar</t>
  </si>
  <si>
    <t xml:space="preserve">1 Proyecto de sostenibilidad ambiental </t>
  </si>
  <si>
    <t>1 Estrategia de educación ambiental sostenible fortalecida</t>
  </si>
  <si>
    <t>1 Extensión del modelo del sistema hacia usuarios del SINA</t>
  </si>
  <si>
    <t>1 Dotación del componente del Hardware del SIA</t>
  </si>
  <si>
    <t>1 Dotación del componente del software para SIG</t>
  </si>
  <si>
    <t>ESTADO DE EJECUCIÓN DE PROYECTOS FINANCIADOS CON RECURSOS DE COMPENSACIÓN DEL CARBÓN - RCC</t>
  </si>
  <si>
    <t>PRESUPUESTO RCC</t>
  </si>
  <si>
    <t>Periodo 2013</t>
  </si>
  <si>
    <t>Periodo 2014</t>
  </si>
  <si>
    <t>Periodo 2015</t>
  </si>
  <si>
    <t>No Usuarios identificados</t>
  </si>
  <si>
    <t>No Usuarios legalizados</t>
  </si>
  <si>
    <t>Porcentaje de legalización</t>
  </si>
  <si>
    <t>No Usuarios a identificar</t>
  </si>
  <si>
    <t>No Usuarios por legalizar</t>
  </si>
  <si>
    <t>CLASE</t>
  </si>
  <si>
    <t>Nº INDIVIDUOS</t>
  </si>
  <si>
    <t>MAMÍFEROS</t>
  </si>
  <si>
    <t>AVES</t>
  </si>
  <si>
    <t>REPTILES</t>
  </si>
  <si>
    <t>Total</t>
  </si>
  <si>
    <t xml:space="preserve"> 2013-2014</t>
  </si>
  <si>
    <t>Avance periodo plan</t>
  </si>
  <si>
    <t>FÍSICA</t>
  </si>
  <si>
    <t>FINANCIERA</t>
  </si>
  <si>
    <t>AVANCE</t>
  </si>
  <si>
    <t>NIVEL RENTISTICO</t>
  </si>
  <si>
    <t>APROPIADO</t>
  </si>
  <si>
    <t>RECAUDADO</t>
  </si>
  <si>
    <t>Adquisición de Bienes</t>
  </si>
  <si>
    <t>ADMINISTRACION PUBLICA CENTRAL</t>
  </si>
  <si>
    <t xml:space="preserve">1. GESTIÓN PARA EL DESARROLLO AMBIENTAL SOSTENIBLE A TRAVES DE LA RECUPERACIÓN Y CONSERVACIÓN DE LAS ECORREGIONES ESTRATÉGICAS.  </t>
  </si>
  <si>
    <t>Acciones implementadas</t>
  </si>
  <si>
    <t>Cobertura de PUEAA con seguimiento (PUEAA seguimiento/Aprobados)</t>
  </si>
  <si>
    <t>Estudios realizados</t>
  </si>
  <si>
    <t>Procesos desarrollados</t>
  </si>
  <si>
    <t>Acciones de PM implementadas</t>
  </si>
  <si>
    <t>Sistemas apoyados</t>
  </si>
  <si>
    <t>Acciones de los PM implementadas</t>
  </si>
  <si>
    <t>Alertas con seguimiento y evaluación en campo</t>
  </si>
  <si>
    <t>Seguimiento y control a los que incumplen obligaciones</t>
  </si>
  <si>
    <t>PRAUS apoyados</t>
  </si>
  <si>
    <t>Gremios, asociaciones, investigaciones apoyadas a través de los PROCEDAS</t>
  </si>
  <si>
    <t>CIDEA´s asesorados</t>
  </si>
  <si>
    <t>2. MOVILIZACIÓN CIUDADANA</t>
  </si>
  <si>
    <t>Estudio realizado</t>
  </si>
  <si>
    <t>Cumplimiento de requisitos mínimos de publicación</t>
  </si>
  <si>
    <t>3.FORTALECIMIENTO INSTITUCIONAL</t>
  </si>
  <si>
    <t>TOTAL METAS FISICAS</t>
  </si>
  <si>
    <r>
      <t xml:space="preserve">DETERMINACIÓN DEL PORCENTAJE PONDERADO DE AVANCE DEL PLAN </t>
    </r>
    <r>
      <rPr>
        <b/>
        <sz val="24"/>
        <rFont val="Calibri"/>
        <family val="2"/>
      </rPr>
      <t>∑</t>
    </r>
    <r>
      <rPr>
        <b/>
        <sz val="24"/>
        <rFont val="Arial"/>
        <family val="2"/>
      </rPr>
      <t xml:space="preserve">Fapi </t>
    </r>
  </si>
  <si>
    <t xml:space="preserve">Nota: - Excedentes Financieros corresponden a Compensacion por Explotacion de Carbon  - RCC / Recursos Libres de </t>
  </si>
  <si>
    <t xml:space="preserve">             Compromisos liberados por efectos de liquidacion obligaciones.</t>
  </si>
  <si>
    <t>1.1- FORMULACION Y/O AJUSTE DE POMCAS, IMPLEMENTACION EVALUACION Y SEGUIMIENTO CUENCAS PRIORIZADAS</t>
  </si>
  <si>
    <t>1.2- FORMULACION E IMPLEMENTACION DE PLANES DE MANEJO DE MICROCUENCAS DPTO. CESAR</t>
  </si>
  <si>
    <t>1.3- FORMULACION E IMPLEMENTACION DE PLANES DE MANEJO AMBIENTAL DE ACUIFEROS EN DPTO. DEL CESAR</t>
  </si>
  <si>
    <t>1.4- GESTION E IMPLEMENTACION DEL PORH DEL RIO CESAR</t>
  </si>
  <si>
    <t>1.5- CONTROL SEGUIMIENTO PSMVS y PUEAA APROBADOS E IMPLEMENTACION ACCIONES USOS EFICIENTE DESCONTAMINA</t>
  </si>
  <si>
    <t>1.6- ACTUALIZACION BASE DATO DE USUARIOS Y REGLAMENTACION DE CORRIENTES ENFOCADA A LA VARIABILIDAD DEL CLIMA</t>
  </si>
  <si>
    <t>1.7- CONTROL Y SEGUMIENTO AL PROGRAMA DE LA TASA RETRIBUTIVA EN LA JURISDICCION CORPOCESAR</t>
  </si>
  <si>
    <t>2.1- PROMOCION Y APOYO IMPLEMENTAC POLITICA NACIONAL CAMBIO CLIMATICO GESTION IMPLEMENT MEDIDAS MITIGACIO</t>
  </si>
  <si>
    <t>2.2- ESTUDIOS INVESTIGAC Y CONOCIMIENT IMPLEMENTAR ACCIONES MITIGACION APROPIAD ADAPTAC CAMBIO CLIMATICO</t>
  </si>
  <si>
    <t>3.1- IDENTIFICACION, FORMULAC E IMPLEMENTAC MEDIDAS INTEGRALES CONSERVACION Y RECUPERACION RECURSO SUELO</t>
  </si>
  <si>
    <t>4.2- DECLARACION AREAS PROTEGIDAS IMPLEMENTAC OTRAS ESTRATEG CONSERVAC BIODIVERSIDAD Y FORMULAC PLANES</t>
  </si>
  <si>
    <t>4.3- FORMULACION E IMPLEMENTAC ACCIONES PRIORITAR MANEJO ECOSIST ESTRATEG (PARAMOS, BOSQUES SECO, HUMEDA</t>
  </si>
  <si>
    <t>4.4- FORTALECIMIENTO, GESTION E IMPEMENTACION DE MEDIDAS PARA EL MANEJO DE LA FAUNA DPTO. DEL CESAR</t>
  </si>
  <si>
    <t>5.1- AJUSTE, DISEÑO, GESTION E IMPLEMENTACION DE LA POLITICA DE GESTION AMBIENTAL URBANO REGIONAL DPTO.CESAR</t>
  </si>
  <si>
    <t>5.2- GESTION PARA LA PROMOCION Y/O CONSTRUCCION DE INFRAESTRUCTURAS ECOLOGICAS URBANAS</t>
  </si>
  <si>
    <t>6.1- OPTIMIZACION INTEGRAL DE LOS PROCESOS OPERATIVOS DE TRAMITES AMBIENTALES OTORGADOS POR LA CAR</t>
  </si>
  <si>
    <t>6.3- FORTALECIMIENTO INTERINSTIT SOSTENIBL EJERCICIO AUTORIDAD AMBIENT REGIONAL(SEGUIMIENT,CONTROL Y VIGILAC)</t>
  </si>
  <si>
    <t>7.1- EVALUACION AJUSTES DETERMINAT PARA EL OT E IMPLEMENT SISTEMA ASESORIA, SEGUIMIENT, EVALUAC, Y CONTROL</t>
  </si>
  <si>
    <t>7.2- ESTUDIOS CONOCIMIENTO DEL RIESGOS AMBIENTAL TERRITORIO Y GESTION PARA LA REDUCCION Y APOYO DESASTRES</t>
  </si>
  <si>
    <t>8.1- REVISION Y/O AJUSTE E IMPLEMENTACION RED HIDROMETEOROLOGICA EN LA JURISDICCION DE CORPOCESAR</t>
  </si>
  <si>
    <t>8.2- DISEÑO, IMPLEMENTAC Y OPERACION DE LAS REDES DE MONITOREO DE LOS RECURSOS NATURALES  AREA DE LA CAR</t>
  </si>
  <si>
    <t>8.4- AJUSTE, ACTUALIZACION Y ADOPCION DEL PGAR-PLANEAR</t>
  </si>
  <si>
    <t>9.1- FORTALECIMIENTO Y OPTIMIZACION DEL PROGRAMA TRANSVERSAL DE EDUCACION AMBIENTAL DE LA CAR</t>
  </si>
  <si>
    <t>10.1- IMPLEMENTAC ESTRATEG MANEJO AMBIENTAL TERRITORIOS INDIGENAS SIERRA NEVADA SNSM Y SERRANIA DE PERIJA</t>
  </si>
  <si>
    <t>10.2- IMPLEMENTAC ESTRATEG MANEJO AMBIENTAL COMUNIDADES AFRODESCENDIENTES, OTRAS MINORIAS ETNICAS POBLA</t>
  </si>
  <si>
    <t>11.1- DISEÑO E IMPLEMENTAC POLITICAS EFECTIVAS GESTION DE INGRESOS SOSTENIBIL FINANCIERA COMPETENC MISIONALE</t>
  </si>
  <si>
    <t>11.2- ORGANIZACIÓN INTEGRAL DE LA INSTITUCIONALIDAD</t>
  </si>
  <si>
    <t>11.3- FORTALECIMIENTO INTERAINSTITUCIONAL DE LA ESTRUCTURA ORGANIZACIONAL REGIONAL DE LA CORPORACION</t>
  </si>
  <si>
    <t>11.4- FORTALECIMIENTO E IMPLEMENTACION DE LAS TIC´s</t>
  </si>
  <si>
    <t xml:space="preserve">1.1 </t>
  </si>
  <si>
    <t xml:space="preserve">1.2 </t>
  </si>
  <si>
    <t xml:space="preserve">1.3 </t>
  </si>
  <si>
    <t xml:space="preserve">1.4 </t>
  </si>
  <si>
    <t xml:space="preserve">1.5 </t>
  </si>
  <si>
    <t xml:space="preserve">1.6. </t>
  </si>
  <si>
    <t xml:space="preserve">1.7 </t>
  </si>
  <si>
    <t xml:space="preserve">2.1 </t>
  </si>
  <si>
    <t>2.2</t>
  </si>
  <si>
    <t xml:space="preserve">5.1 </t>
  </si>
  <si>
    <t xml:space="preserve">5.2 </t>
  </si>
  <si>
    <t>7.1</t>
  </si>
  <si>
    <t xml:space="preserve">7.2 </t>
  </si>
  <si>
    <t xml:space="preserve">Programa </t>
  </si>
  <si>
    <t>Ponderación</t>
  </si>
  <si>
    <t>Meta física</t>
  </si>
  <si>
    <t>Meta financiera</t>
  </si>
  <si>
    <t>Meta Física</t>
  </si>
  <si>
    <t>2. CAMBIO CLIMÁTICO</t>
  </si>
  <si>
    <t>3. SUELO</t>
  </si>
  <si>
    <t>4. BIODIVERSIDAD</t>
  </si>
  <si>
    <t>5. GESTIÓN AMBIENTAL URBANA</t>
  </si>
  <si>
    <t>6. TRÁMITES Y AUTORIZACIONES AMBIENTALES</t>
  </si>
  <si>
    <t>7. ORDENAMIENTO AMBIENTAL TERRITORIAL</t>
  </si>
  <si>
    <t>8.CONOCIMIENTO E INFORMACIÓN AMBIENTAL</t>
  </si>
  <si>
    <t>9. EDUCACIÓN AMBIENTAL</t>
  </si>
  <si>
    <t>10. MINORÍAS ETNICAS</t>
  </si>
  <si>
    <t>11.DESARROLLO INSTITUCIONA</t>
  </si>
  <si>
    <t>TOTAL</t>
  </si>
  <si>
    <r>
      <t>1.</t>
    </r>
    <r>
      <rPr>
        <sz val="14"/>
        <color rgb="FF000000"/>
        <rFont val="Franklin Gothic Book"/>
        <family val="2"/>
      </rPr>
      <t>AGUA</t>
    </r>
  </si>
  <si>
    <t>NA</t>
  </si>
  <si>
    <t>PROYECTO</t>
  </si>
  <si>
    <t>Meta fis 2016</t>
  </si>
  <si>
    <t>Meta fin 2016</t>
  </si>
  <si>
    <t xml:space="preserve">4.1 </t>
  </si>
  <si>
    <t xml:space="preserve">4.2 </t>
  </si>
  <si>
    <t>4.3</t>
  </si>
  <si>
    <t xml:space="preserve">4.4 </t>
  </si>
  <si>
    <t>5.2</t>
  </si>
  <si>
    <t>Meta fis 2017</t>
  </si>
  <si>
    <t>Meta fin 2017</t>
  </si>
  <si>
    <t xml:space="preserve">6.1 </t>
  </si>
  <si>
    <t>6.3</t>
  </si>
  <si>
    <t xml:space="preserve">6.2- IMPLEMENTACION DE UN SISTEMA DE ATENCION DE QUEJAS, CONTRAVENCIONES Y SANCIONES AMBIENTALES </t>
  </si>
  <si>
    <t>8.3- IMPLEMENTACION DEL SISTEMA DE INFORMACION PARA LA GESTION AMBIENTAL -SIPGA(SIAC-SIG)</t>
  </si>
  <si>
    <t>A-PAGO PASIVOS EXIGIBLES VIGENCIAS ANTERIORES CONV INTERADMON 2013 03 0098 04 DEPARTAMENTO DEL CESAR-CORPOCESAR</t>
  </si>
  <si>
    <t>B-PAGO PASIVOS EXIGIBLES VIGENCIAS ANTERIORES CONSORCIO CALENTURITAS 19-6-0138-0-2015</t>
  </si>
  <si>
    <t>C-PAGO PASIVOS EXIGIBLES VIGENCIAS ANTERIORES KGP CONSULTORIAS Y LOGISTICAS S.A.S 19-6-0286-0-2014</t>
  </si>
  <si>
    <t>D-PAGO PASIVOS EXIGIBLES VIGENCIAS ANTERIORES AUDINTERG S.A.S 19-6-0287-0-2014</t>
  </si>
  <si>
    <t xml:space="preserve">FONAM 3205-0900-2 CONSTRUCCION DE OBRA PARA EL CONTROL INUNDACION SOBRE LA MARGEN IZQUIERDA DEL RIO ARIGUANI </t>
  </si>
  <si>
    <t>FONAM-C-3202-0900-4 IMPLEMENTACION DE ACCIONES DE MANEJO SOSTENIBLE EN LAS ZONAS SECAS MIGUILLO VARAS BLANCAS</t>
  </si>
  <si>
    <t>FONAM-C-3202-0900-5 IMPLEMENTACION  DE ACCIONES PLAN DE MANEJO PARAMOS SUBPARAMOS ALTA MONTAÑA SERRANIA DEL PERIJA</t>
  </si>
  <si>
    <t>E-PAGO PASIVOS EXIGIBLES VIGENCIAS ANTERIORES FUNDACION UNIVERSIDAD DEL VALLE 19-7-0003-0-2015</t>
  </si>
  <si>
    <t xml:space="preserve">ANEXO No.5-2. INFORME DE EJECUCION PRESUPUESTAL DE GASTOS </t>
  </si>
  <si>
    <t xml:space="preserve">RECURSOS VIGENCIA: </t>
  </si>
  <si>
    <t>APROPIACION DEFINITIVA</t>
  </si>
  <si>
    <t>EJECUCION    (COMPROMISOS)</t>
  </si>
  <si>
    <t>EJECUCION    (PAGOS)</t>
  </si>
  <si>
    <t>Cuota de Auditaje Contaloria Nacional</t>
  </si>
  <si>
    <t>Fondo de Compensación Ambiental</t>
  </si>
  <si>
    <t xml:space="preserve">TRANSFERENCIAS PREVISION Y SEGURIDAD SOCIAL </t>
  </si>
  <si>
    <t>Mesadas Pensionales</t>
  </si>
  <si>
    <t>Bonos pensionales</t>
  </si>
  <si>
    <t xml:space="preserve">OTRAS </t>
  </si>
  <si>
    <r>
      <t xml:space="preserve">1  </t>
    </r>
    <r>
      <rPr>
        <b/>
        <sz val="8"/>
        <rFont val="Univers"/>
        <family val="2"/>
      </rPr>
      <t>En la columna ejecucion "Compromisos" se deben registrar los compromisos que quedaron con Registro Presupuestal</t>
    </r>
  </si>
  <si>
    <t>CORPORACIÓN AUTÓNOMA REGIONAL DEL CESAR</t>
  </si>
  <si>
    <t xml:space="preserve">FONAM-C-3202-0900-3 RECUPERACION AMBIENTAL CENAGOSO  DE ZAPATOSA, CORREGIMIENTO DE SALOA MUNICIPIO DE CHIMICHAGUA </t>
  </si>
  <si>
    <t xml:space="preserve">CORPORACIÓN AUTÓNOMA REGIONAL DEL CESAR - CORPOCESAR MATRIZ DE SEGUIMIENTO DEL PLAN DE ACCIÓN 2016 - 2019
AVANCE EN LAS METAS FÍSICAS Y FINANCIERAS DEL PLAN DE ACCIÓN </t>
  </si>
  <si>
    <t xml:space="preserve"> ANEXO 1.   MATRIZ DE  SEGUIMIENTO A LA GESTIÓN Y AVANCE EN LAS METAS FÍSICAS Y FINANCIERAS DEL PLAN DE ACCIÓN.</t>
  </si>
  <si>
    <t>RECURSOS VIGENCIA:</t>
  </si>
  <si>
    <t xml:space="preserve">ANEXO No. 5-1. INFORME DE EJECUCIÓN PRESUPUESTAL DE INGRESOS </t>
  </si>
  <si>
    <t>CORPORACIÓN AUTÓNOMA REGIONAL DEL CESAR  &gt;CORPOCESAR&lt;</t>
  </si>
  <si>
    <t>Funcionamiento CSF</t>
  </si>
  <si>
    <t>Funcionamiento SSF</t>
  </si>
  <si>
    <t>Inversión FONAM</t>
  </si>
  <si>
    <t>E Meta Física</t>
  </si>
  <si>
    <t>E Meta Financiera</t>
  </si>
  <si>
    <t>Eficiencia</t>
  </si>
  <si>
    <t>Convenios</t>
  </si>
  <si>
    <t xml:space="preserve">1.2 Coordinación y Desarrollo de portafolios de sistemas sostenibles de conservación - SSC- (conservación, restauración, manejo sostenible, agroforestales, reconversión productiva) en el departamento del Cesar
</t>
  </si>
  <si>
    <t>1.2.1 Coordinación, concienciación de actores entorno al proceso de visión de sistemas sostenibles de conservación -SSC-</t>
  </si>
  <si>
    <t>1.2.2 Diseño conjunto de un modelo y estrategias para la implementación de SSC</t>
  </si>
  <si>
    <t>1.2.3 Gestión sinérgica para la promoción y creación de capacidad técnica para la implementación del manejo SSC.</t>
  </si>
  <si>
    <t xml:space="preserve">1.2.4 Apoyo a la implementación,  seguimiento y evaluación de proyectos pilotos y/o estratégicos  de SSC. </t>
  </si>
  <si>
    <t>Grupos de actores conformados para el desarrollo del SSC</t>
  </si>
  <si>
    <t>Porcentaje de avance del modelo de SSC</t>
  </si>
  <si>
    <t xml:space="preserve">Grupos asistidos técnicamente </t>
  </si>
  <si>
    <t xml:space="preserve">Proyectos formulados y apoyados con seguimiento y evaluación. </t>
  </si>
  <si>
    <t xml:space="preserve"> 1. RESTAURACIÓN ECOLÓGICA VERIFICABLE Y SUSTENTABLE</t>
  </si>
  <si>
    <t>2. GESTIÓN INTEGRAL DEL RIESGO AMBIENTAL,  CLIMÁTICO, Y DEL RECURSO HÍDRICO.</t>
  </si>
  <si>
    <t>2.1  Implementación y evaluación de acciones del Plan Integral de Gestión de Cambio Climático -PIGCC- Territorial del Cesar</t>
  </si>
  <si>
    <t>2.1.1 Gestión e implementación de  Estrategias y/o Proyectos de mitigación y adaptación al cambio climático, en el marco de los planteamientos del -PIGCC- Territorial del Cesar</t>
  </si>
  <si>
    <t xml:space="preserve">2.1.2 Implementación del SIA de cambio climático dptal  y apoyo efectivo  al sistema  de Registro Nacional de Reducción de Emisiones de Gases de Efecto Invernadero - RENARE  </t>
  </si>
  <si>
    <t xml:space="preserve">2.2 Implementación de acciones para la operación de la EDANA en el área de jurisdicción de Corpocesar. </t>
  </si>
  <si>
    <t>2.2.1 Gestión para la implementación de la Metodología que permita al sector ambiente realizar una evaluación de daños y necesidades ambientales -EDANA en zonas continentales impactadas por desastres naturales, socionaturales y/o antrópicos</t>
  </si>
  <si>
    <t xml:space="preserve">2.2.2 Implementación PILOTO de EDANA en zona priorizada </t>
  </si>
  <si>
    <t xml:space="preserve">2.2.3 Diseño, Gestión e institucionalización operativa  de EDANA Corpocesar.  </t>
  </si>
  <si>
    <t xml:space="preserve">Avance del SIA -CC  y  apoyo a RENARE </t>
  </si>
  <si>
    <t>Agenda intersectorial del  NRCC Caribe articulada y apoyada.</t>
  </si>
  <si>
    <t>%</t>
  </si>
  <si>
    <t>Adopción de la Metodología EDANA</t>
  </si>
  <si>
    <t>Avance del piloto EDANA</t>
  </si>
  <si>
    <t>EDANA en operación</t>
  </si>
  <si>
    <t xml:space="preserve">2.3 Gestión de conocimiento e implementación de medidas para la  reducción del riesgo ambiental en áreas prioritarias del dpto. del Cesar. </t>
  </si>
  <si>
    <t>2.3.1 Gestión y ejecución de Acciones de conocimiento para la reducción del riesgo asociado al cambio climático, enmarcadas en la GRD. (Estudios de detalle)</t>
  </si>
  <si>
    <t xml:space="preserve">2.3.2 Gestión e implementación de Medidas estructurales y/o proyectos para la REDUCCION del riesgo </t>
  </si>
  <si>
    <t>2.4 Gestión integral del recurso hídrico y materialización de la ZOAT en el area de jurisdiccion de Corpocesar.</t>
  </si>
  <si>
    <t>2.4.1 Desarrollo de instrumentos de planificación y administración del recurso hídrico, y contribución a la ejecución de Plan Hídrico Nacional -PHN- fase III, en el marco de la PNGIRH.</t>
  </si>
  <si>
    <t>2.4.2 Gestión, formulación e  Implementación de PORH.</t>
  </si>
  <si>
    <t>2.4.3 Control, seguimiento y apoyo a implementación de  los PSMV y PUEAA aprobados por la Corporación e implementación de acciones para el uso eficiente y descontaminación del recurso hídrico en el dpto. del Cesar. (armonización con proyecto 4.1)</t>
  </si>
  <si>
    <t xml:space="preserve">2.4.5 Estructuración e implementación de una estrategia integral para la recuperación de ecosistemas en la cuenca del río Cesar (tipo APP). En armonía con el programa 5 y la actividad 2.4.2 </t>
  </si>
  <si>
    <t>2.4.6 Instalación de las denominadas "plataformas colaborativas" con el MADS,  para la articulación de inversiones y acciones para la recuperación de ecosistemas degradados en torno a cuencas hidrográficas.</t>
  </si>
  <si>
    <t>3. OCUPACIÓN TERRITORIAL INTEGRAL</t>
  </si>
  <si>
    <t xml:space="preserve">3.1  Fortalecimiento del proceso de Ordenamiento Territorial como estrategia  para promover el  desarrollo terrirorial sostenible, en el dpto del Cesar.   </t>
  </si>
  <si>
    <t>3.2 Asistencia técnica a todos los municipios de la jurisdicción en los procesos de revisión y ajuste de los POT, siguiendo guias del SINA</t>
  </si>
  <si>
    <t xml:space="preserve">3.1.1 Actualización de las determinantes ambientales para el Ordenamiento territorial (énfasis en cambio climático, GRD, suelo suburbano, EEP)  </t>
  </si>
  <si>
    <t xml:space="preserve">3.1.2 Socialización y divulgación de las DA para el OT (cartografía temática compartida)  </t>
  </si>
  <si>
    <t xml:space="preserve">3.1.3 Fortalecimiento operativo del proceso de evaluación (verificación  de componentes claves del diagnóstico territorial descrito en el DTS del proyecto de revisión y/o ajuste del POT).  </t>
  </si>
  <si>
    <t>3.1.4 Control, Seguimiento y evaluación de los asuntos ambientales  concertados en el proceso de revisión y/o ajustes de los POT, PBOT y EOT del Cesar</t>
  </si>
  <si>
    <t>3.2.1Capacitación o asistencia técnica a los ETM,  en todos los temas asociados al proceso de revisión de los POT (incluye perfil climático municipal y gestión del CC, GRD, desarrollo urbano sostenible, Expediente municipal del POT, UPR, planes parciales).</t>
  </si>
  <si>
    <t>3.2.2 Apoyo y orientación a demás actores del proceso de revisión y ajuste de los POT (CTP, concejales, gremios, IGAC).</t>
  </si>
  <si>
    <t>3.2.3 Apoyo a los municipios PDET en la Incorporación de la zonificación ambiental en la planeación del desarrollo territorial (POT y PDM)</t>
  </si>
  <si>
    <t xml:space="preserve">3.2.4 Apoyo al SIG municipal a través del suministro de cartografía temática producida en Corpocesar por ETM. </t>
  </si>
  <si>
    <t>3.3 Implementación de un sistema de relacionamiento  interinstitucional en el proceso de planeación del desarrollo y evaluación de los modelos de ocupación adoptados</t>
  </si>
  <si>
    <t xml:space="preserve">3.3.2 Evaluación de modelos de ocupación y valoración de SE arrojados por los procesos de OAT y satisfacción de demandas sociales (Vivienda, SSPD, movilidad, Catastro, etc.)  </t>
  </si>
  <si>
    <t>4.1 Gestión, coordinación,  e implementación de políticas locales de resiliencia y sostenibilidad ambiental urbana en el área de jurisdicción de Corpocesar.</t>
  </si>
  <si>
    <t>4.1.1 Optimización del proceso de construcción y reporte de ICAU/PGAU ((aire, movilidad, SSPD, CC, PGIR, PSMV, PUEAA, Etc)</t>
  </si>
  <si>
    <t xml:space="preserve">4.1.2 Participación en el proceso de ajuste de la Política de Gestión ambiental urbana y desarrollo de indicadores en conjunto con el MADS- DAASU-. </t>
  </si>
  <si>
    <t>4.1.3  Gestión para la Incorporación de la biodiversidad y servicios ecosistémicos en la planificación urbana a través del ordenamiento ambiental del territorio (GAU).</t>
  </si>
  <si>
    <t>4.2 Gestión y apoyo regional a  la implementación de la estrategia nacional de Economía  circular y  economía ambiental para la producción sostenible.</t>
  </si>
  <si>
    <t>4.2.1 Promoción del aprovechamiento y valorización de residuos sólidos en el marco de los PGIRS. (incluye Socialización de esquemas de posconsumo  y  campañas conjuntas con los sistemas en el marco  de educación para la gestión responsable de los residuos)</t>
  </si>
  <si>
    <t xml:space="preserve">4.2.2 Apoyo a la implementación de acciones para el desarrollo de la economía circular en el manejo de los residuos sólidos (proyectos pilotos) </t>
  </si>
  <si>
    <t>4.2.3 Participación en Mesas Regionales de Economía Circular en el marco de las Comisiones Regionales de Competitividad.</t>
  </si>
  <si>
    <t>4.2.4 Acompañamiento al proceso de actualización de los PGIRS, para garantizar inclusión de proyectos de aprovechamiento de residuos y seguimiento a la implementación</t>
  </si>
  <si>
    <t xml:space="preserve">4.2.5 Apoyo al desarrollo de  Proyectos pilotos de eliminación de plásticos de un solo uso. (hoteles, restaurantes y similares) </t>
  </si>
  <si>
    <t>4.2.6 Gestión para la implementación de proyectos pilotos de biocomercio y turismo rural en ecorregiones estratégicas.</t>
  </si>
  <si>
    <t xml:space="preserve">4.3 Apropiación de la Ciencia ambiental  y de la tecnología para promover la producción sostenible en el dpto. del Cesar.   </t>
  </si>
  <si>
    <t xml:space="preserve">4.3.1 Conocimiento de potencialidad,  promoción y apoyo a la implementación de proyectos de Energías  renovables </t>
  </si>
  <si>
    <t>4.3.2 Promoción de procesos de mitigación y adaptación al cambio climático en Sectores productivos (Minería, agropecuario y comercio)</t>
  </si>
  <si>
    <t>4.3.3 Valoración económica ambiental y cuantificación del capital natural en el PIB dptal.</t>
  </si>
  <si>
    <t>4.3.4 Participación en procesos intersectoriales de Salud Ambiental de los COTSA,  a través de las mesas técnicas conformadas.</t>
  </si>
  <si>
    <t xml:space="preserve">4.3.5 Apoyo a  la Implementación  la Política Integral de Salud Ambiental a nivel territorial, desde las competencias de las CAR. </t>
  </si>
  <si>
    <t xml:space="preserve">4.4 Gestión integral  del suelo  para la recuperación de este recurso natural  en el departamento del Cesar.  </t>
  </si>
  <si>
    <t>4.4.1 Implementación de las acciones planteadas en el  PAR  para mitigar los efectos de la desertificación y la sequía en armonía con el proyecto 1.1  (estrategia de reforestación, restauración, agricultura y ganadería sostenible, estufas ecológicas, monitoreo).</t>
  </si>
  <si>
    <t xml:space="preserve">4.4.2 Generación de espacios académicos para el conocimiento del recurso suelo (posibles alianzas con la academia) </t>
  </si>
  <si>
    <t xml:space="preserve">4.4.3 Actualizar e implementar el plan de gestión Integral de residuos peligrosos en el marco de la política RESPEL junto al  cumplimiento de la Directiva ministerial 2019 </t>
  </si>
  <si>
    <t>4.4.4 Mejoramento del proceso de validación de información del Registro de Generadores de RESPEL y del Inventario Nacional de PCB</t>
  </si>
  <si>
    <t>4.4.5 Capacitación y desarrollo de campañas a los diferentes actores sobre el manejo ambientalmente racional de RESPEL y fortalececimiento de  las actividades de IVC a generadores e instalaciones licenciadas</t>
  </si>
  <si>
    <t xml:space="preserve">4.5 Gestión integral del recurso aire, articulada a  la prioridad regional del MADS,  en áreas estratégicas del dpto del Cesar. </t>
  </si>
  <si>
    <t>4.5.3 Diseño e implementación de plan de prevención, control y reduccion de la contaminación del aire, en municipios con población igual o superior a 150.000 habitantes y zonas industriales o mineras de alto impacto. (armonizado a la PGAU).</t>
  </si>
  <si>
    <t>4.5.4 Control  y monitoreo de fuentes móviles y áreas fuentes en áreas estratégicas de la jurisdicción. (implementación de fuentes móviles de control)</t>
  </si>
  <si>
    <t>4.5.5 Identificación, control y seguimiento a fuentes fijas de emisión</t>
  </si>
  <si>
    <t xml:space="preserve">4.5.6 Gestión, comunicación y evaluación interinstitucional de la información de la CA.  </t>
  </si>
  <si>
    <t>4.5.7 Evaluación de las estaciones de monitoreo de CA  de la jurisdicción para verificar cumplimiento a la meta del PND 2018-2022 y/o rediseñar estrategias de prevención y control.</t>
  </si>
  <si>
    <t xml:space="preserve">Acciones de conocimiento del riesgo ejecutadas </t>
  </si>
  <si>
    <t>Medidas estructurales ejecutadas</t>
  </si>
  <si>
    <t xml:space="preserve">Fases de nuevos POMCAS adelantadas (4 fases) </t>
  </si>
  <si>
    <t>Acciones de POMCA  implementadas (componentes de la fase 4)</t>
  </si>
  <si>
    <t>POMCA con seguimiento, coordinación y evaluación/año</t>
  </si>
  <si>
    <t>Nuevas Fases de los PMA  de Microcuenca formulados.</t>
  </si>
  <si>
    <t xml:space="preserve">Acciones de PMA de  Microcuencas Implementadas/año </t>
  </si>
  <si>
    <t xml:space="preserve">Acciones de PMA de Acuíferos  Implementadas/año </t>
  </si>
  <si>
    <t xml:space="preserve">Otras acciones de planeación y gestión de  Acuíferos  Implementadas/año </t>
  </si>
  <si>
    <t>Nuevo PORH formulado (S/. Prioridad)</t>
  </si>
  <si>
    <t xml:space="preserve">Acciones de PORH implementadas/plan (R. Cesar, Calenturitas y Chiriaimo). </t>
  </si>
  <si>
    <t>No.</t>
  </si>
  <si>
    <t xml:space="preserve"> PSMV´s con seguimiento/año</t>
  </si>
  <si>
    <t>Ronda hídrica acotada/año</t>
  </si>
  <si>
    <t>Avance de la Estrategia integral estructurada e implementada</t>
  </si>
  <si>
    <t xml:space="preserve">Plataforma  colaborativa CAR-MADS, en operación </t>
  </si>
  <si>
    <t xml:space="preserve">Avance de Determinantes Ambientales revisadas, actualizadas y socializadas                                                                                                                                                              </t>
  </si>
  <si>
    <t xml:space="preserve">Diagnósticos relevantes del DTS de proyectos de ajustes verificados </t>
  </si>
  <si>
    <t>Actos administrativos del proceso, con seguimiento, control y evaluación</t>
  </si>
  <si>
    <t xml:space="preserve">ETM asitidos </t>
  </si>
  <si>
    <t>Actores asistidos</t>
  </si>
  <si>
    <t>Municipios PDET asistidos</t>
  </si>
  <si>
    <t xml:space="preserve">SIG Municipal con temática de OAT  apoyados </t>
  </si>
  <si>
    <t>Estrategia interinstitucional de OT implementada.</t>
  </si>
  <si>
    <t xml:space="preserve">Sistema de indicadores sociales asociados al OT, estructurado  </t>
  </si>
  <si>
    <t xml:space="preserve">Participación institucional a convocatorias del MADS-DAASU- </t>
  </si>
  <si>
    <t>Campañas educativas realizadas</t>
  </si>
  <si>
    <t>Proyectos pilotos apoyados</t>
  </si>
  <si>
    <t>Participación en CRC</t>
  </si>
  <si>
    <t>PGIRS apoyados y con seguimiento</t>
  </si>
  <si>
    <t>PGIRS evaluados</t>
  </si>
  <si>
    <t>Proyectos de energías renovables promovidos y/o  en desarrollo</t>
  </si>
  <si>
    <t>Lineamientos establecidos/ sector</t>
  </si>
  <si>
    <t>Avance de estudio</t>
  </si>
  <si>
    <t xml:space="preserve">Participación en Mesas técnicas </t>
  </si>
  <si>
    <t>Avance de la política territorial de Salud ambiental</t>
  </si>
  <si>
    <t>Acciones del PAR ejecutadas</t>
  </si>
  <si>
    <t xml:space="preserve">Espacios académicos realizados </t>
  </si>
  <si>
    <t>Plan RESPEL revisado y actualizado</t>
  </si>
  <si>
    <t xml:space="preserve">Nivel de Registro RESPEL </t>
  </si>
  <si>
    <t>Capacitación y/o campañas/año</t>
  </si>
  <si>
    <t xml:space="preserve">4.5.1 Territorialización de la Estrategia Nacional de Calidad del Aire (fortalecimiento del  proceso regional del SEVCA - Corpocesar)  </t>
  </si>
  <si>
    <t>4.5.2 Optimización y Fortalecimento del Sistema de Moniterio de Calidad de Aire del Cesar. (acreditación, dotación, técnicas y operación de la red, cobertura y sostenibiidad)</t>
  </si>
  <si>
    <t xml:space="preserve">Estrategia Nal implementada a nivel regional </t>
  </si>
  <si>
    <t xml:space="preserve">Avance de  optimización de la Red </t>
  </si>
  <si>
    <t xml:space="preserve">Plan de reducción y prevención en ejecución </t>
  </si>
  <si>
    <t>Cobertura de áreas fuentes monitoreadas</t>
  </si>
  <si>
    <t xml:space="preserve">FM en operación (equipo, RH y vehículo). </t>
  </si>
  <si>
    <t>Control y seguimiento</t>
  </si>
  <si>
    <t xml:space="preserve">SIA de Aire operando con efectividad </t>
  </si>
  <si>
    <t>Evaluación/año</t>
  </si>
  <si>
    <t>5.               PROTECCION DE LA BIODIVERSIDAD PARA sostenibilidad de servicios ecosistèmicos y  SUSTENTABILIDAD DEL DESARROLLO</t>
  </si>
  <si>
    <t xml:space="preserve">5.1 Gestión e implementación de estrategias para la recuperación y conservación de la flora y fauna en el Departamento del Cesar, en armonía con el proyecto 1.2 
</t>
  </si>
  <si>
    <t xml:space="preserve">5.1.1 Acciones para la implementación de Proyectos de PSA en áreas de interés en el marco del Programa Nacional de PSA. (meta nacional: 260.000 Ha PSA) </t>
  </si>
  <si>
    <t xml:space="preserve">5.1.2 Gestión de  Áreas bajo esquemas de Pagos por Servicios Ambientales (PSA) e incentivos a la conservación: fortalecimiento de capacidades, instrumentación jurídica, gestión y articulación institucional, evaluación y seguimiento, y sostenibilidad financiera. </t>
  </si>
  <si>
    <t>5.1.3 Implementación de estrategia enfocada a la bioeconomía para la sostenibilidad productiva en el uso de los recursos naturales (conservación de los ecosistemas estratégicos en armonía con el proyecto 1.1)</t>
  </si>
  <si>
    <t>5.1.4 Formulación e implementación del Plan Departamental de Negocios Verdes</t>
  </si>
  <si>
    <t xml:space="preserve">5.1.5 Implementación y/o fortalecimiento  de las ventanillas de negocios verdes y articulación con los incentivos  existentes. </t>
  </si>
  <si>
    <t xml:space="preserve">Acciones coordinadas  </t>
  </si>
  <si>
    <t>Áreas bajo esquemas de PSA e incentivos a la conservación</t>
  </si>
  <si>
    <t>PSA en sistemas productivos</t>
  </si>
  <si>
    <t>Lineamientos estratégicos sostenibles formulados y con seguimiento y evaluación</t>
  </si>
  <si>
    <t>Plan formulado e implementado</t>
  </si>
  <si>
    <t>Negocios verdes identificados y verificados (meta MADS: 1.865 negocios)</t>
  </si>
  <si>
    <t xml:space="preserve">Negocios verdes apoyados </t>
  </si>
  <si>
    <t>Ha</t>
  </si>
  <si>
    <t>5.2 Implementación de la estrategia de control integral en los núcleos de deforestación priorizados en el Cesar, (en coordinación institucional con el MADS).</t>
  </si>
  <si>
    <t>5.2.1 Apoyo al IDEAM en monitoreo y seguimiento a los agentes y causas de deforestación</t>
  </si>
  <si>
    <t>5.2.2 Formulación  conjunta con el MADS, de portafolio de proyectos en núcleos activos de deforestación, y gestión e implementación.</t>
  </si>
  <si>
    <t>5.2.3 Desarrollo de acciones de prevención y control  a la deforestación</t>
  </si>
  <si>
    <t xml:space="preserve">5.2.4 Ajuste e Implementación de acciones prioritarias  del POF del Cesar  (armonía con actividad 5.2.2 y 5.2.5) </t>
  </si>
  <si>
    <t>5.2.5 Establecer proyectos para uso y aprovechamiento forestal comunitarios del bosque que permitan su uso sostenible</t>
  </si>
  <si>
    <t>5.2.6. Promoción y fortalecimiento de espacios de participación como plataforma de  articulación para la promoción de la cultura forestal y reducción de la deforestación</t>
  </si>
  <si>
    <t xml:space="preserve">Participación requerida apoyada </t>
  </si>
  <si>
    <t>Portafolio de proyectos coordinado y formulado</t>
  </si>
  <si>
    <t>Participación requerida en la actualización del marco regulatorio asociado al manejo forestal sostenible</t>
  </si>
  <si>
    <t>Avance de Instrumentos de control (SUN-L, Libro de Operaciones) implementado/año</t>
  </si>
  <si>
    <t xml:space="preserve">Número de proyectos establecidos  </t>
  </si>
  <si>
    <t>Número de reuniones de articulación y armonización de las acciones para la gestión de los bosques</t>
  </si>
  <si>
    <t>Proyectos gestionados</t>
  </si>
  <si>
    <t xml:space="preserve">5.3 Fortalecimiento de gobernanza forestal en la jurisdicción de Corpocesar. </t>
  </si>
  <si>
    <t xml:space="preserve">5.3.1 Registrar con libro de operaciones el 100% de las  Empresas forestales en la jurisdicción </t>
  </si>
  <si>
    <t>5.3.2 Establecer un proyecto piloto sostenible para la trasformación de la materia prima del bosque, que contribuyan con el uso sostenible de productos maderables y no  maderables del bosque</t>
  </si>
  <si>
    <t>5.3.3 Promover y otorgar los Esquemas de Reconocimiento a la Legalidad a los usuarios del bosque y empresas forestales</t>
  </si>
  <si>
    <t>5.3.4 Realizar operativos de control al tráfico de flora.</t>
  </si>
  <si>
    <t>Avance del proceso</t>
  </si>
  <si>
    <t>Esquemas otorgados  de Reconocimiento a la Legalidad de usuarios del bosque y de empresas forestales.</t>
  </si>
  <si>
    <t>Operativos de control al tráfico de flora</t>
  </si>
  <si>
    <t xml:space="preserve">5.4 Gestión del SIRAP  y/o implementación de otras estrategias de conservación de la biodiversidad y formulación e implementación y apoyo de PM  de AP  en el dpto. del Cesar. </t>
  </si>
  <si>
    <t>5.4.1 Formulación e implementación del PM del DRMI del Complejo Cenagoso de Zapatosa (RAMSAR Zapatosa)</t>
  </si>
  <si>
    <t>5.4.2 Desarrollo de estudios y procesos para la declaratoria de nuevas APR y/o otras estrategias de la conservación de la biodiversidad.</t>
  </si>
  <si>
    <t>5.4.3 Gestión para la formulación e implementación de PM  de APR  y otras estrategias de conservación.</t>
  </si>
  <si>
    <t>5.4.4 Gestión, apoyo y articulación interinstitucional en el desarrollo de los sistemas de áreas protegidas (SINAP, SIRAP, SIDAP, SILAP)</t>
  </si>
  <si>
    <t>5.4.5 Gestión e implementación de acciones en el Bosque seco tropical</t>
  </si>
  <si>
    <t>5.4.6 Gestión e implementación de acciones en humedales</t>
  </si>
  <si>
    <t>Plan formulado (avance)</t>
  </si>
  <si>
    <t>Área declarada P</t>
  </si>
  <si>
    <t>Planes de manejo formulados</t>
  </si>
  <si>
    <t xml:space="preserve">Ha </t>
  </si>
  <si>
    <t>5.5 Fortalecimiento, gestión e implementación de medidas para el manejo de la fauna en el dpto. del Cesar</t>
  </si>
  <si>
    <t>5.5.1 Evaluación y  Optimización del proceso operativo del CAVRFFS</t>
  </si>
  <si>
    <t>5.5.2  Implementación de acciones de los planes de manejo de la fauna amenazada.</t>
  </si>
  <si>
    <t xml:space="preserve">5.5.3 Revisión, evaluación,  ajuste e implementación de acciones de PM  de especies invasoras (en armonía con objetivos del COTSA).  </t>
  </si>
  <si>
    <t>Opetividad optimizada</t>
  </si>
  <si>
    <t xml:space="preserve">6.1 Fortalecimento de la participación ciudadana en la Gestión ambiental,  con enfoque endógeno y/o cultural,   intergeneracional, y consensual para promover el desarrollo ECOsocial en el dpto del Cesar.  </t>
  </si>
  <si>
    <t xml:space="preserve">6.1.1 Gestión e Implementación de  medidas para el fortalecimiento de  la participación ciudadana en la gestión ambiental </t>
  </si>
  <si>
    <t xml:space="preserve">6.1.2 Implementación de acciones para incluir el enfoque étnico, de género e intergeneracional en los procesos de educación  ambiental. Asociado con el proyecto 6.2   </t>
  </si>
  <si>
    <t xml:space="preserve">6.1.3 Creación de  escenarios de diálogo entre los ciudadanos  las entidades para la prevención de conflictos socioambientales, en armonía con la actividad 6.1.1 y el proyecto 6.3  </t>
  </si>
  <si>
    <t xml:space="preserve">6.1.4 Diseño  e implementación de estrategias para el rescate y divulgación de los conocimientos tradicionales asociados al uso y manejo de la biodiversidad en el marco de la conmemoración del  Bicentenario "200 Años de Biodiversidad", en armonía con el MADS </t>
  </si>
  <si>
    <t>6.1.5 Fortalecimiento y apoyo a la participación de los jóvenes de ambiente en el marco de la Política Nacional de Educación Ambiental</t>
  </si>
  <si>
    <t>Número de procesos participativos implementados (las 4 act, siguientes/año)</t>
  </si>
  <si>
    <t xml:space="preserve">Número de procesos de educación ambiental con enfoque diferencial realizados     </t>
  </si>
  <si>
    <t xml:space="preserve">Número de acciones realizadas en el marco de la conmemoración del Bicentenario "200 años de biodiversidad"     </t>
  </si>
  <si>
    <t>Avance de Estrategia Bicentenario ejecutada</t>
  </si>
  <si>
    <t>Apoyo operativo de la red de jóvenes de ambiente del Cesar</t>
  </si>
  <si>
    <t>6.2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</si>
  <si>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6.2.1 Resignificación de los  PRAES y CIDEAS (Promoción de la incorporación de la dimensión ambiental en la educación formal (contenidos curriculares en PRAES) y apoyo a la implementación de PRAUS, con enfoque en cambio climático.</t>
  </si>
  <si>
    <t>6.2.2 Promoción del desarrollo de la dimensión ambiental en la educación no formal (PROCEDAS, empresas, investigación en tecnologías limpias).</t>
  </si>
  <si>
    <t xml:space="preserve">6.2.3 Apoyo al diseño, implementación y promoción de planes y acciones de educación ambiental, con enfoque en cambio climático, en asocio con el proyecto 2.1 </t>
  </si>
  <si>
    <t xml:space="preserve">Contenidos curriculares de PRAES fortalecidos e incorporados (avance plan) </t>
  </si>
  <si>
    <t>Miembros CIDEA y educadores ambientales formados</t>
  </si>
  <si>
    <t>Proyectos requeridos apoyados/año</t>
  </si>
  <si>
    <t>6.3 Planeación, gestión e Implementación de acciones  para el manejo de conflictos socioambientales  asociados a la productividad económica y/o uso de RN en áreas estratégicas del Cesar.</t>
  </si>
  <si>
    <t xml:space="preserve">6.3.1 Apoyo a la estructuración, implementación y evaluación de compromisos en negocios verdes con enfoque cultural y/o diferencial  (comunidad étnica, y  afrodescendiente). en armonía con la actividad 5.1.4 </t>
  </si>
  <si>
    <t xml:space="preserve">6.3.2 Implementación de Cátedra social de cambio climático y riesgo ambiental para la productividad con eco-educación (vía one-line pág. web de Corpocesar) </t>
  </si>
  <si>
    <t>6.3.3 Implementación de estrategia para disminución de conflictos por uso de la Ciénaga de Zapatosa</t>
  </si>
  <si>
    <t>Negocios verdes apoyados con enfoque diferencial.</t>
  </si>
  <si>
    <t>Cátedra implementada</t>
  </si>
  <si>
    <t>Avance de estrategia implementada y evaluada</t>
  </si>
  <si>
    <t xml:space="preserve">7.                                                                                                                                         PACTANDO EQUIDAD:  ANCESTRAL Y DIFERENCIAL </t>
  </si>
  <si>
    <t>7.1 Implementación de estrategias para el manejo ambiental en territorios indígenas de la Sierra Nevada de Santa Marta y Serranía de Perijá,   incorporando la cosmovisión de los pueblos indígenas  y  el enfoque diferencial en la restauración ecológica integral .</t>
  </si>
  <si>
    <t xml:space="preserve">7.1.2 Gestión, coordinación y evaluación al cumplimiento y materialización de acuerdos pactados mediante protocolización de consultas previas, en el marco de los POMCA adoptados, según responsabilidades de los consejos de cuencas. </t>
  </si>
  <si>
    <t xml:space="preserve">7.1.3 Identificación de  oportunidades y necesidades de gestión del cambio climático en territorios étnicos para la implementación de acciones de manejo conjuntas con enfoque diferencial.  </t>
  </si>
  <si>
    <t xml:space="preserve">7.1.4 Desarrollo de escenario de gobernanza con grupos étnicos para la gestión de estrategias de Prevención de conflictos socioambientales. </t>
  </si>
  <si>
    <t>7.1.5 Gestion, y apoyo y/o Construcción de sistemas de abastecimiento de agua,  de manejo integral de residuos y  de saneamiento básico (baterías sanitarias)  en asentamientos de comunidades  indígenas.</t>
  </si>
  <si>
    <t>7.1.6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t>
  </si>
  <si>
    <t>7.1.7 Apoyo para la determinación de línea base socioambiental  en asentamientos indígenas para fundamentar procesos geopolíticos en la Serranía del Perijá.</t>
  </si>
  <si>
    <t xml:space="preserve">Acciones priorizadas </t>
  </si>
  <si>
    <t xml:space="preserve">Avance del proceso de materialización de acuerdos/consejos de cuencas </t>
  </si>
  <si>
    <t xml:space="preserve">Estudios de identificación </t>
  </si>
  <si>
    <t>Encuentros realizados (SNSM; SP)</t>
  </si>
  <si>
    <t>Sistemas apoyados y/o construidos</t>
  </si>
  <si>
    <t xml:space="preserve">Estrategias implementadas </t>
  </si>
  <si>
    <t xml:space="preserve">LB apoyada </t>
  </si>
  <si>
    <t xml:space="preserve">7.2 Implementación de estrategias para el manejo ambiental en comunidades afrodescendientes,  otras minorías étnicas, y/o poblaciones victimas del conflicto armado en el dpto. del Cesar. </t>
  </si>
  <si>
    <t xml:space="preserve">7.2.1  Priorización de acciones (según capacidad y competencia)  para el apoyo conjunto con el MADS a  territorios colectivos y otras minorías vulnerables, en el marco del Pacto por los grupos étnicos  del PND 2018-2022. </t>
  </si>
  <si>
    <t xml:space="preserve">7.2.2  Implementación de proyectos  agroforestales como alternativa de sostenibilidad ambiental  para el óptimo aprovechamiento y/o uso del suelo, y que favorezcan las condiciones alimentarias de subsistencia de las comunidades afrocolombianas  </t>
  </si>
  <si>
    <t xml:space="preserve">7.2.3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 </t>
  </si>
  <si>
    <t>8. DESARROLLO INSTITUCIONAL SINÉRGICO</t>
  </si>
  <si>
    <t>8.1  Fortalecimiento  e implementación de medidas  Técnicas, económicas  y financieras  para la sostenibilidad  administrativa y financiera  de Corpocesar.</t>
  </si>
  <si>
    <t xml:space="preserve">8.1.1 Implementación y valoración cuantitativa  de estrategias eficaces en el Recaudo de las rentas propias de la entidad  (gestión de cobro persuasivo, coactivo y de saneamiento contable, Adecuada implementación de la reglamentación existente en materia de tasas ambientales; otros) </t>
  </si>
  <si>
    <t xml:space="preserve">8.1.2 Gestión y actualización efectiva de la base de datos de usuarios de la TUA enfocada a la reglamentación y/o ordenación de corrientes, teniendo en cuenta la variabilidad climática  (asocio con el programa 2)   </t>
  </si>
  <si>
    <t xml:space="preserve">8.1.3 Control y seguimiento a la gestión de la tasa retributiva para promover la eficacia y eficiencia de la reinversión, en armonía con Actividad  2.4.3 </t>
  </si>
  <si>
    <t xml:space="preserve">8.1.4 Sostenimiento técnico y adtvo  en la Implementación de las NIIF, IGPR, PCT, y otros instrumentos de apoyo  (cumplimiento tributario, contable, operativo, y   reportes de información correspondientes en los tiempos y bajo los parámetros establecidos. etc) </t>
  </si>
  <si>
    <t>8.1.5 Ejecución de las inversiones en preservación, restauración, uso sostenible y generación de conocimiento (art.  11 de la Ley 1955 de 2019 y los artículos 24 y 25 de la Ley 1930 de 2018) y Participación en los espacios de consulta pública de los proyectos de reglamentación de los instrumentos económicos, financieros y de mercado, liderados por el MADS.</t>
  </si>
  <si>
    <t>8.1.6  Diseño e implementación del Sistema de Gestión Ambiental SGA- NTC ISO 14001:2015 para la sede bioclimática de la entidad en Valledupar</t>
  </si>
  <si>
    <t xml:space="preserve">8.1.7 Gestión para la venta de  servicio de laboratorio ambiental de agua  (estrategia administrativa y de sostenibilidad financiera) en armonía con la actividad o subp 2.4.4   </t>
  </si>
  <si>
    <t>Estrategias implementadas  evaluadas</t>
  </si>
  <si>
    <t xml:space="preserve">Nuevas estrategias (tributo de carbono, tasas) implementadas/año </t>
  </si>
  <si>
    <t>Avance de Base de datos TUA actualizada</t>
  </si>
  <si>
    <t xml:space="preserve">Fuente TR controlada </t>
  </si>
  <si>
    <t xml:space="preserve">Capacidad operativa de apoyo </t>
  </si>
  <si>
    <t>Indice de ejecución RAE/GI</t>
  </si>
  <si>
    <t xml:space="preserve">Nivel de participación y aportes a consutas </t>
  </si>
  <si>
    <t>Sistema diseñado</t>
  </si>
  <si>
    <t>Sistema implementado</t>
  </si>
  <si>
    <t>Sistema evaluado y certificado</t>
  </si>
  <si>
    <t>Sistema en mantenimiento y mejoramiento continuo</t>
  </si>
  <si>
    <t xml:space="preserve">Avance de Nuevo servicio (venta implementada) </t>
  </si>
  <si>
    <t>8.2 Gestión e implementacion de acciones  para el aumento de la capacidad de desempeño  institucional integral de Corpocesar.</t>
  </si>
  <si>
    <t xml:space="preserve">8.2.2 Optimización integrada del sistema de atención al ciudadano (PQR´s, ventanilla única),  quejas y sanciones ambientales con el VITAL. (RH, tecnológicos, documental  y físicos). </t>
  </si>
  <si>
    <t xml:space="preserve">8.2.3 Fortalecimiento del Banco de Programas y Proyectos como soporte a la gestión de inversión ambiental de la entidad </t>
  </si>
  <si>
    <t>8.2.4 Concertación, gestión  e Implementación del programa de bienestar social e incentivos, y  de  formación y capacitación</t>
  </si>
  <si>
    <t>8.2.5 Optimización física de la  sede principal de Corpocesar y seccionales (infraestructura, Dotación, mantenimiento, protección de activos y bienes corporativos, etc. Según diagnóstico, PM y SIGC).</t>
  </si>
  <si>
    <t xml:space="preserve">8.2.6 Continuación de la optimización fisica y  operativa (TRD, TVD,  PINAR, SIC)  de la gestión archívistica y documental  (consulta virtual y física centro de documentación), según plan específico. </t>
  </si>
  <si>
    <t>8.2.7 Optimización de la estrategia de Compras públicas sostenibles</t>
  </si>
  <si>
    <t>Indice Sistema de calidad y MIPG optimizado</t>
  </si>
  <si>
    <t xml:space="preserve">Sistema de Control interno de gestión fortalecido (recursos  físicos, tecnológico y humano)/año </t>
  </si>
  <si>
    <t xml:space="preserve">Avance de la optimización del sistema </t>
  </si>
  <si>
    <t>BPI-CAR fortalecido</t>
  </si>
  <si>
    <t xml:space="preserve">Indice de Eficacia/programa </t>
  </si>
  <si>
    <t xml:space="preserve">Infraestructuras optimizadas y mantenidas/sedes propias </t>
  </si>
  <si>
    <t>Seccionales adecuadas   dotadas y mantenidas</t>
  </si>
  <si>
    <t xml:space="preserve">Activos y bienes protegidos </t>
  </si>
  <si>
    <t xml:space="preserve">Avance del sistema archivístico y documental.  </t>
  </si>
  <si>
    <t xml:space="preserve">Avance de la estrategia </t>
  </si>
  <si>
    <t>8.3 Fortalecimiento institucional sostenible del ejercicio de la autoridad ambiental regional  (seguimiento, control y vigilancia) y apoyo  integral de los procesos operativos de trámites ambientales otorgados por la Corporación</t>
  </si>
  <si>
    <t xml:space="preserve">8.3.1 Implementación de una estrategia de seguimiento documental a los compromisos adquiridos mediante informes impuestos en el acto administrativo </t>
  </si>
  <si>
    <t>8.3.2 Verificación en campo por alertas identificadas en los informes</t>
  </si>
  <si>
    <t>8.3.3 Verificación en campo a los permisos, autorizaciones o licencias que no han cumplido con la presentación de informes</t>
  </si>
  <si>
    <t xml:space="preserve">8.3.4 Optimización integral de los procesos operativos de trámites ambientales otorgados por la Corporación </t>
  </si>
  <si>
    <t xml:space="preserve">8.3.5 Dotación, mantenimiento y/o calibración de equipos receptores del Sistema de posicionamiento global - GPS, molinetes, Drone, sonómetros, cámaras fotográficas, software/licencias (ArcGis) otras dotaciones institucionales (según requisitos definidos en la NTC ISO 9001:2015) </t>
  </si>
  <si>
    <t>8.3.6  Implementación efectiva  del sistema VITAL-SILAM, SUIT para la optimización de los trámites ambientales.</t>
  </si>
  <si>
    <t>8.3.7 Actualización de la base de datos de los procesos sancionatorios</t>
  </si>
  <si>
    <t>Estrategia de seguimiento implementada/año</t>
  </si>
  <si>
    <t xml:space="preserve">Procesos óptimos </t>
  </si>
  <si>
    <t xml:space="preserve">Dotacion,mantenimiento y/o calibración   </t>
  </si>
  <si>
    <t xml:space="preserve">Sistema fortalecido (R. humano, y de soporte tecnológico) c/año  </t>
  </si>
  <si>
    <t>Base de datos actualizada</t>
  </si>
  <si>
    <t>9. COMUNICACIÓN AMBIENTAL INTELIGENTE</t>
  </si>
  <si>
    <t xml:space="preserve">9.1 Gestión de conocimiento e información ambiental para la promoción del desarrollo ambiental sostenible. </t>
  </si>
  <si>
    <t>9.1.1 Gestión e Implementación de un área  viable de la red hidrometeorológica en  jurisdicción de Corpocesar y comunicación de información ambiental arrojada. .</t>
  </si>
  <si>
    <t>9.1.2 Gestion para la  implementación y operación de instrumentos de monitoreo de los Recursos Naturales</t>
  </si>
  <si>
    <t xml:space="preserve">9.1.3 Fortalecimiento  del SIA regional </t>
  </si>
  <si>
    <t>9.1.4 Evaluación de la  Evolución dinámica del PGAR y los  impactos de la gestión ambiental sobre la sostenibilidad del desarrollo socio-económico y los Indicadores Mínimos de Gestión</t>
  </si>
  <si>
    <t>Avance de área (cobertura de  red )  viable TEFIA implementada</t>
  </si>
  <si>
    <t>SIA regional (SIPGA) alimentado con datos de la red Hidrometeorológica</t>
  </si>
  <si>
    <t>Monitoreo del recurso hídrico superficial y subterráneo</t>
  </si>
  <si>
    <t xml:space="preserve">Resultados  de la gestión de  monitoreo incorporados al SIA regional </t>
  </si>
  <si>
    <t xml:space="preserve">SIA regional  alimentado con datos de gestión ambiental regional </t>
  </si>
  <si>
    <t>Evaluación realizada</t>
  </si>
  <si>
    <t>9.2 Implementación de la estrategia  de Comunicación política de la gestión ambiental para la divulgación interinstitucional y  aprehensión ciudadana al sector ambiental</t>
  </si>
  <si>
    <t xml:space="preserve">9.2.1 Comunicación y cultura ciudadana para desincentivar el uso  de  productos plástico de un solo uso e icopor.  </t>
  </si>
  <si>
    <t xml:space="preserve">9.2.2 Consecución de reportes de la gestión a través de  ASOCARS y  entidades adscritas al sector. </t>
  </si>
  <si>
    <t xml:space="preserve">9.2.3 Uso inteligente de las redes sociales para la promoción de medidas de concienciación ambiental y comunicaciones de eventos y acciones  </t>
  </si>
  <si>
    <t xml:space="preserve">9.2.4 Planeación, gestión y optimización del  plan de medios (radio, TV, prensa, etc)  </t>
  </si>
  <si>
    <t xml:space="preserve">Campañas realizadas/año </t>
  </si>
  <si>
    <t xml:space="preserve">Eficacia en reportes requeridos </t>
  </si>
  <si>
    <t xml:space="preserve">Redes sociales institucionalizadas y  organizadas </t>
  </si>
  <si>
    <t xml:space="preserve">Plan en ejecución/año </t>
  </si>
  <si>
    <t xml:space="preserve">9.3 Fortalecimiento de las  TIC´s .según lineamientos de MINTICs y la política de gobierno digital, en Corpocesar. </t>
  </si>
  <si>
    <t xml:space="preserve">9.3.1 Ejecución del  plan de acción para la implementación efectiva de la estrategia de  gobierno digital </t>
  </si>
  <si>
    <t>9.3.2  Gestión para el cumplimiento del proceso de transparencia y acceso a la información (Ley 1712 de 2014)</t>
  </si>
  <si>
    <t xml:space="preserve">9.3.3  Soporte interno en tecnología y formación para el uso eficiente de  las TICs. </t>
  </si>
  <si>
    <t xml:space="preserve">9.3.4 Gestión para la adquisición hardware y sofware, licencias  (según necesidad ) e implementación óptima de software adquiridos  (ej. PCT, seguridad informática, almacén etc) , . </t>
  </si>
  <si>
    <t xml:space="preserve">Avance y sosteniblidad del  plan de acción Gobierno Digital. </t>
  </si>
  <si>
    <t>Eficacia del soporte</t>
  </si>
  <si>
    <t xml:space="preserve">Demanda atendida </t>
  </si>
  <si>
    <r>
      <t xml:space="preserve">(1)
PROGRAMAS - PROYECTOS  DEL PLAN 2020-2023
(inserte filas cuando sea necesario)
</t>
    </r>
    <r>
      <rPr>
        <b/>
        <sz val="10"/>
        <color indexed="10"/>
        <rFont val="Arial Narrow"/>
        <family val="2"/>
      </rPr>
      <t/>
    </r>
  </si>
  <si>
    <t>6. ECOEDUCACIÓN: ENDÓGENA Y TRANSVERSAL</t>
  </si>
  <si>
    <t xml:space="preserve">Reporte de Norma transmitido </t>
  </si>
  <si>
    <t>2.1.3 Fortalecimiento de la participación y gestión de Corpocesar, en el nodo Regional de Cambio Climático -NRCC- del Caribe</t>
  </si>
  <si>
    <t xml:space="preserve">2.3.3 Gestión,  implementación y evaluación de Medidas  no estructurales y/o proyectos para la REDUCCION del riesgo </t>
  </si>
  <si>
    <t>Medidas no estructurales ejecutadas</t>
  </si>
  <si>
    <t>Medidas no estructurales evaluadas</t>
  </si>
  <si>
    <t xml:space="preserve">no </t>
  </si>
  <si>
    <t xml:space="preserve">STAR apoyados (medida estructural y no estructural para disminuir la contaminación hídrica)/año </t>
  </si>
  <si>
    <t xml:space="preserve">2.4.4 Acotamiento de rondas hídricas e incorporación a las Determinantes ambientales (Cuerpos de agua priorizados: R. Guatapurí no 1). Armonización con el proyecto 3.1 </t>
  </si>
  <si>
    <t>4. PRODUCTIVIDAD SOSTENIBLE y BIODIVERCIUDAD : integrando lo SECTORIAL  y lo URBAno</t>
  </si>
  <si>
    <t xml:space="preserve">no de proyectos implementados </t>
  </si>
  <si>
    <t>8.2.1 Optimización del SIGC de la entidad en el marco del modelo integrado de planeación y gestión MIPG (revisión de la política de calidad y sus sistemas)   enfocada al desempeño óptimo de la entidad  - IEDI- (eficiencia comparativa) y control interno de gestión,  en armonia con la política y retos del PGAR).</t>
  </si>
  <si>
    <t>No. de estrategias y/o proyectos del PIGCC, implementados o promovidos</t>
  </si>
  <si>
    <t>1.1.2 Formulación e implementación de proyectos de Restauración Ecológica Integral</t>
  </si>
  <si>
    <t xml:space="preserve">1.1.1 Identificación y priorización de las zonas prioritarias para restaurar y recuperar en las 5 ERE del departamento </t>
  </si>
  <si>
    <t>1.1.3 Monitoreo, seguimiento y evaluaciòn de  las acciones de REI en implementaciòn</t>
  </si>
  <si>
    <t xml:space="preserve">1.1.4 Reporte, comunicación y divulgación de la evolución del proceso de REI. </t>
  </si>
  <si>
    <t xml:space="preserve">1.1. Gestión e implentación de acciones integrales para la restauración ecológica en el departamento del Cesar </t>
  </si>
  <si>
    <t xml:space="preserve">ERE con  zonas identificadas y priorizadas para restaurar y recuperar. </t>
  </si>
  <si>
    <t xml:space="preserve">Proyectos de restauración Ecologica Integral - REI- gestionados y en implementaciòn. </t>
  </si>
  <si>
    <t>Sistema de monitoreo y reporte implementado por proyecto.</t>
  </si>
  <si>
    <t>No registra meta para el periodo evaluado.</t>
  </si>
  <si>
    <t xml:space="preserve">En el marco de convenio suscrito con la Universidad Nacional sede La Paz, se estudia la posibilidad de trabajar de manera conjunta para el diseño, estudios y planteamiento de alternativas para la recuperacion del rio Cesar en torno al mejoramiento del vertimento de aguas residuales del muncipio de Valledupar. </t>
  </si>
  <si>
    <t xml:space="preserve">Fueron convocados los 25 municipios para el desarrollo y acompañamiento a los mismos, en temas asociados al proceso de revisión de los POT a través de jornadas de capacitación virtuales realizadas en el primer semestre de la vigencia 2020. De los 25 municipios convocados, asistieron un total de 18 municipios con los cuales se desarrollaron temas como el procedimiento para la revisión y ajuste de los POT modernos, normatividad relacionada, Determinantes Ambientales, expediente municipal, gestión del riesgo y cambio climático, entre otros temas asociados. </t>
  </si>
  <si>
    <t xml:space="preserve">Asimismo, en el marco de la asistencia técnica a los 25 municipios se les presentó la cartografia temática producida en Corpocesar, así como la oferta de estudios con los que cuenta la entidad aplicables para cada ente territorial. </t>
  </si>
  <si>
    <t>(27)
PROGRAMA DE INVERSIÓN PUBLICA A LA QUE APORTA</t>
  </si>
  <si>
    <t>(28)
IMG AL QUE  APORTA</t>
  </si>
  <si>
    <t>(29)
ODS AL QUE LE APORTA</t>
  </si>
  <si>
    <t>Se ha participado en las mesas virtuales convocadas por el COTSA en el primer semestre de 2020.</t>
  </si>
  <si>
    <t>Se han realizado operativos de control al tráfico ilegal de madera en zona rural del municipio de Valledupar, donde se incautaron alrededor de 50 m3 de madera ilegal.</t>
  </si>
  <si>
    <t>Se cuenta con los estudios previos para realizar estudios de factibilidad y diseños para la construcción de un sistema de abastecimiento de agua a la etnia Wiwa (comunidad Tezhúmaque)</t>
  </si>
  <si>
    <t>Campañas realizadas por las redes sociales institucionales</t>
  </si>
  <si>
    <t>La Política de Gobierno Digital permite la ejecución de proyectos pequeños para otorgar victorias tempranas de dicha implementación. Sin embargo, existe un marco conceptual que debe ser adaptado para construir la Arquitectura TI Colombia.
Se deben establecer acciones en conjunto con la Subdirección Ambiental para realizar un plan de trabajo para la adaptación en línea de los servicios ambientales a través de VITAL y demás herramientas web que entrega MinAmbiente - ANLA.
Por otra parte, es necesario contar con personal idóneo que apoye la adopción de los dominios de arquitectura del Modelo de Arquitectura Empresarial (MAE) y los dominios del Modelo de Gobierno y Gestión de TI (MGGTI) para visionar la transformación tecnológica del área.</t>
  </si>
  <si>
    <t>3202 – Conservación de la biodiversidad y sus servicios ecosistémicos.</t>
  </si>
  <si>
    <t>3206 – Gestión del cambio climático para un desarrollo bajo en carbono y resiliente al clima.</t>
  </si>
  <si>
    <t>3203 – Gestión integral del recurso hídrico.</t>
  </si>
  <si>
    <t>3205 – Ordenamiento ambiental territorial.</t>
  </si>
  <si>
    <t>3201 – Fortalecimiento del desempeño ambiental de los sectores productivos.</t>
  </si>
  <si>
    <t>3204 – Gestión de la información y el conocimiento ambiental.</t>
  </si>
  <si>
    <t>3208 – Educación Ambiental.</t>
  </si>
  <si>
    <t>3299 – Fortalecimiento de la gestión y dirección del Sector Ambiente y Desarrollo Sostenible.</t>
  </si>
  <si>
    <t>15. Promover el uso sostenible de los ecosistemas terrestres, luchar contra la desertificación, detener e invertir la degradación de las tierras y frenar la pérdida de la diversidad biológica</t>
  </si>
  <si>
    <t>13. Adoptar medidas urgentes para combatir el cambio climático y sus efectos</t>
  </si>
  <si>
    <t>6. Garantizar la disponibilidad de agua y su gestión sostenible y el saneamiento para todos</t>
  </si>
  <si>
    <t>11. Lograr que las ciudades y los asentamientos humanos sean inclusivos, seguros, resilientes y sostenibles</t>
  </si>
  <si>
    <t>12. Garantizar modalidades de consumo y producción sostenibles</t>
  </si>
  <si>
    <t>TODOS</t>
  </si>
  <si>
    <t>16. Promover sociedades pacíficas e inclusivas para el desarrollo sostenible, facilitar el acceso a la justicia para todos y crear instituciones eficaces, responsables e inclusivas a todos los niveles</t>
  </si>
  <si>
    <t>Se cuenta con el Inventario de las empresas forestales, se requiere avanzar en el registro en el libro de operaciones</t>
  </si>
  <si>
    <t>La Coordinacion GIT para el seguimiento al aprovechamiento hídrico avanza en la declaratoria de caducidad de aquellos expedientes o usuarios con los que no se cuenta información (El 40% de las concesiones o expedientes que reposan en la coordinación). Se inició el proceso de declaración de caducidades administrativas y se unificó en una base de datos toda la información.</t>
  </si>
  <si>
    <t>Se cuenta con profesionales de apoyo a la Oficina de Control Interno para la implementación y auditorias del sistema Integrado de gestión, para realizar auditorías internas integrales que le permita a la Oficina de Control Interno determinar la conformidad del Sistema; para contribuir al fortalecimiento del Sistema Integrado de Gestión de Calidad de Corpocesar.</t>
  </si>
  <si>
    <t>15. Porcentaje de áreas de ecosistemas en restauración, rehabilitación y reforestación</t>
  </si>
  <si>
    <r>
      <rPr>
        <b/>
        <sz val="24"/>
        <rFont val="Arial"/>
        <family val="2"/>
      </rPr>
      <t xml:space="preserve">1. </t>
    </r>
    <r>
      <rPr>
        <sz val="24"/>
        <rFont val="Arial"/>
        <family val="2"/>
      </rPr>
      <t xml:space="preserve">Porcentaje de avance en la formulación y/o ajuste de los Planes de Ordenación y Manejo de Cuencas (POMCAS), Planes de Manejo de Acuíferos (PMA) y Planes de Manejo de Microcuencas (PMM)            </t>
    </r>
    <r>
      <rPr>
        <sz val="24"/>
        <rFont val="Arial"/>
        <family val="2"/>
      </rPr>
      <t xml:space="preserve">       </t>
    </r>
    <r>
      <rPr>
        <b/>
        <sz val="24"/>
        <rFont val="Arial"/>
        <family val="2"/>
      </rPr>
      <t xml:space="preserve">                      </t>
    </r>
    <r>
      <rPr>
        <sz val="24"/>
        <rFont val="Arial"/>
        <family val="2"/>
      </rPr>
      <t xml:space="preserve">                  </t>
    </r>
    <r>
      <rPr>
        <b/>
        <sz val="24"/>
        <rFont val="Arial"/>
        <family val="2"/>
      </rPr>
      <t xml:space="preserve">                                  </t>
    </r>
    <r>
      <rPr>
        <sz val="24"/>
        <rFont val="Arial"/>
        <family val="2"/>
      </rPr>
      <t xml:space="preserve">                                                                                                                                 </t>
    </r>
    <r>
      <rPr>
        <b/>
        <sz val="24"/>
        <rFont val="Arial"/>
        <family val="2"/>
      </rPr>
      <t xml:space="preserve">6. </t>
    </r>
    <r>
      <rPr>
        <sz val="24"/>
        <rFont val="Arial"/>
        <family val="2"/>
      </rPr>
      <t>Porcentaje de Planes de Ordenación y Manejo de Cuencas (POMCAS), Planes de Manejo de Acuíferos (PMA) y Planes de Manejo de Microcuencas (PMM) en ejecución</t>
    </r>
  </si>
  <si>
    <r>
      <rPr>
        <b/>
        <sz val="24"/>
        <rFont val="Arial"/>
        <family val="2"/>
      </rPr>
      <t>2.</t>
    </r>
    <r>
      <rPr>
        <sz val="24"/>
        <rFont val="Arial"/>
        <family val="2"/>
      </rPr>
      <t xml:space="preserve"> Porcentaje de cuerpos de agua con planes de ordenamiento del recurso hídrico (PORH) adoptados</t>
    </r>
  </si>
  <si>
    <r>
      <rPr>
        <b/>
        <sz val="24"/>
        <rFont val="Arial"/>
        <family val="2"/>
      </rPr>
      <t xml:space="preserve">3. </t>
    </r>
    <r>
      <rPr>
        <sz val="24"/>
        <rFont val="Arial"/>
        <family val="2"/>
      </rPr>
      <t>Porcentaje de Planes de Saneamiento y Manejo de Vertimientos (PSMV) con seguimiento</t>
    </r>
  </si>
  <si>
    <r>
      <rPr>
        <b/>
        <sz val="24"/>
        <rFont val="Arial"/>
        <family val="2"/>
      </rPr>
      <t xml:space="preserve">5. </t>
    </r>
    <r>
      <rPr>
        <sz val="24"/>
        <rFont val="Arial"/>
        <family val="2"/>
      </rPr>
      <t xml:space="preserve">Porcentaje de Programas de Uso Eficiente y Ahorro del Agua (PUEAA) con seguimiento          </t>
    </r>
  </si>
  <si>
    <t>7. Porcentaje de entes territoriales asesorados en la incorporación, planificación y ejecución de acciones relacionadas con cambio climático en el marco de los instrumentos de planificación territorial</t>
  </si>
  <si>
    <t>19. Porcentaje de ejecución de acciones en Gestión Ambiental Urbana</t>
  </si>
  <si>
    <t>17. Porcentaje de Planes de Gestión Integral de Residuos Sólidos (PGIRS) con seguimiento a metas de aprovechamiento</t>
  </si>
  <si>
    <t>8. Porcentaje de suelos degradados en recuperación o rehabilitación</t>
  </si>
  <si>
    <t>7. Porcentaje de entes territoriales asesorados en la incorporación, planificación y ejecución de acciones relacionadas con cambio climático en el marco de los instrumentos de planificación territorial                                                                    24. Porcentaje de municipios asesorados o asistidos en la inclusión del componente ambiental en los procesos de planificación y ordenamiento territorial, con énfasis en la incorporación de las determinantes ambientales para la revisión y ajuste de los POT</t>
  </si>
  <si>
    <t>7. Porcentaje de entes territoriales asesorados en la incorporación, planificación y ejecución de acciones relacionadas con cambio climático en el marco de los instrumentos de planificación territorial                                                                     24. Porcentaje de municipios asesorados o asistidos en la inclusión del componente ambiental en los procesos de planificación y ordenamiento territorial, con énfasis en la incorporación de las determinantes ambientales para la revisión y ajuste de los POT</t>
  </si>
  <si>
    <t>25. Porcentaje de redes y estaciones de monitoreo en operación</t>
  </si>
  <si>
    <t>15. Porcentaje de áreas de ecosistemas en restauración, rehabilitación y reforestación             20. Implementación del Programa Regional de Negocios Verdes por la autoridad ambiental</t>
  </si>
  <si>
    <t>11. Porcentaje de avance en la formulación del Plan de Ordenación Forestal</t>
  </si>
  <si>
    <t xml:space="preserve">13. Porcentaje de especies amenazadas con medidas de conservación y manejo en ejecución
14. Porcentaje de especies invasoras con medidas de prevención, control y manejo en ejecución
</t>
  </si>
  <si>
    <t xml:space="preserve">9. Porcentaje de la superficie de áreas protegidas regionales declaradas, homologadas o recategorizadas, inscritas en el RUNAP
10. Porcentaje de páramos delimitados por el MADS, con zonificación y régimen de usos adoptados por la CAR                                        12. Porcentaje de áreas protegidas con planes de manejo en ejecución        
</t>
  </si>
  <si>
    <t>27. Ejecución de Acciones en Educación Ambiental</t>
  </si>
  <si>
    <t>18. Porcentaje de sectores con acompañamiento para la reconversión hacia sistemas sostenibles de producción</t>
  </si>
  <si>
    <t xml:space="preserve">21. Tiempo promedio de trámite para la resolución de autorizaciones ambientales otorgadas por la corporación
22. Porcentaje de autorizaciones ambientales con seguimiento
23. Porcentaje de Procesos Sancionatorios Resueltos
</t>
  </si>
  <si>
    <t xml:space="preserve">25.Porcentaje de redes y estaciones de monitoreo en operación
26.Porcentaje de actualización y reporte de la información en el SIAC
</t>
  </si>
  <si>
    <t>Se ha avanzado en la identificación de áreas priorizadas en los POMCAS Guatapurí, Chiriaimo-Manaure y Magiriaimo según la zonificación ambiental de dichos instrumentos para la formulacion de proyectos orientados a su restauracion.</t>
  </si>
  <si>
    <t xml:space="preserve">META FINANCIERA PLAN DE ACCION </t>
  </si>
  <si>
    <t>Porcentaje</t>
  </si>
  <si>
    <t>Acciones de identificación, caracterización y/o capacitación</t>
  </si>
  <si>
    <t>Dotación, operación y posterior acreditación del laboratorio de aguas</t>
  </si>
  <si>
    <t xml:space="preserve">En la presente vigencia la entidad adelantó las siguientes actividades:
• Adopción de los Planes de Ordenamiento de Cuencas Hidrográficas de las corrientes Guatapurí (2801-01), Chiriaimo – Manaure (2802-03), Magiriaimo (2802-04), Buturama (2321-01)
• Ejecución (actualmente) de destaponamiento de los caños Agua Fría (corregimiento de Candelaria y Sempegua), Corozal (corregimiento de El Guamo) y una zona de la ciénaga de Zapatosa en el Puerto La Mata (corregimiento de La Mata), todo ello en el municipio de Chimichagua, en la cuenca del Bajo Río Cesar – Zapatosa (2805-02)
• Elaboración de los estudios previos para la formulación de los POMCAS de las cuencas del Río Cesar Medio (2802-02) y de la quebrada Singararé (2321-03)
• Asesoría a 25 municipios para la inclusión del componentes de gestión del riesgo de desastres, aspecto asociado a la gestión de posibles cambios en el comportamiento del clima.
</t>
  </si>
  <si>
    <t xml:space="preserve">La Corporación ha participado en todos los eventos que el Nodo Caribe e Insular de Cambio Climático ha organizado a lo largo del presente año, en especial para conocer acerca de los planteamientos de la Contribución Nacionalmente Determinada (NDC), el avance de la ejecución y lo proyectado dentro del Plan Integral de Gestión del cambio Climático Territorial Cesar 2032. Se ha participado activamente, realizando aportes, formulando observaciones y analizando los documentos que se han puesto a consideración de los asistentes a dichas jornadas virtuales.
</t>
  </si>
  <si>
    <t xml:space="preserve">Al respecto,  se ofició al funcionario José Francisco Charry - Director de Cambio Climático y de Gestión del Riesgo del MADS para que se estudiase la posibilidad de dar apoyo a la Corporación para la ejecución de las actividades del proyecto, quien manifestó que se prestaría apoyo, inicialmente, mediante una reunión virtual el día 24 de julio de 2020, en la que la funcionaria Gipsy Arenas encargada del tema en el MADS, expuso la metodología EDANA como un ejercicio que se lleva a cabo sobre una base cartográfica, con la participación  de un equipo interdisciplinario. Como producto de dicha reunión, se escogió la evaluación de daño por incendios forestales en la cuenca de los ríos Chiriaimo y Manaure y se solicitó por parte de la funcionaria se le aportara información de la jurisdicción de CORPOCESAR, enviándosele la cartografía del POMCA de los ríos Chiriaimo y Manaure, así como información satelital de la ocurrencia de incendios, como el tema a evaluar con la EDANA. 
De acuerdo con información facilitada por Néstor Garzón, Coordinador de Gestión de Riesgo de Desastre del MADS, esa entidad ha incluido a CORPOCESAR dentro de las metas institucionales para capacitación, adopción e implementación de la EDANA para 2021, ante el interés manifestado por la Corporación, con lo que se espera avanzar sustancialmente en este tema para la vigencia 2021. </t>
  </si>
  <si>
    <t xml:space="preserve">Se formuló solicitud de apoyo al MADS para la ejecución de las actividades , enfocadas a la metodología de Adaptación Basada en Ecosistemas (AbE), ya que se tuvo la oportunidad de conocer, de parte de la funcionaria Olga Nieto que el MADS ha avanzado en la definición de metodologías para la evaluación y diseño de medidas de reducción del riesgo de desastres asociados al cambio climático (adaptación basada en ecosistemas, AbE). En respuesta, se tuvo la comunicación 8250-2-20872 del 31 de julio de 2020, en la que el director de GRD y CC del MADS manifestó que sí prestaría el apoyo solicitado, para lo cual señaló que sería a través de reuniones virtuales iniciando el 06 de agosto de 2020. En el ejercicio que se llevó a cabo con la orientación de las funcionarias Olga Nieto y Daniel a Mendoza del MADS, se aprendieron las bases metodológicas de la evaluación de ecorreducción del riesgo de desastres (EcoRRD), para lo cual se requiere del cruce de información cartográfica temática sobre población, ecosistemas y características de los mismos, la zonificación del riesgo a evaluar y del índice de degradación ambiental. 
En el ejercicio EcoRRD entre el MADS y CORPOCESAR, se tomó la cuenca del río Bajo Cesar – Zapatosa (POMCA) y se analizó el riesgo por inundación, obteniéndose un mapa que muestra las zonas que deben ser atendidas con medidas de mitigación del riesgo por inundación (Mapa 1). 
</t>
  </si>
  <si>
    <t>Del 10 al 14 de septiembre de 2020 se llevó a cabo una jornada de monitoreo de puntos de aguas subterráneas, en los municipios de La Paz, Agustín Codazzi, Becerril, La Jagua de Ibirico, Chiriguaná, El Paso y Valledupar, en donde se tiene la presencia del Sistema Acuífero Cesar, en el valle del Río Cesar (que cuenta con el respectivo PMA), y la misma es una de las acciones que se definieron en el componente de proyectos del dicho Plan. De esta manera se levantó información de 18 puntos de agua subterránea, y se midió el nivel y la calidad de sus aguas. La actividad desarrollada es la continuación de las acciones ejecutadas por la Corporación en los últimos cinco años, y que tiene como objetivo conformar la Red Básica de Aguas Subterráneas en el departamento del Cesar, como parte de la Red Nacional que coordina IDEAM.</t>
  </si>
  <si>
    <t>Mediante la estrategia adoptada en el acta de fecha 14 de abril del 2020, donde determinó realizar seguimiento ambiental documental para determinar el cumplimiento de las obligaciones requeridas en los actos administrativos por medio del cual se otorga el instrumento de control y manejo ambiental; de esta forma se realizó seguimiento y control a las autorizaciones o licencias que no han cumplidocon la prsentación de informes.</t>
  </si>
  <si>
    <t xml:space="preserve">A través de acta de reunión de fecha 25 de marzo de 2020, se determinaron los criterios técnicos y jurídicos para la escogencia de proyectos a realizarle vigilancia, seguimiento y control ambiental, las cuales fueron las siguientes: a. Proyectos faltantes por visitas de control y seguimiento ambiental en la vigencia 2019.
b. Proyectos de Minería, permisos de emisiones y aprovechamiento forestal, por ser parte de los indicadores mínimos de gestión, a cumplir por esta coordinación.
c. Proyectos que han tenido inconsistencias en los informes de cumplimiento ambiental presentados.
d. Proyectos con quejas y/o peticiones más recurrentes.                                             Se determino con el equipo de trabajo  un numero de vistas a realizar en campo de 250 visitas, teniendo en cuenta tiempo, personal y logística
</t>
  </si>
  <si>
    <t xml:space="preserve">VIGENCIA EVALUADA (AÑO): 2020 acumulado 2020-2023   PERIODO EVALUADO (I SEMESTRE): _(2020) </t>
  </si>
  <si>
    <t>De manera conjunta con el programa Riqueza Natural de USAID se avanza en el diseño de un esquema de PSA en la cuenca del río Guatapurí, Manaure, Magiriaimo, Chiriaimo, donde se plantea vincular a los municipios de Valledupar, Manaure, Codazzi, San Diego, a EMDUPAR, entre otros actores.</t>
  </si>
  <si>
    <t>La Subdireccion de planeacion realizó el seguimiento a los 25 POT del Cesar</t>
  </si>
  <si>
    <t xml:space="preserve">El 04 de septiembre de 2020 se llevó a cabo una jornada de capacitación con los municipios del departamento del Cesar, en la que  se dio a conocer los pormenores del ICAU. En el evento se tuvo la participación de 35 personas, a quienes se entregó la información necesaria para calcular los diversos índices de calidad ambiental urbana, aún cuando sólo aplica a Aguachica, Agustín Codazzi, Bosconia y Valledupar, ya que se considera que, aún en poblaciones pequeñas,  es una herramienta que puede permitir valorar o tener una tendencia de la calidad del ambiente a nivel urbano. </t>
  </si>
  <si>
    <t>Se desarrollaron dos (02) jornadas de monitoreo de aguas superficiales, y una (01) de monitoreo de aguas subterráneas. Las corrientes de aguas superficiales objeto de medición de caudal y de examen del estado del lecho de las corrientes, entre el 23 de septiembre y el 04 de noviembre y el 23 y el 29 de noviembre de 2020 fueron: Manaure (Manaure), Chiriaimo (San Diego, La Paz), Magiriaimo (Agustín Codazzi), Sicarare (veredas), Casacará (Casacará), Maracas (Becerril), Socomba (La Jagua de Ibirico), Sororia (veredal), San Pedro (Curumaní), Ariguanicito (El Copey, San Francisco), Garupal (Caracolí), Maringola (Mariangola), Los Clavos (Valencia de Jesús), Honda (Pailitas), Singararé (Pelaya – La Gloria), Buturama (Aguachica), Aguas Claras (corregimiento de Villa de San Andrés, Aguachica), Peralonso (Aguachica), Río de Oro (Río de Oro), Torcoroma (San Martín) y San Alberto (San Alberto), completando así 21 corrientes que abastecen acueductos o son fuente de zonas veredales.</t>
  </si>
  <si>
    <t>Se alimenta el  SISAIRE, RUA, SIRH y SNIF</t>
  </si>
  <si>
    <t>Teniendo como insumo el informe de gestión anual, se evalúa el avance del PGAR.</t>
  </si>
  <si>
    <t>Se cuenta con profesional de planta y de apoyo a la operatividad del Banco de Proyectos de la entidad y se avanza en la formulación de los proyectos del PAI 2020-2023, así como en la gestión de proyectos para acceder a recursos del FCA, Convenios, entre otros.</t>
  </si>
  <si>
    <t>Se realizó la Auditoria de seguimiento a la certificación por ICONTEC, en la cual la entidad fue ratificada en dicha certificación.</t>
  </si>
  <si>
    <t>Se ejecutó el proyecto denominado: Recuperación hidrodinámica y ambiental del Caño Paraluz como estrategia de recuperación de la Ciénaga Mata de Palma, en el municipio de El Paso y Chiriguaná, Cesar. Asi mismo, se celebró el Contrato  con el municipio de Tamalameque para realizar el destaponamiento y extracción de material vegetal del cauce de los Caños Quebrada El Alfaro y Guamalito, en el corregimiento de Zapatosa, municipio de Tamalameque.</t>
  </si>
  <si>
    <t>Se contrató la ejecución de acciones en el Parque Natural los Besotes con FUNDEBES</t>
  </si>
  <si>
    <t>Se firmó el convenio marco 001 de 2020 de la mesa de SIRAP Caribe. Se suscribió el acuerdo específico No. 3 de 2020 con la Corporación Regional del Atlantico en el marco de la mesa de SIRAP Caribe</t>
  </si>
  <si>
    <t>Se formula proyecto de estufas ecológicas el cual se encuentra con concepto favorable e iniciará ejecución en el 2021. Así mismo, se suscribió convenio con la Fundación Carboandes para la gestión de manejo del bosque seco en el municipio de Becerril.</t>
  </si>
  <si>
    <t>El laboratorio ambiental de Corpocesar actualmente se encuentra acreditado por el IDEAM, por medio de la Res. 1415 de 2019 para monitoreos de calidad de aire y agua y cuenta con 16 estaciones de calidad de aire para medición de los contaminantes criterio PM10 y PM2.5, con representatividad de las estaciones superiores al 75%, actualmente se encuentra en proceso de renovación de la acreditación  de la matriz agua, en espera de resultados por parte del IDEAM,</t>
  </si>
  <si>
    <t>Se han ejecutado actividades para la prevención, control y reducción de la contaminación en los municipios de la zona centro del Cesar, esto es, La Jagua de Ibirico, El Paso, Chiriguaná y Becerril: identificando y saneando botaderos satélites de residuos sólidos, identificando eventos de contaminación por tráfico en  vias sin pavimento y gestiones con los diferentes actores para minimizarla, se ha gestionado el barridos de algunas calles en el Corregimiento de La Loma Cesar, se han implementado jornadas de educación ambiental en las diferentes localidades mencionadas para disminuir la incidencia de las quemas de residuos sólidos en la zona, se han adelantando jornadas de siembra de árboles para que haya una mejor calidad de aire en la zona.</t>
  </si>
  <si>
    <t xml:space="preserve">Constantemente se realiza verificación de los equipos de monitoreo para garantizar que las mediciones se realicen de acuerdo al protocolo de monitoreo de calidad de aire Res. 2154 de 2010, con el objetivo que sean representativas y determinantes para implementar los planes de prevención y control de la contaminación del aire, los actividades operativas realizadas corresponden a calibraciones, vericación de flujos, mantenimientos periódicos de las 16 estaciones del SVCADC, de acuerdo a los planes de monitoreo, </t>
  </si>
  <si>
    <t>Convenio 19-7-0002-0-2020 firmado entre Corpocesar y la Fundaciónpara la Investigación y el Manejo de los Recursos Hidrobiologicos de la Región Caribe Colombiana George DAHL con el objeto de aunar esfuerzos técnicos y económicos para el desarrollo del programa Red de Fauna del Departamento del Cesar a través del Centro de Atención y Valoración de Fauna y Flora Silvestre.</t>
  </si>
  <si>
    <t>Dentro del Convenio 19-7-0002-0-2020 firmado entre Corpocesar y la Fundación George DAHL existe un ítem denominado desarrollo de programas de conservación de especies amenazadas entre estas tenemos el oso andino (Tremarctos ornatus), el jaguar (Panthera Onca) y el condor andino (Vultur gryphus), en instalaciones del CAVRFFS también se realizan esfuerzos por la conservación del Paujil Pico Azul (Crax Alberti) el cual se encuentra en peligro de extinción, se intenta reproducir la especie con el fin de realizar repoblamiento en su hábitat natural, de igual manera se han tenido conversaciones con el aviario nacional para realizar un convenio y aunar esfuerzos en conservación de la especie anteriormente mencionada.</t>
  </si>
  <si>
    <t>Se avanzó en la contratación de medidas estructurales para la prevención del riesgo por inundación  en la Laguna de Guacoche y control de desbordamiento del Caño El Arroyito en el corregimiento de Guacoche, municipio de Valledupar.</t>
  </si>
  <si>
    <t>AVANCE FISICO DEL PLAN 2020</t>
  </si>
  <si>
    <t>CORPORACIÓN AUTONOMA REGIONAL DEL CESAR  "CORPOCESAR"</t>
  </si>
  <si>
    <t>Política pública de GAU socializada e incorporada a las DA</t>
  </si>
  <si>
    <t xml:space="preserve">3.3.1 Gestión para la creación de una estrategia de relacionamiento interinstitucional de OT subregional e interregional (Área Metropolitana, Gobernación, RAP, IGAC, CAR vecinas, CEI-COT, MVCT, MADR, cabildos). </t>
  </si>
  <si>
    <t>7.1.1 Implemetación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t>
  </si>
  <si>
    <t>Publicación del 100% de la información producida por la entidad según lo establecido por la Ley de Transparencia y Acceso a la Información. Se renovó contratación del hosting o alojamiento web para publicar el portal web de CORPOCESAR en Internet.
Se atendió el 100% de solicitudes de publicación en página web.</t>
  </si>
  <si>
    <t>Atención de incidentes y solicitudes de servicios dirigidas al área de Sistemas y TICs.</t>
  </si>
  <si>
    <t>Renovación de contratos de mantenimiento y soporte técnicos de PCT, SIAN, correos electrónicos de Google Workspace, hosting web del portal web de CORPOCESAR. Adquisición de equipos de cómputo.</t>
  </si>
  <si>
    <t>AVANCE FINANCIERO DEL PLAN 2020</t>
  </si>
  <si>
    <t>Se actualizó el servicio de correo electrónico para atención al ciudadano. El canal web de reportes a través de la página web de CORPOCESAR está activo con el servicio de hosting. La plataforma VITAL pasó a MinAmbiente y los avances en la implementación de esta plataforma fueron pocos.</t>
  </si>
  <si>
    <t>Se tiene activo el proceso de salvoconducto y se está en proceso de implementación de quejas y denuncias ambientales a tráves de plataformas.</t>
  </si>
  <si>
    <t>El Plan de Medios fue contratado en el segundo semestre, se ejecutó satifactoriamente, cumpliendo los objetivos propuestos.</t>
  </si>
  <si>
    <t>Las redes sociales fueron organizadas a través del seguimiento del plan de medios, se aprovecharon para una divulgación permanente de los eventos y actuaciones de la Corporación.</t>
  </si>
  <si>
    <t>Se desarrolló proyecto piloto demostrativo de Biorremedacción y Gestión ambiental en el río San Alberto, Municipio San Alberto, Cesar.</t>
  </si>
  <si>
    <t>Se realizaron las visitas en el segundo semestre de 2020, para informe de seguimientos, sumado a la revisión documental hecha durante el primer semestre del año.</t>
  </si>
  <si>
    <t>Reuniones virtuales con funcionarios del Ministerio de Ambiente y Desarrollo Sostenible dependencia Cultura Ambiental y dinamizadores PRAES para dinamizar esta estrategia con base en la identificación de elementos de la fauna y flora insignias en el Cesar.</t>
  </si>
  <si>
    <t>Se notificaron las facturas de Tasa Retributiva correspondiente a la vigencia 2019, con el fin de obtener recursos financieros para la reinversión en los proyectos del Plan de Acción.</t>
  </si>
  <si>
    <t>Se renovó y ejecutó el contrato de soporte técnico y actualización del ERP Financiero (PCT Enterprise), el cual está alineado con las NIIF.</t>
  </si>
  <si>
    <t>El recaudo de los ingresos propios participó de manera eficiente en las inversiones de los proyectos del Plan de Acción Institucional, específicamente en los proyectos de preservación, restauración y generación de conocimiento.</t>
  </si>
  <si>
    <t>Se habilitaron los recursos financieros destinados para binestar social e incentivos educativos para los funcionarios de la entidad</t>
  </si>
  <si>
    <t xml:space="preserve">Las TRD se actualizaron estan a la espera de su convalidación por parte del AGN. El PINAR y el SIC fueron elaborados, aprobados y colgados en la página web de la Corporación. Las TVD se presentaron ante el AGN, se realizaron nueve Mesas de Trabajo con el AGN para la actualización de las TRD, se espera que en el primer trimestre de 2021 se convaliden. </t>
  </si>
  <si>
    <t>Se trabaja en la priorización de acciones contempladas en el componente programático de los POMCAS Guatapurí, Bajo Cesar-Ciénaga de Zapatosa, Calenturitas y se ejecutó proyecto orientado a la recuperación del Caño Paraluz en jurisdicción del POMCA Bajo Cesar-Ciénaga de Zapatosa, se adelantaron acciones de recuperación del cauce y la ronda hídrica del caño Paraluz, acciones de educación ambiental, limpieza y recuperación del Caño Alfaro y Guamalito en el Corregimiento de Zapatosa-Municipio de Tamalameque. Así mismo, en el marco de Convenio con la Fundación natura, se realizó estudio de limnología y modelación hidráulica de la Cienaga de Zapatosa (Macro Cuenca Magdalena-Cauca), restauración ecológica y mantenimiento de zonas restauradas en el Complejo Cenagoso de Zapatosa.</t>
  </si>
  <si>
    <t>Con el apoyo de profesionales se avanzó en la consolidación de los Acuerdos protocolizados en el marco del proceso de consulta previa en los POMCAS Guatapurí, Calenturitas, Bajo Cesar - Ciénaga de Zapatosa. Así mismo, se formalizó la adopción del POMCA de la Quebrada Buturama-Guaduas, del POMCA Guatapurí, Chiriaimo - Manaure y Magiriaimo.</t>
  </si>
  <si>
    <t xml:space="preserve">Se formuló y presentó proyecto para su viabilización y priorización ante el Fondo de Compensación Ambiental para la elaboración del estudio para el acotamiento de la ronda hídrica del rio Guatapuri, municipio de Valledupar. Se elaboró el estudio previo para Determinar el acotamiento de la ronda hídrica del río Guatapurí y efectuar la revisión de la priorización disponible sobre acotamiento de cuerpos de aguas superficiales, en el departamento del Cesar y este fue contratado para su ejecución en la vigencia 2021.
</t>
  </si>
  <si>
    <t>Monitoreos en aguas superficiales de la corriente Calenturitas</t>
  </si>
  <si>
    <t xml:space="preserve">Se realizó capacitación virtual donde fueron convocados Concejales, miembros de los CTP de cada municipio, representantes de los gremios productivos tales como el sector palmicultor, ganadero, cafetero, minero, etc. Con los que se desarrolló una agenda de trabajo orientada a socializar información pertinente del proceso de ordenamiento territorial, su competencia en el mismo, la incidencia del ordenamiento ambiental territorial en el desarrollo sostenible y las determinantes ambientales del área de jurisdicción de Corpocesar.
</t>
  </si>
  <si>
    <t xml:space="preserve">En el marco del proceso de asistencia técnica, se presentó a los municipios PDET del Cesar (Valledupar, Pueblo Bello, Codazzi, La Paz, Manaure, San Diego, Becerril y La Jagua de Ibirico), la zonificación ambiental realizada por el MADS, así como la planificacion de los POT en municipios PDET. </t>
  </si>
  <si>
    <t>La meta fue cumplida por encima de lo establecido ya que en el 2020 se adelantaron las transmisiones de los registros realizados por los generadores tanto en la plataforma del IDEAM, RUA RESPEL y el Inventario Nacional de PCB, según los datos aportados por las empresas inscritas en el departamento, en total fueron 222.</t>
  </si>
  <si>
    <t>Se realizó proceso de formación de marketing digital y apoyo a negocios verdes del sector turismo rural y biocomercio en el dpto del Cesar en el marco del Convenio suscrito con Asociación Agroambiental de Perijá - ASOAMP</t>
  </si>
  <si>
    <t>La Subdireccion de Gestión Ambiental participó en la Firma Pacto Regional Cesar por la Estrategia Nacional de Economía Circular en Colombia 2018-2022.</t>
  </si>
  <si>
    <t>Se realizó proyecto agroforestal con población afrodescendientes y se formuló el proyecto para la cosntruccion de estufas ecológicas en la cuenca Garupal Diluvio municipio de Valledupar y Serranía del Perijá veredas que hacen parte del Parque Natural Regional Serrania del Perija y su zona amortiguadora en jurisdiccion de los municipios de Manaure, La Paz, San Diego y Agustin Codazzi.</t>
  </si>
  <si>
    <t>Se frimó Convenio con Corporación para la Conservación de Los Bosques Más Bosques donde se caracterizaron y bancarizaron 30 familias equivalentes a 1 Ha Por familia en áreas bajo esquemas de PSA en el municipio de Aguachica, Veredas Lucaical, Santa Bárbara, Peralonso.</t>
  </si>
  <si>
    <t>A través del programa RIQUEZA NATURAL iniciativa del IDEAM y de USAID buscan fortalecer la capacidad de las Corporaciones Autónomas Regionales a través de la generación de un sistema de detecciones tempranas de cambios en ecosistemas estratégicos del Caribe y la Orinoquía Colombiana. Para este proyecto se hicieron una serie de reuniones en las cuales se identificaron algunos puntos clave de cambio y se contratará a un profesional especialista para la generación de detecciones de cambio en ecosistemas de bosques secos y húmedos en Corpocesar. Además este programa contrató a un profesional de apoyo en control y vigilancia de ecosistemas en Corpocesar el cual está en campo para identificar dichos cambios.</t>
  </si>
  <si>
    <t>Se llevo a cabo proceso de identificación de los nuevos negocios verdes de los cuales 8 entraron en proceso de verificación, llevando a cabo las visitas de verificación y la validación de los criterios de evalucion para la certifiación del Ministerio de Ambiente.</t>
  </si>
  <si>
    <t>Con la actualizacion del Portafolio de Negocios Verdes del departamento del Cesar, también se actualizaron los datos de los bienes y servicios que ofertan los negocios certificados actualmente. Por lo que, con la publicación del nuevo portafolio y el desarrollo de la Feria Regional y Departamental, se les dio apoyo en promoción e impulso de sus negocios ante la comunidad en general.</t>
  </si>
  <si>
    <t>Se realizó una campaña para recuperar la cartera y poder contar con mayores recursos para la inversión y apalancamiento del PAI.</t>
  </si>
  <si>
    <t>Se avanzó en formulación de los estudios previos cuyo objeto es: Formulación y diseño del Sistema de Gestión Ambiental -SGA con base en la Norma Técnica Colombiana NTC ISO 14001:2015 para la sede bioclimática de la Corporación Autónoma Regional Del Cesar Corpocesar en la ciudad de Valledupar, Cesar, para su ejecución en la vigencia 2021.</t>
  </si>
  <si>
    <t>Se realizó proceso para el mantenimiento de la sede principal (Edificio bioclimático), la cual consistió en el mantenimiento de aires acondicionados, así como la construcción de una zona de parqueo en la cual se instalarán paneles solares para optimizar el uso de energías renovables en la sede. Así mismo, se realizó proceso para la Optimización, mejoramiento e impermeabilización de la placa de cubierta, del edificio de arquitectura bioclimática de Corpocesar en el municipio de Valledupar Cesar</t>
  </si>
  <si>
    <t>Se realizaron compras a través de la Tienda Virtual del Estado Colombiano.</t>
  </si>
  <si>
    <t>Se realizaron reuniones Virtuales con funcionarios del MADS Educación y Participación y Corpocesar (GITGEAIPC), para la promoción de la participación ciudadana en la gestión ambiental, reuniones con actores integrantes de los CIDEA´s Municipal, Conferencias virtuales con los profesionales Coordinadores Ambientales Municipales para la concertación de acciones de implementación de la Política Nacional de Educación Ambiental, Conferencia  virtual con Coordinadores Ambientales Municipales para concertar acciones sobre PGIR´s-PSMV y CAMBIO CLIMATICO . Así mismo, en el marco del proceso de formulación del PAI 2020-2023, se realizaron mesas de trabajo subregionales para la identificación de problemáticas y priorización de acciones orientadas a la gestión ambiental en la jurisdicción de Corpocesar, a través de las cuales participaron actores municipales, institucionales, gremios, comunidad en general. Y posteriormente se realizó Audiencia Virtual para la presentación del PAI 2020-2023 de Corpocesar.</t>
  </si>
  <si>
    <t xml:space="preserve">Se realizaron reuniones virtuales funcionarios MADS y CORPOCESAR (GIT GEAIPC) para la prevención de los conflictos socio ambientales.
Reunión Virtual Reserva de la Sociedad Civil Helenita Municipio de Pueblo Bello.
Reuniones virtuales con actores integrantes de los Comités Técnicos Interinstitucionales de Educación Ambiental Municipal
Mesa de trabajo Grupo Erradicación de puntos críticos residuos sólidos municipio de Valledupar: Aseo del Norte, Emdupar, Alcaldía Municipal, Corpocesar, Cámara de Comercio, Policía Ambiental y Ejercito.
Reuniones virtuales funcionarios MADS y CORPOCESAR (GIT GEAIPC) para la prevención de los conflictos socio ambientales.
Reunión Virtual Reserva de la Sociedad Civil Helenita Municipio de Pueblo Bello.
Reuniones virtuales con actores integrantes de los Comités Técnicos Interinstitucionales de Educación Ambiental Municipal
Mesa de trabajo Grupo Erradicación de puntos críticos residuos sólidos municipio de Valledupar: Aseo del Norte, Emdupar, Alcaldía Municipal, Corpocesar, Cámara de Comercio, Policía Ambiental y Ejercito.
Reuniones virtuales funcionarios MADS y CORPOCESAR (GIT GEAIPC) para la prevención de los conflictos socio ambientales.
Reunión Virtual Reserva de la Sociedad Civil Helenita Municipio de Pueblo Bello.
Reuniones virtuales con actores integrantes de los Comités Técnicos Interinstitucionales de Educación Ambiental Municipal
Mesa de trabajo Grupo Erradicación de puntos críticos residuos sólidos municipio de Valledupar: Aseo del Norte, Emdupar, Alcaldía Municipal, Corpocesar, Cámara de Comercio, Policía Ambiental y Ejercito.
Mesa Gobernanza Ambiental Territorial STAR Salguero Rio Cesar.
Mesa de trabajo Interinstitucional Canal La Sierra o de las Mercedes, municipio de Valledupar: Aseo del Norte, Emdupar, Alcaldía Municipal, Corpocesar, Policía Ambiental y Ejercito.
</t>
  </si>
  <si>
    <t>Reunion Virtual Red de Jovenes Manaure, Valledupar y El Copey; Coordinadores Ambientales diferentes municipios integrando la educación ambiental dentro de los componentes de la Politica de gestión ambiental urbana.</t>
  </si>
  <si>
    <t xml:space="preserve">Se desarrollaron reuniones virtuales de presentación de Proyectos Ambientales Escolares con los CIDEAM de: LA GLORIA, LA PAZ ROBLES, MANAURE Y VALLEDUPAR.
Reuniones virtuales de inducción PRAES: fase de exploración; fase de profundización y fase de proyección.
Encuentros dinamizadores PRAES del Sur de Bolívar y Cesar.
Talleres  virtuales PRAES: fase de exploración; fase de profundización y fase de proyección.
Encuentros virtuales PRAES: fase de exploración; fase de profundización y fase de proyección.
Foro REDEPRAE y la Comunicación en la educación ambiental.
</t>
  </si>
  <si>
    <t>Se realizaron 25 reuniones virtuales con actores integrantes de los Comités Técnicos Interinstitucionales de Educación Ambiental Municipal. Además se desarrollaron 2 Conferencias virtuales sobre la Política Nacional de Educación Ambiental: estrategias y retos con el MADS.</t>
  </si>
  <si>
    <t xml:space="preserve">Reunión virtual docentes dinamizadores Clubes Defensores del Agua de EMDUPAR.
2 Reuniones virtuales con Coordinadores de Proyectos Colectivos Comunitarios dentro del programa rural Ministerio de Agricultura: AGUSTIN CODAZZI, LA JAGUA DE IBIRICO, BECERRIL, MANAURE, PUEBLO BELLO y SAN DIEGO.
Capacitación virtual Cultura del Agua (Clubes Defensores del Agua) con Gerentes E.S.P., Aguas del Cesar, Plan Departamental de Agua y Corpocesar.
</t>
  </si>
  <si>
    <t xml:space="preserve">Se desarrolló taller virtual sobre cambio climático con el Nodo Caribe, así como 
Reunión virtual Departamental PICCC y el Foro Cambio climático en los planes de contenidos curriculares.
</t>
  </si>
  <si>
    <t>Se desarrollaron reuniones virtuales con el MADS y CORPOCESAR para la participación ciudadana en la transformación de conflictos socio ambientales, reuniones con la Fundación Natura sobre acciones dentro del Complejo Cenagoso de la Zapatosa: CHIMICHAGUA, TALAMEQUE Y EL BANCO MAGDALENA, reuniones virtuales con los actores representantes municipios asentados Complejo Cenagoso de la Zapatosa: CHIMICHAGUA, CURUMANI, CHIRIGUANÁ y TAMALAMEQUE, para la formulación del Plan de Manejo del Distrito Regional de Manejo Integrado DRMI CCZ.</t>
  </si>
  <si>
    <t>Fue creado el GIT para la gestión del laboratorio de aguas a través de la Resolución No  y se avanzó en actividades de organización, estructuración, diseño e implementación del sistema de gestión de calidad bajo la norma ISO 17025:2017.</t>
  </si>
  <si>
    <t>Se practicaron 25 visitas de seguimiento, donde se adelantaron los respectivas asesorías a los municipios en torno a la actualización del PGIRS, en concordancia a sus planes de desarrollo. Tambien se dió respuesta a las actualizaciones de los PGIR´S de los municipios de Codazzi, Curumaní.</t>
  </si>
  <si>
    <t xml:space="preserve">Con el apoyo del programa Riqueza Natural de USAID se avanzó en la actualización de las Determinantes Ambientales de la jurisdicción de Corpocesar. </t>
  </si>
  <si>
    <t>En el marco del proceso de evaluación de los asuntos ambientales del EOT del municipio de Tamalameque, se realizó visita de campo en dicho municipio donde se ientificaron y verificaron algunos aspectos relevantes tales como sitios críticos por riesgo de desbordamiento, ubicación del STAR, punto de reciclaje, entre otros.</t>
  </si>
  <si>
    <t xml:space="preserve">En colaboracion con la direccion de Gestion Integral del Recurso Hídrico del MADS, se desarrolla estrategia para la implementacion de una plataforma colaborativa para la implementación de los POMCAS adoptados en la jurisdiccion. Se avanzó en el proceso de priorizacion de la cuenca objeto de implementacion de la plataforma. </t>
  </si>
  <si>
    <t>Mediante oficio de la Subdirección de Planeación de CORPOCESAR, se ofició al Director de la DAASU del MADS, para solicitar apoyo u orientación para participar en el proceso de ajuste de la PGAU. Se tuvo la oportunidad de participar el día 21 de octubre de 2020 en el Taller de socialización - Ajuste Política de Gestión Ambiental Urbana organizado y liderado por el MADS, y en el cual se dieron instrucciones para revisar y formular observaciones en torno al documento Propuesta preliminar - Documento técnico base para el ajuste a la PGAU (Versión de socialización y consulta), del cual se enviaron los comentarios que el GIT de la Coordinación considero oportuno plantear, el día 11 de noviembre de 2020. En la Imagen 3 se observa una reseña de lo comentado</t>
  </si>
  <si>
    <t>Se desarrollaron dos conferencias virtuales con Universidades (UPC, UDES, AREA ANDINA, UNAD), MADS, Corpocesar para la implementación dimensión ambiental a través de los proyectos de investigación universitarios.</t>
  </si>
  <si>
    <t>Todos los activos y bienes de la entidad se encuentran asegurados.Se realizó el contrato con una aseguradora para proteger los activos y bienes de la entidad.</t>
  </si>
  <si>
    <t>Aduisición de GPS para las actividades misionales de la entidad.</t>
  </si>
  <si>
    <t>Se realizaron 25 reuniones virtuales con actores integrantes de los Comités Técnicos Interinstitucionales de Educación Ambiental Municipal (190 miembros capacitados)</t>
  </si>
  <si>
    <t>El SVCADC actualmente se encuentra en proceso de fortalecimiento con la inclusión de otra estación fija de calidad de aire en la ciudad de Valledupar,  la cual quedará dotada con dos equipos Wilbur, de referencia EPA, para medición de material particulado PM10 y PM2.5, aspectos que robustecen el Sistema y permite tener mayor cantidad de información de calidad del aire del departamento del Cesar.</t>
  </si>
  <si>
    <t>Se avanzó en el fortalecimiento del sistema de atención al ciudadano en cuanto a la atención de peticiones y solictudes atendidas en un 90%. En cuanto a la atención de denuncias ambientales se recibieron un total de 210 denuncias ambientales, de las cuales se ordenó indagación preliminar a todas, pero solo se pudieron realizar 137 visitas de inspección técnica, las cuales arrojaron su respectivo informe técnico</t>
  </si>
  <si>
    <t xml:space="preserve">Se ha participado en las mesas de trabajo convocadas por ASOCAR´s y el MADS tales como: Evaluación del Indice de Desempeño Institucional - IEDI de las CAR´s, Catalogo Integrado de Clasificación Presupuestal, Valoración de Costos Ambientales, entre otras </t>
  </si>
  <si>
    <t>Se realizó análisis de los acuerdos protocolizados para definir hoja de ruta para su materialización y cumplimiento.</t>
  </si>
  <si>
    <t>Acciones priorizadas y/o implementadas</t>
  </si>
  <si>
    <t>Se realizó seguimiento a 4 PUEAA de 21 aprobados dadas las limitaciones en cuanto a movilidad por la pandemia Covid 19.</t>
  </si>
  <si>
    <t>REUNIONES VIRTUALES:
1. Reunión con los Coordinadores Ambientales de los Municipios del Departamento del Cesar. 
2. Reunión con Integrantes del comité Coordinador del PGIR de Valledupar (interaseo, alcaldía de valledupar, y demás integrantes), para la recuperación puntos críticos de disposición de residuos sólidos.
CAMPAÑA PRESENCIAL
3. Campaña hecha por jóvenes en Convenio entre CORPOCESAR y la Red Colombiana de Instituciones de Educación Superior - EDURED- para la gestión integral del suelo para la recuperación de este recurso natural en los Municipios de Valledupar, La Paz, San Diego, Manaure, Agustín Codazzi y Pueblo Bello en el Departamento del Cesar.</t>
  </si>
  <si>
    <t>Se suscribió Convenio entre CORPOCESAR y la Red Colombiana de Instituciones de Educación Superior - EDURED- para la gestión integral del suelo para la recuperación de este recurso natural en los Municipios de Valledupar, La Paz, San Diego, Manaure, Agustín Codazzi y Pueblo Bello en el Departamento del Cesar.</t>
  </si>
  <si>
    <t>Se suscribió contrato para la construcción del portafolio de proyectos en núcleos activos de deforestación y del portafolio de áreas prioritarias para las compensaciónes orientadas a la conservación de la biodiversidad, restauración ecologica y el desarrollo sostenible en jurisdicción de Corpocesar</t>
  </si>
  <si>
    <t>En el marco del memorando de entendimiento con el programa Riqueza Natural - USAID se llevaron a cabo reuniones para articular acciones con el IDEAM, para la detección de alertas tempranas de deforestación.                                                      Participación en la socialización de la implementación 2019 del proyecto de consolidación de la gobernanza forestal en Colombia.</t>
  </si>
  <si>
    <t>Se participó en reunión convocada por el MADS para la revisión y aportes al Programa Nacional para la Gestión Integral del Bosque Seco de Colombia (Plan de Acción 2020-2030). En cual se realizaron algunos aportes al documento preliminar presentado.
Participación en la socialización de la implementación 2019 del proyecto de consolidación de la gobernanza forestal en Colombia, así como en la socializacióin del Decreto 1532 de 2019 (plantaciones forestales protectoras y protectoras - productoras) y del Decreto 2398 del 2019 (plantaciones comerciales).</t>
  </si>
  <si>
    <t>De manera conjunta con representantes de comunidades afrodescendientes se priorizaron acciones a implementar para la recuperación ambiental de los cauces de los Caños denominados El Mojan, Corozal, Aguas Frías y de la Ciénaga La Mata, a través de la extracción de material vegetal tipo firmal y flotante; en el marco de la implementación del PMA de la Ciénaga de la Zapatosa, el cual se encuentra en proceso de contratación y será ejecutado en la vigencia 2021.</t>
  </si>
  <si>
    <t>Se realizó proceso de contratación para el establecimiento de 12 hectáreas de unidades agroforestales para comunidades afrodescendientes establecidas en la jurisdicción de la Corporación Autónoma Regional del Cesar (Contrato No 19-6-0179-0-2020), en el cual se avanzó en un 50%.</t>
  </si>
  <si>
    <r>
      <t>Se realizó Gestión de Cobro a través de la camapaña de recaudo aprobada por el Consejo Directivo de la Corporación, mediante Acuerdo No. 009 de Julio 30 de 2020 modificado por el No. 011 de septiembre 28 de 2020, la cual ofrecia Beneficios Temporales en los Intereses Moratorios de las Tasas. Se utilizó la herramienta de Data Credito para el Cobro Persuasivo. se realizaron visitas a los Municipios del Departamento ofreciendo alternativas de pago; el recaudo con</t>
    </r>
    <r>
      <rPr>
        <sz val="24"/>
        <rFont val="Arial"/>
        <family val="2"/>
      </rPr>
      <t xml:space="preserve"> corte a Noviembre fue de $18.915.959.765,96 de los cuales por Recuperacion de Cartera se recaudo $3.419.799.390,73 </t>
    </r>
  </si>
  <si>
    <t>Se han identificado fuentes fijas en el área de influencia de las estaciones de calidad del aire del SVCADC y se han hecho seguimientos a estas, logrando disminuir las emisiones atmosfericas de la zona, por medio de la implementación de filtros de material particulado, puntualmente en inmediaciones de la estación ZM13 El Hatillo.</t>
  </si>
  <si>
    <t>Mensualmente se carga la información actualizada y analizada en el  SISAIRE, generada por el sistema de Vigilancia de Calidad del Aire del departamento del Cesar, con el propósito de garantizar la disponibilidad y la calidad de la información ambiental y su consulta por los usuarios del sistema. actualmente la nformación está cargada hasta el mes de septiembre,</t>
  </si>
  <si>
    <t>Con el programa Riqueza Natural de USAID, se avanza en el diseño del esquema de PSA en la cuenca del río Guatapurí, Chiriaimo-Manaure . Así mismo, en el marco de Convenio firmado con la Corporación para la Conservación de Los Bosques Más Bosques se caracterizaron y bancarizaron 30 familias para aplicar a proyectos de esquemas de PSA.</t>
  </si>
  <si>
    <t>En el marco ce la Comision Conjunta  CORPOCESAR  Y CORPAMAG, y el memorando de entendimiento suscrito entre CORPOCESAR, CORPAMAG Y FUNDACION NATURA proyecto GEF Magdalena - Cauca, se desarollaron acciones orientadas a la realizacion de la fase de preparacion en su totalidad y se avanzo en la fase de aprestamiento, para la formulacion del citado PM. Se realizaron 14 reuniones virtuales con Alcaldías, AUNAP, Gobernación, contactos locales y reuniones internas de preparación, en el marco de dicho proceso.</t>
  </si>
  <si>
    <t>Debido a las directrices impartidas por el Gobierno Nacional, y acogiendo los lineamientos de los Ministerios de Salud y Protección, del Trabajo, el Departamento Administrativo de la Función Pública y  disposiciones vigentes, mediante Circular Interna emitida por el señor Director General de Corpocesar, se determinó suspender “hasta nueva orden, las comisiones de servicio y visitas técnicas a campo, al interior de la ciudad, el departamento, y el país”, como medida  temporal y excepcional de carácter preventivo, encaminada a  minimizar en la Corporación, los efectos negativos en la salud por  el COVID-19.  Por lo tanto mediante acta de fecha 14 de abril del 2020, se determinaron criterios tecnicos para la realización de las nuevas actividades en marco de la emergencia sanitaria y lo determinado por la Dirección General de Corpocesar, con la finalidad de darle cumplimiento a los compromisos e indicadores mínimos de gestión. Uno de los cuales fue realizar seguimiento ambiental documental para determinar el cumplimiento de las obligaciones requeridas en los actos administrativos por medio del cual se otorga el instrumento de control y manejo ambiental, mediante trabajo en casa.</t>
  </si>
  <si>
    <t>El rol de la Corporación ha sido el de emitir conceptos en torno a la situación ambiental de proyectos de electrificación en zonas no interconectadas, que han sido presentado por parte de los municipios, especialmente, así como sobre consultas iniciales de proyectos presentados por empresas particulares.  En lo que va corrido del año se ha conceptuado sobre 12 proyectos de generación de energía eléctrica a partir del aprovechamiento de la energía solar, en los municipios de Agustín Codazzi, Becerril, Chiriguaná, La Gloria, Manaure, Pueblo Bello, Valledupar.</t>
  </si>
  <si>
    <t>Se desarrolló una capacitación en el marco del desarrollo de la MESA TÉCNICA COTSA SUSTANCIAS QUÍMICAS, participando del IV SEMINARIO ONLINE MANEJO DE SUSTANCIAS QUÍMICAS Y PELIGROSAS EN LOS TIEMPOS DE COVID19, HACIA UN ENTORNO SALUDABLE 2020</t>
  </si>
  <si>
    <t>Se ha avanzado en la identificación de áreas priorizadas en los POMCAS Guatapurí, Chiriaimo-Manaure y Magiriaimo según la zonificación ambiental de dichos instrumentos para la formulación de proyectos orientados a su restauración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</si>
</sst>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6" formatCode="&quot;$&quot;#,##0;[Red]\-&quot;$&quot;#,##0"/>
    <numFmt numFmtId="8" formatCode="&quot;$&quot;#,##0.00;[Red]\-&quot;$&quot;#,##0.00"/>
    <numFmt numFmtId="41" formatCode="_-* #,##0_-;\-* #,##0_-;_-* &quot;-&quot;_-;_-@_-"/>
    <numFmt numFmtId="44" formatCode="_-&quot;$&quot;* #,##0.00_-;\-&quot;$&quot;* #,##0.00_-;_-&quot;$&quot;* &quot;-&quot;??_-;_-@_-"/>
    <numFmt numFmtId="43" formatCode="_-* #,##0.00_-;\-* #,##0.00_-;_-* &quot;-&quot;??_-;_-@_-"/>
    <numFmt numFmtId="164" formatCode="_(* #,##0.00_);_(* \(#,##0.00\);_(* &quot;-&quot;??_);_(@_)"/>
    <numFmt numFmtId="165" formatCode="_ * #,##0_ ;_ * \-#,##0_ ;_ * &quot;-&quot;??_ ;_ @_ "/>
    <numFmt numFmtId="166" formatCode="_ * #,##0.0_ ;_ * \-#,##0.0_ ;_ * &quot;-&quot;??_ ;_ @_ "/>
    <numFmt numFmtId="167" formatCode="0.0%"/>
    <numFmt numFmtId="168" formatCode="0.0"/>
    <numFmt numFmtId="169" formatCode="#,##0.0"/>
    <numFmt numFmtId="170" formatCode="_(* #,##0_);_(* \(#,##0\);_(* &quot;-&quot;??_);_(@_)"/>
    <numFmt numFmtId="171" formatCode="_(* #,##0.0_);_(* \(#,##0.0\);_(* &quot;-&quot;??_);_(@_)"/>
    <numFmt numFmtId="172" formatCode="_(* #,##0.000000_);_(* \(#,##0.000000\);_(* &quot;-&quot;??_);_(@_)"/>
    <numFmt numFmtId="173" formatCode="#,##0.000"/>
    <numFmt numFmtId="174" formatCode="[$$-240A]\ #,##0.0"/>
  </numFmts>
  <fonts count="115">
    <font>
      <sz val="11"/>
      <color theme="1"/>
      <name val="Calibri"/>
      <family val="2"/>
      <scheme val="minor"/>
    </font>
    <font>
      <b/>
      <sz val="10"/>
      <name val="Arial"/>
      <family val="2"/>
    </font>
    <font>
      <b/>
      <sz val="8"/>
      <name val="Arial"/>
      <family val="2"/>
    </font>
    <font>
      <sz val="8"/>
      <name val="Univers"/>
      <family val="2"/>
    </font>
    <font>
      <b/>
      <sz val="8"/>
      <name val="Univers"/>
      <family val="2"/>
    </font>
    <font>
      <sz val="11"/>
      <color theme="1"/>
      <name val="Calibri"/>
      <family val="2"/>
      <scheme val="minor"/>
    </font>
    <font>
      <sz val="8"/>
      <name val="Arial"/>
      <family val="2"/>
    </font>
    <font>
      <b/>
      <sz val="10"/>
      <name val="Univers"/>
      <family val="2"/>
    </font>
    <font>
      <b/>
      <sz val="11"/>
      <color theme="1"/>
      <name val="Calibri"/>
      <family val="2"/>
      <scheme val="minor"/>
    </font>
    <font>
      <b/>
      <sz val="9"/>
      <color theme="1"/>
      <name val="Arial Narrow"/>
      <family val="2"/>
    </font>
    <font>
      <sz val="9"/>
      <color theme="1"/>
      <name val="Arial Narrow"/>
      <family val="2"/>
    </font>
    <font>
      <b/>
      <sz val="11"/>
      <color theme="1"/>
      <name val="Arial Narrow"/>
      <family val="2"/>
    </font>
    <font>
      <b/>
      <sz val="10"/>
      <color indexed="10"/>
      <name val="Arial Narrow"/>
      <family val="2"/>
    </font>
    <font>
      <b/>
      <sz val="18"/>
      <name val="Arial"/>
      <family val="2"/>
    </font>
    <font>
      <b/>
      <sz val="16"/>
      <name val="Arial"/>
      <family val="2"/>
    </font>
    <font>
      <sz val="10"/>
      <name val="Arial"/>
      <family val="2"/>
    </font>
    <font>
      <sz val="9"/>
      <name val="Arial"/>
      <family val="2"/>
    </font>
    <font>
      <sz val="9"/>
      <color indexed="81"/>
      <name val="Tahoma"/>
      <family val="2"/>
    </font>
    <font>
      <b/>
      <sz val="9"/>
      <color indexed="81"/>
      <name val="Tahoma"/>
      <family val="2"/>
    </font>
    <font>
      <sz val="14"/>
      <color rgb="FFFF0000"/>
      <name val="Calibri"/>
      <family val="2"/>
      <scheme val="minor"/>
    </font>
    <font>
      <b/>
      <sz val="14"/>
      <color theme="1"/>
      <name val="Calibri"/>
      <family val="2"/>
      <scheme val="minor"/>
    </font>
    <font>
      <b/>
      <sz val="18"/>
      <color theme="1"/>
      <name val="Calibri"/>
      <family val="2"/>
      <scheme val="minor"/>
    </font>
    <font>
      <b/>
      <sz val="11"/>
      <name val="Univers"/>
      <family val="2"/>
    </font>
    <font>
      <sz val="9"/>
      <name val="Univers"/>
      <family val="2"/>
    </font>
    <font>
      <b/>
      <sz val="6"/>
      <color indexed="8"/>
      <name val="Arial"/>
      <family val="2"/>
    </font>
    <font>
      <b/>
      <i/>
      <sz val="8"/>
      <name val="Arial"/>
      <family val="2"/>
    </font>
    <font>
      <sz val="11"/>
      <color rgb="FFFF0000"/>
      <name val="Calibri"/>
      <family val="2"/>
      <scheme val="minor"/>
    </font>
    <font>
      <b/>
      <sz val="16"/>
      <color theme="1"/>
      <name val="Calibri"/>
      <family val="2"/>
      <scheme val="minor"/>
    </font>
    <font>
      <b/>
      <sz val="11"/>
      <color rgb="FFFF0000"/>
      <name val="Calibri"/>
      <family val="2"/>
      <scheme val="minor"/>
    </font>
    <font>
      <b/>
      <sz val="12"/>
      <color theme="1"/>
      <name val="Calibri"/>
      <family val="2"/>
      <scheme val="minor"/>
    </font>
    <font>
      <b/>
      <sz val="10"/>
      <color theme="1"/>
      <name val="Calibri"/>
      <family val="2"/>
      <scheme val="minor"/>
    </font>
    <font>
      <b/>
      <sz val="9"/>
      <color theme="1"/>
      <name val="Calibri"/>
      <family val="2"/>
      <scheme val="minor"/>
    </font>
    <font>
      <b/>
      <sz val="11"/>
      <name val="Calibri"/>
      <family val="2"/>
      <scheme val="minor"/>
    </font>
    <font>
      <sz val="12"/>
      <color theme="1"/>
      <name val="Times New Roman"/>
      <family val="1"/>
    </font>
    <font>
      <sz val="11"/>
      <color indexed="8"/>
      <name val="Calibri"/>
      <family val="2"/>
    </font>
    <font>
      <b/>
      <sz val="12"/>
      <name val="Arial"/>
      <family val="2"/>
    </font>
    <font>
      <sz val="16"/>
      <color indexed="81"/>
      <name val="Tahoma"/>
      <family val="2"/>
    </font>
    <font>
      <b/>
      <sz val="16"/>
      <color theme="1"/>
      <name val="Arial"/>
      <family val="2"/>
    </font>
    <font>
      <sz val="18"/>
      <color theme="1"/>
      <name val="Arial"/>
      <family val="2"/>
    </font>
    <font>
      <sz val="18"/>
      <name val="Arial"/>
      <family val="2"/>
    </font>
    <font>
      <b/>
      <sz val="26"/>
      <color theme="1"/>
      <name val="Arial"/>
      <family val="2"/>
    </font>
    <font>
      <sz val="12"/>
      <color theme="1"/>
      <name val="Arial"/>
      <family val="2"/>
    </font>
    <font>
      <b/>
      <sz val="22"/>
      <name val="Arial"/>
      <family val="2"/>
    </font>
    <font>
      <b/>
      <sz val="26"/>
      <name val="Arial"/>
      <family val="2"/>
    </font>
    <font>
      <sz val="14"/>
      <color theme="1"/>
      <name val="Calibri"/>
      <family val="2"/>
      <scheme val="minor"/>
    </font>
    <font>
      <sz val="12"/>
      <color theme="1"/>
      <name val="Calibri"/>
      <family val="2"/>
      <scheme val="minor"/>
    </font>
    <font>
      <b/>
      <sz val="11"/>
      <color theme="1"/>
      <name val="Arial"/>
      <family val="2"/>
    </font>
    <font>
      <sz val="11"/>
      <color theme="1"/>
      <name val="Arial"/>
      <family val="2"/>
    </font>
    <font>
      <b/>
      <sz val="11"/>
      <color rgb="FF000000"/>
      <name val="Arial"/>
      <family val="2"/>
    </font>
    <font>
      <b/>
      <sz val="17"/>
      <color rgb="FF000000"/>
      <name val="Calibri"/>
      <family val="2"/>
    </font>
    <font>
      <sz val="17"/>
      <color rgb="FF000000"/>
      <name val="Calibri"/>
      <family val="2"/>
    </font>
    <font>
      <sz val="18"/>
      <color rgb="FF000000"/>
      <name val="Calibri"/>
      <family val="2"/>
    </font>
    <font>
      <b/>
      <sz val="18"/>
      <color rgb="FF000000"/>
      <name val="Calibri"/>
      <family val="2"/>
    </font>
    <font>
      <b/>
      <sz val="24"/>
      <name val="Arial"/>
      <family val="2"/>
    </font>
    <font>
      <sz val="24"/>
      <name val="Arial"/>
      <family val="2"/>
    </font>
    <font>
      <sz val="24"/>
      <color theme="1"/>
      <name val="Arial"/>
      <family val="2"/>
    </font>
    <font>
      <b/>
      <sz val="24"/>
      <color theme="1"/>
      <name val="Arial"/>
      <family val="2"/>
    </font>
    <font>
      <b/>
      <sz val="10"/>
      <color rgb="FF000000"/>
      <name val="Arial"/>
      <family val="2"/>
    </font>
    <font>
      <sz val="12"/>
      <color rgb="FF000000"/>
      <name val="Univers"/>
      <family val="2"/>
    </font>
    <font>
      <b/>
      <sz val="12"/>
      <color rgb="FF000000"/>
      <name val="Univers"/>
      <family val="2"/>
    </font>
    <font>
      <sz val="10"/>
      <color rgb="FF000000"/>
      <name val="Arial"/>
      <family val="2"/>
    </font>
    <font>
      <sz val="9"/>
      <color rgb="FF000000"/>
      <name val="Univers"/>
      <family val="2"/>
    </font>
    <font>
      <sz val="12"/>
      <color rgb="FF000000"/>
      <name val="Univers"/>
      <family val="2"/>
    </font>
    <font>
      <sz val="10"/>
      <color rgb="FF000000"/>
      <name val="Calibri"/>
      <family val="2"/>
    </font>
    <font>
      <b/>
      <sz val="18"/>
      <color rgb="FFFF0000"/>
      <name val="Arial"/>
      <family val="2"/>
    </font>
    <font>
      <sz val="18"/>
      <color rgb="FFFF0000"/>
      <name val="Arial"/>
      <family val="2"/>
    </font>
    <font>
      <sz val="12"/>
      <color rgb="FFFF0000"/>
      <name val="Times New Roman"/>
      <family val="1"/>
    </font>
    <font>
      <sz val="18"/>
      <color indexed="8"/>
      <name val="Arial"/>
      <family val="2"/>
    </font>
    <font>
      <b/>
      <sz val="18"/>
      <color theme="1"/>
      <name val="Arial"/>
      <family val="2"/>
    </font>
    <font>
      <b/>
      <sz val="12"/>
      <color theme="1"/>
      <name val="Arial"/>
      <family val="2"/>
    </font>
    <font>
      <b/>
      <sz val="18"/>
      <color rgb="FFFF0000"/>
      <name val="Times New Roman"/>
      <family val="1"/>
    </font>
    <font>
      <b/>
      <sz val="12"/>
      <color rgb="FFFF0000"/>
      <name val="Times New Roman"/>
      <family val="1"/>
    </font>
    <font>
      <b/>
      <sz val="12"/>
      <color theme="1"/>
      <name val="Times New Roman"/>
      <family val="1"/>
    </font>
    <font>
      <b/>
      <sz val="24"/>
      <color rgb="FFFF0000"/>
      <name val="Arial"/>
      <family val="2"/>
    </font>
    <font>
      <sz val="24"/>
      <color rgb="FFFF0000"/>
      <name val="Arial"/>
      <family val="2"/>
    </font>
    <font>
      <b/>
      <sz val="24"/>
      <name val="Calibri"/>
      <family val="2"/>
    </font>
    <font>
      <sz val="23"/>
      <color theme="1"/>
      <name val="Arial"/>
      <family val="2"/>
    </font>
    <font>
      <b/>
      <sz val="10"/>
      <color indexed="8"/>
      <name val="Arial"/>
      <family val="2"/>
    </font>
    <font>
      <sz val="11"/>
      <color rgb="FF000000"/>
      <name val="Arial"/>
      <family val="2"/>
    </font>
    <font>
      <b/>
      <sz val="14"/>
      <color rgb="FF000000"/>
      <name val="Franklin Gothic Book"/>
      <family val="2"/>
    </font>
    <font>
      <sz val="14"/>
      <name val="Arial"/>
      <family val="2"/>
    </font>
    <font>
      <sz val="14"/>
      <color rgb="FF000000"/>
      <name val="Franklin Gothic Book"/>
      <family val="2"/>
    </font>
    <font>
      <b/>
      <sz val="12"/>
      <color rgb="FF000000"/>
      <name val="Franklin Gothic Book"/>
      <family val="2"/>
    </font>
    <font>
      <sz val="12"/>
      <name val="Arial"/>
      <family val="2"/>
    </font>
    <font>
      <b/>
      <sz val="12"/>
      <color indexed="8"/>
      <name val="Univers"/>
      <family val="2"/>
    </font>
    <font>
      <sz val="12"/>
      <color indexed="8"/>
      <name val="Univers"/>
      <family val="2"/>
    </font>
    <font>
      <sz val="10"/>
      <color indexed="8"/>
      <name val="Arial"/>
      <family val="2"/>
    </font>
    <font>
      <sz val="12"/>
      <color indexed="8"/>
      <name val="Univers"/>
      <family val="2"/>
    </font>
    <font>
      <sz val="14"/>
      <color rgb="FF000000"/>
      <name val="Arial"/>
      <family val="2"/>
    </font>
    <font>
      <b/>
      <sz val="16"/>
      <color rgb="FF000000"/>
      <name val="Franklin Gothic Book"/>
      <family val="2"/>
    </font>
    <font>
      <sz val="16"/>
      <color rgb="FF000000"/>
      <name val="Franklin Gothic Book"/>
      <family val="2"/>
    </font>
    <font>
      <sz val="14"/>
      <color rgb="FF000000"/>
      <name val="Arial"/>
      <family val="2"/>
    </font>
    <font>
      <b/>
      <sz val="16"/>
      <color rgb="FF000000"/>
      <name val="Calibri"/>
      <family val="2"/>
    </font>
    <font>
      <sz val="16"/>
      <color rgb="FF000000"/>
      <name val="Calibri"/>
      <family val="2"/>
    </font>
    <font>
      <b/>
      <sz val="16"/>
      <color rgb="FF000000"/>
      <name val="Franklin Gothic Book"/>
      <family val="2"/>
    </font>
    <font>
      <sz val="16"/>
      <color rgb="FF000000"/>
      <name val="Calibri"/>
      <family val="2"/>
    </font>
    <font>
      <sz val="16"/>
      <color rgb="FF000000"/>
      <name val="Franklin Gothic Book"/>
      <family val="2"/>
    </font>
    <font>
      <b/>
      <sz val="36"/>
      <color rgb="FFFF0000"/>
      <name val="Arial"/>
      <family val="2"/>
    </font>
    <font>
      <b/>
      <sz val="36"/>
      <name val="Arial"/>
      <family val="2"/>
    </font>
    <font>
      <b/>
      <sz val="9"/>
      <name val="Univers"/>
      <family val="2"/>
    </font>
    <font>
      <b/>
      <vertAlign val="superscript"/>
      <sz val="8"/>
      <name val="Univers"/>
      <family val="2"/>
    </font>
    <font>
      <sz val="10"/>
      <name val="Univers"/>
      <family val="2"/>
    </font>
    <font>
      <b/>
      <sz val="14"/>
      <color rgb="FF000000"/>
      <name val="Arial"/>
      <family val="2"/>
    </font>
    <font>
      <b/>
      <sz val="14"/>
      <name val="Arial"/>
      <family val="2"/>
    </font>
    <font>
      <b/>
      <sz val="18"/>
      <color theme="3" tint="0.59999389629810485"/>
      <name val="Arial"/>
      <family val="2"/>
    </font>
    <font>
      <sz val="18"/>
      <color rgb="FF000000"/>
      <name val="Arial"/>
      <family val="2"/>
    </font>
    <font>
      <b/>
      <sz val="18"/>
      <color rgb="FF000000"/>
      <name val="Arial"/>
      <family val="2"/>
    </font>
    <font>
      <b/>
      <sz val="18"/>
      <color indexed="8"/>
      <name val="Arial"/>
      <family val="2"/>
    </font>
    <font>
      <sz val="24"/>
      <color indexed="8"/>
      <name val="Arial"/>
      <family val="2"/>
    </font>
    <font>
      <sz val="22"/>
      <color theme="1"/>
      <name val="Arial"/>
      <family val="2"/>
    </font>
    <font>
      <b/>
      <sz val="22"/>
      <color indexed="8"/>
      <name val="Arial Narrow"/>
      <family val="2"/>
    </font>
    <font>
      <sz val="22"/>
      <name val="Arial"/>
      <family val="2"/>
    </font>
    <font>
      <b/>
      <sz val="24"/>
      <color indexed="8"/>
      <name val="Arial"/>
      <family val="2"/>
    </font>
    <font>
      <sz val="24"/>
      <color rgb="FF000000"/>
      <name val="Arial"/>
      <family val="2"/>
    </font>
    <font>
      <sz val="20"/>
      <color theme="1"/>
      <name val="Arial"/>
      <family val="2"/>
    </font>
  </fonts>
  <fills count="4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C0C0C0"/>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FF0000"/>
        <bgColor indexed="64"/>
      </patternFill>
    </fill>
    <fill>
      <patternFill patternType="solid">
        <fgColor rgb="FF92D05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00B0F0"/>
        <bgColor indexed="64"/>
      </patternFill>
    </fill>
    <fill>
      <patternFill patternType="solid">
        <fgColor rgb="FFCCCCFF"/>
        <bgColor rgb="FF000000"/>
      </patternFill>
    </fill>
    <fill>
      <patternFill patternType="solid">
        <fgColor rgb="FFFFFFCC"/>
        <bgColor rgb="FF000000"/>
      </patternFill>
    </fill>
    <fill>
      <patternFill patternType="solid">
        <fgColor rgb="FFCCFFCC"/>
        <bgColor rgb="FF000000"/>
      </patternFill>
    </fill>
    <fill>
      <patternFill patternType="solid">
        <fgColor rgb="FFFFFFFF"/>
        <bgColor rgb="FF000000"/>
      </patternFill>
    </fill>
    <fill>
      <patternFill patternType="solid">
        <fgColor rgb="FFFDA023"/>
        <bgColor indexed="64"/>
      </patternFill>
    </fill>
    <fill>
      <patternFill patternType="solid">
        <fgColor rgb="FFFEDFCC"/>
        <bgColor indexed="64"/>
      </patternFill>
    </fill>
    <fill>
      <patternFill patternType="solid">
        <fgColor rgb="FFFFF0E8"/>
        <bgColor indexed="64"/>
      </patternFill>
    </fill>
    <fill>
      <patternFill patternType="solid">
        <fgColor indexed="31"/>
        <bgColor indexed="64"/>
      </patternFill>
    </fill>
    <fill>
      <patternFill patternType="solid">
        <fgColor indexed="26"/>
        <bgColor indexed="64"/>
      </patternFill>
    </fill>
    <fill>
      <patternFill patternType="solid">
        <fgColor indexed="9"/>
        <bgColor indexed="64"/>
      </patternFill>
    </fill>
    <fill>
      <patternFill patternType="solid">
        <fgColor rgb="FFB9CA1A"/>
        <bgColor indexed="64"/>
      </patternFill>
    </fill>
    <fill>
      <patternFill patternType="solid">
        <fgColor rgb="FFE6ECCC"/>
        <bgColor indexed="64"/>
      </patternFill>
    </fill>
    <fill>
      <patternFill patternType="solid">
        <fgColor rgb="FFF3F6E7"/>
        <bgColor indexed="64"/>
      </patternFill>
    </fill>
    <fill>
      <patternFill patternType="solid">
        <fgColor rgb="FFF79646"/>
        <bgColor indexed="64"/>
      </patternFill>
    </fill>
    <fill>
      <patternFill patternType="solid">
        <fgColor rgb="FFFCDDCF"/>
        <bgColor indexed="64"/>
      </patternFill>
    </fill>
    <fill>
      <patternFill patternType="solid">
        <fgColor rgb="FFFDEFE9"/>
        <bgColor indexed="64"/>
      </patternFill>
    </fill>
    <fill>
      <patternFill patternType="solid">
        <fgColor rgb="FF2F75B5"/>
        <bgColor rgb="FF000000"/>
      </patternFill>
    </fill>
    <fill>
      <patternFill patternType="solid">
        <fgColor theme="3" tint="0.39997558519241921"/>
        <bgColor indexed="64"/>
      </patternFill>
    </fill>
    <fill>
      <patternFill patternType="solid">
        <fgColor theme="0"/>
        <bgColor rgb="FF000000"/>
      </patternFill>
    </fill>
    <fill>
      <patternFill patternType="solid">
        <fgColor indexed="11"/>
        <bgColor indexed="64"/>
      </patternFill>
    </fill>
  </fills>
  <borders count="8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C0504D"/>
      </left>
      <right style="medium">
        <color rgb="FFC0504D"/>
      </right>
      <top style="medium">
        <color rgb="FFC0504D"/>
      </top>
      <bottom style="medium">
        <color rgb="FFC0504D"/>
      </bottom>
      <diagonal/>
    </border>
    <border>
      <left style="medium">
        <color rgb="FFC0504D"/>
      </left>
      <right/>
      <top style="medium">
        <color rgb="FFC0504D"/>
      </top>
      <bottom style="medium">
        <color rgb="FFC0504D"/>
      </bottom>
      <diagonal/>
    </border>
    <border>
      <left/>
      <right style="medium">
        <color rgb="FFC0504D"/>
      </right>
      <top style="medium">
        <color rgb="FFC0504D"/>
      </top>
      <bottom style="medium">
        <color rgb="FFC0504D"/>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FFFFFF"/>
      </left>
      <right style="medium">
        <color rgb="FFFFFFFF"/>
      </right>
      <top style="medium">
        <color rgb="FFFFFFFF"/>
      </top>
      <bottom/>
      <diagonal/>
    </border>
    <border>
      <left style="medium">
        <color rgb="FFFFFFFF"/>
      </left>
      <right style="medium">
        <color rgb="FFFFFFFF"/>
      </right>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thick">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diagonal/>
    </border>
    <border>
      <left style="medium">
        <color rgb="FFFFFFFF"/>
      </left>
      <right/>
      <top/>
      <bottom style="thick">
        <color rgb="FFFFFFFF"/>
      </bottom>
      <diagonal/>
    </border>
    <border>
      <left style="medium">
        <color rgb="FF000000"/>
      </left>
      <right style="medium">
        <color rgb="FF000000"/>
      </right>
      <top style="medium">
        <color rgb="FF000000"/>
      </top>
      <bottom/>
      <diagonal/>
    </border>
    <border>
      <left/>
      <right style="thin">
        <color indexed="64"/>
      </right>
      <top/>
      <bottom/>
      <diagonal/>
    </border>
  </borders>
  <cellStyleXfs count="8">
    <xf numFmtId="0" fontId="0" fillId="0" borderId="0"/>
    <xf numFmtId="164" fontId="5" fillId="0" borderId="0" applyFont="0" applyFill="0" applyBorder="0" applyAlignment="0" applyProtection="0"/>
    <xf numFmtId="9" fontId="5" fillId="0" borderId="0" applyFont="0" applyFill="0" applyBorder="0" applyAlignment="0" applyProtection="0"/>
    <xf numFmtId="165" fontId="15" fillId="0" borderId="0" applyFont="0" applyFill="0" applyBorder="0" applyAlignment="0" applyProtection="0"/>
    <xf numFmtId="0" fontId="34" fillId="0" borderId="0"/>
    <xf numFmtId="0" fontId="15" fillId="0" borderId="0"/>
    <xf numFmtId="44" fontId="5" fillId="0" borderId="0" applyFont="0" applyFill="0" applyBorder="0" applyAlignment="0" applyProtection="0"/>
    <xf numFmtId="41" fontId="5" fillId="0" borderId="0" applyFont="0" applyFill="0" applyBorder="0" applyAlignment="0" applyProtection="0"/>
  </cellStyleXfs>
  <cellXfs count="1363">
    <xf numFmtId="0" fontId="0" fillId="0" borderId="0" xfId="0"/>
    <xf numFmtId="0" fontId="1" fillId="0" borderId="0" xfId="0" applyFont="1" applyAlignment="1">
      <alignment horizontal="center"/>
    </xf>
    <xf numFmtId="165" fontId="3" fillId="0" borderId="29" xfId="1" applyNumberFormat="1" applyFont="1" applyFill="1" applyBorder="1" applyAlignment="1" applyProtection="1">
      <alignment horizontal="center" vertical="center" wrapText="1"/>
      <protection locked="0"/>
    </xf>
    <xf numFmtId="165" fontId="3" fillId="0" borderId="25" xfId="1" applyNumberFormat="1" applyFont="1" applyFill="1" applyBorder="1" applyAlignment="1" applyProtection="1">
      <alignment horizontal="center" vertical="center" wrapText="1"/>
      <protection locked="0"/>
    </xf>
    <xf numFmtId="165" fontId="3" fillId="0" borderId="26" xfId="1" applyNumberFormat="1" applyFont="1" applyFill="1" applyBorder="1" applyAlignment="1" applyProtection="1">
      <alignment horizontal="center" vertical="center" wrapText="1"/>
      <protection locked="0"/>
    </xf>
    <xf numFmtId="165" fontId="3" fillId="0" borderId="34" xfId="1" applyNumberFormat="1" applyFont="1" applyFill="1" applyBorder="1" applyAlignment="1" applyProtection="1">
      <alignment horizontal="center" vertical="center" wrapText="1"/>
      <protection locked="0"/>
    </xf>
    <xf numFmtId="165" fontId="3" fillId="0" borderId="33" xfId="1" applyNumberFormat="1" applyFont="1" applyFill="1" applyBorder="1" applyAlignment="1" applyProtection="1">
      <alignment horizontal="center" vertical="center" wrapText="1"/>
      <protection locked="0"/>
    </xf>
    <xf numFmtId="9" fontId="3" fillId="0" borderId="30" xfId="2" applyFont="1" applyFill="1" applyBorder="1" applyAlignment="1" applyProtection="1">
      <alignment horizontal="center" vertical="center" wrapText="1"/>
      <protection locked="0"/>
    </xf>
    <xf numFmtId="9" fontId="3" fillId="0" borderId="27" xfId="2" applyFont="1" applyFill="1" applyBorder="1" applyAlignment="1" applyProtection="1">
      <alignment horizontal="center" vertical="center" wrapText="1"/>
      <protection locked="0"/>
    </xf>
    <xf numFmtId="165" fontId="3" fillId="0" borderId="46" xfId="1" applyNumberFormat="1" applyFont="1" applyFill="1" applyBorder="1" applyAlignment="1" applyProtection="1">
      <alignment horizontal="center" vertical="center" wrapText="1"/>
      <protection locked="0"/>
    </xf>
    <xf numFmtId="165" fontId="3" fillId="0" borderId="3" xfId="1" applyNumberFormat="1" applyFont="1" applyFill="1" applyBorder="1" applyAlignment="1" applyProtection="1">
      <alignment horizontal="center" vertical="center" wrapText="1"/>
      <protection locked="0"/>
    </xf>
    <xf numFmtId="165" fontId="3" fillId="0" borderId="47" xfId="1" applyNumberFormat="1" applyFont="1" applyFill="1" applyBorder="1" applyAlignment="1" applyProtection="1">
      <alignment horizontal="center" vertical="center" wrapText="1"/>
      <protection locked="0"/>
    </xf>
    <xf numFmtId="165" fontId="3" fillId="0" borderId="28" xfId="1" applyNumberFormat="1" applyFont="1" applyFill="1" applyBorder="1" applyAlignment="1" applyProtection="1">
      <alignment horizontal="center" vertical="center" wrapText="1"/>
      <protection locked="0"/>
    </xf>
    <xf numFmtId="165" fontId="3" fillId="0" borderId="24" xfId="1" applyNumberFormat="1" applyFont="1" applyFill="1" applyBorder="1" applyAlignment="1" applyProtection="1">
      <alignment vertical="center" wrapText="1"/>
      <protection locked="0"/>
    </xf>
    <xf numFmtId="9" fontId="7" fillId="3" borderId="24" xfId="2" applyFont="1" applyFill="1" applyBorder="1" applyAlignment="1" applyProtection="1">
      <alignment horizontal="center" vertical="center" wrapText="1"/>
      <protection locked="0"/>
    </xf>
    <xf numFmtId="165" fontId="3" fillId="0" borderId="9" xfId="1" applyNumberFormat="1" applyFont="1" applyFill="1" applyBorder="1" applyAlignment="1" applyProtection="1">
      <alignment horizontal="center" vertical="center" wrapText="1"/>
      <protection locked="0"/>
    </xf>
    <xf numFmtId="0" fontId="10" fillId="0" borderId="34" xfId="0" applyFont="1" applyBorder="1" applyAlignment="1">
      <alignment wrapText="1"/>
    </xf>
    <xf numFmtId="0" fontId="10" fillId="0" borderId="8" xfId="0" applyFont="1" applyBorder="1" applyAlignment="1">
      <alignment wrapText="1"/>
    </xf>
    <xf numFmtId="0" fontId="10" fillId="0" borderId="8" xfId="0" applyFont="1" applyBorder="1" applyAlignment="1">
      <alignment horizontal="center" wrapText="1"/>
    </xf>
    <xf numFmtId="0" fontId="10" fillId="0" borderId="1" xfId="0" applyFont="1" applyBorder="1" applyAlignment="1">
      <alignment horizontal="center" wrapText="1"/>
    </xf>
    <xf numFmtId="3" fontId="10" fillId="0" borderId="8" xfId="0" applyNumberFormat="1" applyFont="1" applyBorder="1" applyAlignment="1">
      <alignment horizontal="center" wrapText="1"/>
    </xf>
    <xf numFmtId="0" fontId="10" fillId="0" borderId="27" xfId="0" applyFont="1" applyBorder="1" applyAlignment="1">
      <alignment wrapText="1"/>
    </xf>
    <xf numFmtId="0" fontId="10" fillId="0" borderId="6" xfId="0" applyFont="1" applyBorder="1" applyAlignment="1">
      <alignment wrapText="1"/>
    </xf>
    <xf numFmtId="0" fontId="10" fillId="0" borderId="6" xfId="0" applyFont="1" applyBorder="1" applyAlignment="1">
      <alignment horizontal="center" wrapText="1"/>
    </xf>
    <xf numFmtId="3" fontId="10" fillId="0" borderId="8" xfId="0" applyNumberFormat="1" applyFont="1" applyBorder="1" applyAlignment="1">
      <alignment wrapText="1"/>
    </xf>
    <xf numFmtId="3" fontId="10" fillId="0" borderId="6" xfId="0" applyNumberFormat="1" applyFont="1" applyBorder="1" applyAlignment="1">
      <alignment horizontal="center" wrapText="1"/>
    </xf>
    <xf numFmtId="0" fontId="10" fillId="0" borderId="34" xfId="0" applyFont="1" applyBorder="1" applyAlignment="1">
      <alignment horizontal="justify" wrapText="1"/>
    </xf>
    <xf numFmtId="0" fontId="10" fillId="0" borderId="11" xfId="0" applyFont="1" applyBorder="1" applyAlignment="1">
      <alignment horizontal="center" wrapText="1"/>
    </xf>
    <xf numFmtId="0" fontId="8" fillId="0" borderId="0" xfId="0" applyFont="1"/>
    <xf numFmtId="0" fontId="0" fillId="0" borderId="0" xfId="0" applyAlignment="1">
      <alignment horizontal="center"/>
    </xf>
    <xf numFmtId="0" fontId="15" fillId="0" borderId="0" xfId="0" applyFont="1"/>
    <xf numFmtId="0" fontId="15" fillId="0" borderId="0" xfId="0" applyFont="1" applyAlignment="1">
      <alignment vertical="center"/>
    </xf>
    <xf numFmtId="0" fontId="6" fillId="0" borderId="0" xfId="0" applyFont="1"/>
    <xf numFmtId="0" fontId="16" fillId="0" borderId="0" xfId="0" applyFont="1"/>
    <xf numFmtId="165" fontId="3" fillId="0" borderId="22" xfId="1" applyNumberFormat="1" applyFont="1" applyFill="1" applyBorder="1" applyAlignment="1" applyProtection="1">
      <alignment vertical="center" wrapText="1"/>
      <protection locked="0"/>
    </xf>
    <xf numFmtId="165" fontId="3" fillId="0" borderId="16" xfId="1" applyNumberFormat="1" applyFont="1" applyFill="1" applyBorder="1" applyAlignment="1" applyProtection="1">
      <alignment vertical="center" wrapText="1"/>
      <protection locked="0"/>
    </xf>
    <xf numFmtId="165" fontId="3" fillId="0" borderId="12" xfId="1" applyNumberFormat="1" applyFont="1" applyFill="1" applyBorder="1" applyAlignment="1" applyProtection="1">
      <alignment vertical="center" wrapText="1"/>
      <protection locked="0"/>
    </xf>
    <xf numFmtId="0" fontId="9" fillId="4" borderId="4" xfId="0" applyFont="1" applyFill="1" applyBorder="1" applyAlignment="1">
      <alignment horizontal="center" vertical="top" wrapText="1"/>
    </xf>
    <xf numFmtId="0" fontId="9" fillId="4" borderId="8" xfId="0" applyFont="1" applyFill="1" applyBorder="1" applyAlignment="1">
      <alignment horizontal="center" vertical="top" wrapText="1"/>
    </xf>
    <xf numFmtId="0" fontId="10" fillId="0" borderId="24" xfId="0" applyFont="1" applyBorder="1" applyAlignment="1">
      <alignment horizontal="center" wrapText="1"/>
    </xf>
    <xf numFmtId="0" fontId="19" fillId="0" borderId="0" xfId="0" applyFont="1"/>
    <xf numFmtId="0" fontId="20" fillId="0" borderId="0" xfId="0" applyFont="1"/>
    <xf numFmtId="165" fontId="3" fillId="0" borderId="0" xfId="1" applyNumberFormat="1" applyFont="1" applyFill="1" applyBorder="1" applyAlignment="1" applyProtection="1">
      <alignment horizontal="center" vertical="center" wrapText="1"/>
      <protection locked="0"/>
    </xf>
    <xf numFmtId="165" fontId="3" fillId="0" borderId="49" xfId="1" applyNumberFormat="1" applyFont="1" applyFill="1" applyBorder="1" applyAlignment="1" applyProtection="1">
      <alignment horizontal="center" vertical="center" wrapText="1"/>
      <protection locked="0"/>
    </xf>
    <xf numFmtId="165" fontId="3" fillId="0" borderId="24" xfId="1" applyNumberFormat="1" applyFont="1" applyFill="1" applyBorder="1" applyAlignment="1" applyProtection="1">
      <alignment horizontal="center" vertical="center" wrapText="1"/>
      <protection locked="0"/>
    </xf>
    <xf numFmtId="165" fontId="3" fillId="0" borderId="34" xfId="1" applyNumberFormat="1" applyFont="1" applyFill="1" applyBorder="1" applyAlignment="1" applyProtection="1">
      <alignment vertical="center" wrapText="1"/>
      <protection locked="0"/>
    </xf>
    <xf numFmtId="165" fontId="3" fillId="0" borderId="33" xfId="1" applyNumberFormat="1" applyFont="1" applyFill="1" applyBorder="1" applyAlignment="1" applyProtection="1">
      <alignment vertical="center" wrapText="1"/>
      <protection locked="0"/>
    </xf>
    <xf numFmtId="9" fontId="3" fillId="0" borderId="29" xfId="2" applyFont="1" applyFill="1" applyBorder="1" applyAlignment="1" applyProtection="1">
      <alignment horizontal="center" vertical="center" wrapText="1"/>
      <protection locked="0"/>
    </xf>
    <xf numFmtId="9" fontId="3" fillId="0" borderId="28" xfId="2" applyFont="1" applyFill="1" applyBorder="1" applyAlignment="1" applyProtection="1">
      <alignment horizontal="center" vertical="center" wrapText="1"/>
      <protection locked="0"/>
    </xf>
    <xf numFmtId="9" fontId="3" fillId="0" borderId="26" xfId="2" applyFont="1" applyFill="1" applyBorder="1" applyAlignment="1" applyProtection="1">
      <alignment horizontal="center" vertical="center" wrapText="1"/>
      <protection locked="0"/>
    </xf>
    <xf numFmtId="165" fontId="3" fillId="0" borderId="26" xfId="1" applyNumberFormat="1" applyFont="1" applyFill="1" applyBorder="1" applyAlignment="1" applyProtection="1">
      <alignment vertical="center" wrapText="1"/>
      <protection locked="0"/>
    </xf>
    <xf numFmtId="165" fontId="3" fillId="0" borderId="29" xfId="1" applyNumberFormat="1" applyFont="1" applyFill="1" applyBorder="1" applyAlignment="1" applyProtection="1">
      <alignment vertical="center" wrapText="1"/>
      <protection locked="0"/>
    </xf>
    <xf numFmtId="165" fontId="3" fillId="0" borderId="28" xfId="1" applyNumberFormat="1" applyFont="1" applyFill="1" applyBorder="1" applyAlignment="1" applyProtection="1">
      <alignment vertical="center" wrapText="1"/>
      <protection locked="0"/>
    </xf>
    <xf numFmtId="0" fontId="0" fillId="0" borderId="24" xfId="0" applyBorder="1" applyAlignment="1"/>
    <xf numFmtId="0" fontId="0" fillId="0" borderId="24" xfId="0" applyBorder="1" applyAlignment="1">
      <alignment horizontal="center"/>
    </xf>
    <xf numFmtId="165" fontId="23" fillId="0" borderId="25" xfId="1" applyNumberFormat="1" applyFont="1" applyFill="1" applyBorder="1" applyAlignment="1" applyProtection="1">
      <alignment vertical="center" wrapText="1"/>
      <protection locked="0"/>
    </xf>
    <xf numFmtId="166" fontId="23" fillId="0" borderId="25" xfId="1" applyNumberFormat="1" applyFont="1" applyFill="1" applyBorder="1" applyAlignment="1" applyProtection="1">
      <alignment vertical="center" wrapText="1"/>
      <protection locked="0"/>
    </xf>
    <xf numFmtId="165" fontId="23" fillId="0" borderId="33" xfId="1" applyNumberFormat="1" applyFont="1" applyFill="1" applyBorder="1" applyAlignment="1" applyProtection="1">
      <alignment vertical="center" wrapText="1"/>
      <protection locked="0"/>
    </xf>
    <xf numFmtId="166" fontId="23" fillId="0" borderId="33" xfId="1" applyNumberFormat="1" applyFont="1" applyFill="1" applyBorder="1" applyAlignment="1" applyProtection="1">
      <alignment vertical="center" wrapText="1"/>
      <protection locked="0"/>
    </xf>
    <xf numFmtId="165" fontId="23" fillId="0" borderId="34" xfId="1" applyNumberFormat="1" applyFont="1" applyFill="1" applyBorder="1" applyAlignment="1" applyProtection="1">
      <alignment vertical="center" wrapText="1"/>
      <protection locked="0"/>
    </xf>
    <xf numFmtId="166" fontId="23" fillId="0" borderId="34" xfId="1" applyNumberFormat="1" applyFont="1" applyFill="1" applyBorder="1" applyAlignment="1" applyProtection="1">
      <alignment vertical="center" wrapText="1"/>
      <protection locked="0"/>
    </xf>
    <xf numFmtId="165" fontId="23" fillId="0" borderId="26" xfId="1" applyNumberFormat="1" applyFont="1" applyFill="1" applyBorder="1" applyAlignment="1" applyProtection="1">
      <alignment horizontal="center" vertical="center" wrapText="1"/>
      <protection locked="0"/>
    </xf>
    <xf numFmtId="166" fontId="23" fillId="0" borderId="26" xfId="1" applyNumberFormat="1" applyFont="1" applyFill="1" applyBorder="1" applyAlignment="1" applyProtection="1">
      <alignment horizontal="center" vertical="center" wrapText="1"/>
      <protection locked="0"/>
    </xf>
    <xf numFmtId="165" fontId="23" fillId="0" borderId="29" xfId="1" applyNumberFormat="1" applyFont="1" applyFill="1" applyBorder="1" applyAlignment="1" applyProtection="1">
      <alignment horizontal="center" vertical="center" wrapText="1"/>
      <protection locked="0"/>
    </xf>
    <xf numFmtId="166" fontId="23" fillId="0" borderId="29" xfId="1" applyNumberFormat="1" applyFont="1" applyFill="1" applyBorder="1" applyAlignment="1" applyProtection="1">
      <alignment horizontal="center" vertical="center" wrapText="1"/>
      <protection locked="0"/>
    </xf>
    <xf numFmtId="165" fontId="23" fillId="0" borderId="24" xfId="1" applyNumberFormat="1" applyFont="1" applyFill="1" applyBorder="1" applyAlignment="1" applyProtection="1">
      <alignment vertical="center" wrapText="1"/>
      <protection locked="0"/>
    </xf>
    <xf numFmtId="166" fontId="23" fillId="0" borderId="24" xfId="1" applyNumberFormat="1" applyFont="1" applyFill="1" applyBorder="1" applyAlignment="1" applyProtection="1">
      <alignment vertical="center" wrapText="1"/>
      <protection locked="0"/>
    </xf>
    <xf numFmtId="165" fontId="23" fillId="0" borderId="28" xfId="1" applyNumberFormat="1" applyFont="1" applyFill="1" applyBorder="1" applyAlignment="1" applyProtection="1">
      <alignment horizontal="center" vertical="center" wrapText="1"/>
      <protection locked="0"/>
    </xf>
    <xf numFmtId="166" fontId="23" fillId="0" borderId="28" xfId="1" applyNumberFormat="1" applyFont="1" applyFill="1" applyBorder="1" applyAlignment="1" applyProtection="1">
      <alignment horizontal="center" vertical="center" wrapText="1"/>
      <protection locked="0"/>
    </xf>
    <xf numFmtId="165" fontId="23" fillId="0" borderId="33" xfId="1" applyNumberFormat="1" applyFont="1" applyFill="1" applyBorder="1" applyAlignment="1" applyProtection="1">
      <alignment horizontal="center" vertical="center" wrapText="1"/>
      <protection locked="0"/>
    </xf>
    <xf numFmtId="166" fontId="23" fillId="0" borderId="33" xfId="1" applyNumberFormat="1" applyFont="1" applyFill="1" applyBorder="1" applyAlignment="1" applyProtection="1">
      <alignment horizontal="center" vertical="center" wrapText="1"/>
      <protection locked="0"/>
    </xf>
    <xf numFmtId="0" fontId="8" fillId="14" borderId="10" xfId="0" applyFont="1" applyFill="1" applyBorder="1" applyAlignment="1">
      <alignment horizontal="right"/>
    </xf>
    <xf numFmtId="166" fontId="20" fillId="14" borderId="11" xfId="0" applyNumberFormat="1" applyFont="1" applyFill="1" applyBorder="1"/>
    <xf numFmtId="166" fontId="20" fillId="14" borderId="11" xfId="0" applyNumberFormat="1" applyFont="1" applyFill="1" applyBorder="1" applyAlignment="1"/>
    <xf numFmtId="0" fontId="20" fillId="14" borderId="10" xfId="0" applyFont="1" applyFill="1" applyBorder="1" applyAlignment="1">
      <alignment horizontal="right"/>
    </xf>
    <xf numFmtId="0" fontId="25" fillId="0" borderId="0" xfId="0" applyFont="1"/>
    <xf numFmtId="2" fontId="0" fillId="0" borderId="41" xfId="0" applyNumberFormat="1" applyBorder="1"/>
    <xf numFmtId="0" fontId="0" fillId="16" borderId="0" xfId="0" applyFill="1"/>
    <xf numFmtId="0" fontId="27" fillId="16" borderId="0" xfId="0" applyFont="1" applyFill="1" applyAlignment="1">
      <alignment horizontal="center"/>
    </xf>
    <xf numFmtId="0" fontId="0" fillId="17" borderId="52" xfId="0" applyFill="1" applyBorder="1" applyAlignment="1">
      <alignment vertical="center" wrapText="1"/>
    </xf>
    <xf numFmtId="170" fontId="0" fillId="19" borderId="52" xfId="1" applyNumberFormat="1" applyFont="1" applyFill="1" applyBorder="1" applyAlignment="1">
      <alignment vertical="center" wrapText="1"/>
    </xf>
    <xf numFmtId="0" fontId="0" fillId="19" borderId="55" xfId="0" applyFill="1" applyBorder="1" applyAlignment="1">
      <alignment vertical="center" wrapText="1"/>
    </xf>
    <xf numFmtId="0" fontId="0" fillId="0" borderId="38" xfId="0" applyBorder="1" applyAlignment="1">
      <alignment vertical="center" wrapText="1"/>
    </xf>
    <xf numFmtId="0" fontId="0" fillId="0" borderId="38" xfId="0" applyBorder="1"/>
    <xf numFmtId="170" fontId="0" fillId="0" borderId="38" xfId="1" applyNumberFormat="1" applyFont="1" applyBorder="1"/>
    <xf numFmtId="0" fontId="0" fillId="0" borderId="54" xfId="0" applyBorder="1"/>
    <xf numFmtId="0" fontId="0" fillId="0" borderId="41" xfId="0" applyBorder="1" applyAlignment="1">
      <alignment vertical="center" wrapText="1"/>
    </xf>
    <xf numFmtId="0" fontId="0" fillId="0" borderId="41" xfId="0" applyBorder="1"/>
    <xf numFmtId="170" fontId="0" fillId="0" borderId="41" xfId="1" applyNumberFormat="1" applyFont="1" applyBorder="1"/>
    <xf numFmtId="0" fontId="0" fillId="0" borderId="42" xfId="0" applyBorder="1"/>
    <xf numFmtId="2" fontId="0" fillId="0" borderId="42" xfId="0" applyNumberFormat="1" applyBorder="1"/>
    <xf numFmtId="0" fontId="0" fillId="0" borderId="52" xfId="0" applyBorder="1" applyAlignment="1">
      <alignment vertical="center" wrapText="1"/>
    </xf>
    <xf numFmtId="0" fontId="0" fillId="0" borderId="52" xfId="0" applyBorder="1"/>
    <xf numFmtId="170" fontId="0" fillId="0" borderId="52" xfId="1" applyNumberFormat="1" applyFont="1" applyBorder="1"/>
    <xf numFmtId="2" fontId="0" fillId="0" borderId="55" xfId="0" applyNumberFormat="1" applyBorder="1"/>
    <xf numFmtId="0" fontId="8" fillId="0" borderId="56" xfId="0" applyFont="1" applyBorder="1" applyAlignment="1">
      <alignment vertical="center" wrapText="1"/>
    </xf>
    <xf numFmtId="0" fontId="0" fillId="0" borderId="50" xfId="0" applyBorder="1" applyAlignment="1">
      <alignment vertical="center" wrapText="1"/>
    </xf>
    <xf numFmtId="0" fontId="0" fillId="0" borderId="50" xfId="0" applyBorder="1"/>
    <xf numFmtId="170" fontId="0" fillId="0" borderId="50" xfId="1" applyNumberFormat="1" applyFont="1" applyBorder="1"/>
    <xf numFmtId="2" fontId="0" fillId="0" borderId="54" xfId="0" applyNumberFormat="1" applyBorder="1" applyAlignment="1"/>
    <xf numFmtId="2" fontId="0" fillId="0" borderId="42" xfId="0" applyNumberFormat="1" applyBorder="1" applyAlignment="1"/>
    <xf numFmtId="0" fontId="8" fillId="17" borderId="52" xfId="0" applyFont="1" applyFill="1" applyBorder="1" applyAlignment="1">
      <alignment vertical="center" wrapText="1"/>
    </xf>
    <xf numFmtId="170" fontId="8" fillId="19" borderId="52" xfId="1" applyNumberFormat="1" applyFont="1" applyFill="1" applyBorder="1" applyAlignment="1">
      <alignment vertical="center" wrapText="1"/>
    </xf>
    <xf numFmtId="0" fontId="8" fillId="19" borderId="55" xfId="0" applyFont="1" applyFill="1" applyBorder="1" applyAlignment="1">
      <alignment vertical="center" wrapText="1"/>
    </xf>
    <xf numFmtId="0" fontId="0" fillId="13" borderId="0" xfId="0" applyFill="1"/>
    <xf numFmtId="0" fontId="0" fillId="13" borderId="41" xfId="0" applyFill="1" applyBorder="1"/>
    <xf numFmtId="3" fontId="0" fillId="0" borderId="38" xfId="0" applyNumberFormat="1" applyBorder="1"/>
    <xf numFmtId="0" fontId="0" fillId="0" borderId="53" xfId="0" applyBorder="1"/>
    <xf numFmtId="3" fontId="0" fillId="0" borderId="41" xfId="0" applyNumberFormat="1" applyBorder="1"/>
    <xf numFmtId="0" fontId="8" fillId="0" borderId="20" xfId="0" applyFont="1" applyBorder="1" applyAlignment="1">
      <alignment vertical="center" wrapText="1"/>
    </xf>
    <xf numFmtId="0" fontId="0" fillId="0" borderId="53" xfId="0" applyBorder="1" applyAlignment="1">
      <alignment vertical="center" wrapText="1"/>
    </xf>
    <xf numFmtId="170" fontId="0" fillId="0" borderId="53" xfId="1" applyNumberFormat="1" applyFont="1" applyBorder="1"/>
    <xf numFmtId="0" fontId="0" fillId="0" borderId="35" xfId="0" applyBorder="1" applyAlignment="1">
      <alignment vertical="center" wrapText="1"/>
    </xf>
    <xf numFmtId="0" fontId="0" fillId="0" borderId="35" xfId="0" applyBorder="1"/>
    <xf numFmtId="170" fontId="0" fillId="0" borderId="35" xfId="1" applyNumberFormat="1" applyFont="1" applyBorder="1"/>
    <xf numFmtId="2" fontId="0" fillId="0" borderId="36" xfId="0" applyNumberFormat="1" applyBorder="1"/>
    <xf numFmtId="0" fontId="8" fillId="0" borderId="12" xfId="0" applyFont="1" applyBorder="1" applyAlignment="1">
      <alignment vertical="center" wrapText="1"/>
    </xf>
    <xf numFmtId="0" fontId="0" fillId="0" borderId="48" xfId="0" applyBorder="1" applyAlignment="1">
      <alignment vertical="center" wrapText="1"/>
    </xf>
    <xf numFmtId="0" fontId="0" fillId="0" borderId="48" xfId="0" applyBorder="1"/>
    <xf numFmtId="170" fontId="0" fillId="0" borderId="48" xfId="1" applyNumberFormat="1" applyFont="1" applyBorder="1"/>
    <xf numFmtId="2" fontId="0" fillId="0" borderId="13" xfId="0" applyNumberFormat="1" applyBorder="1" applyAlignment="1"/>
    <xf numFmtId="0" fontId="0" fillId="17" borderId="41" xfId="0" applyFill="1" applyBorder="1" applyAlignment="1">
      <alignment vertical="center" wrapText="1"/>
    </xf>
    <xf numFmtId="0" fontId="0" fillId="19" borderId="41" xfId="0" applyFill="1" applyBorder="1" applyAlignment="1">
      <alignment vertical="center" wrapText="1"/>
    </xf>
    <xf numFmtId="170" fontId="0" fillId="0" borderId="54" xfId="1" applyNumberFormat="1" applyFont="1" applyBorder="1"/>
    <xf numFmtId="170" fontId="0" fillId="0" borderId="42" xfId="1" applyNumberFormat="1" applyFont="1" applyBorder="1"/>
    <xf numFmtId="170" fontId="0" fillId="0" borderId="36" xfId="1" applyNumberFormat="1" applyFont="1" applyBorder="1"/>
    <xf numFmtId="0" fontId="0" fillId="0" borderId="44" xfId="0" applyBorder="1" applyAlignment="1">
      <alignment vertical="center" wrapText="1"/>
    </xf>
    <xf numFmtId="0" fontId="0" fillId="0" borderId="44" xfId="0" applyBorder="1"/>
    <xf numFmtId="170" fontId="0" fillId="0" borderId="55" xfId="1" applyNumberFormat="1" applyFont="1" applyBorder="1"/>
    <xf numFmtId="170" fontId="0" fillId="0" borderId="57" xfId="1" applyNumberFormat="1" applyFont="1" applyBorder="1"/>
    <xf numFmtId="0" fontId="8" fillId="16" borderId="0" xfId="0" applyFont="1" applyFill="1"/>
    <xf numFmtId="0" fontId="0" fillId="17" borderId="35" xfId="0" applyFill="1" applyBorder="1" applyAlignment="1">
      <alignment vertical="center" wrapText="1"/>
    </xf>
    <xf numFmtId="170" fontId="0" fillId="19" borderId="35" xfId="1" applyNumberFormat="1" applyFont="1" applyFill="1" applyBorder="1" applyAlignment="1">
      <alignment vertical="center" wrapText="1"/>
    </xf>
    <xf numFmtId="0" fontId="0" fillId="19" borderId="35" xfId="0" applyFill="1" applyBorder="1" applyAlignment="1">
      <alignment vertical="center" wrapText="1"/>
    </xf>
    <xf numFmtId="0" fontId="0" fillId="19" borderId="36" xfId="0" applyFill="1" applyBorder="1" applyAlignment="1">
      <alignment vertical="center" wrapText="1"/>
    </xf>
    <xf numFmtId="0" fontId="0" fillId="16" borderId="53" xfId="0" applyFill="1" applyBorder="1" applyAlignment="1">
      <alignment horizontal="right" vertical="center" wrapText="1"/>
    </xf>
    <xf numFmtId="170" fontId="0" fillId="0" borderId="58" xfId="1" applyNumberFormat="1" applyFont="1" applyBorder="1"/>
    <xf numFmtId="2" fontId="0" fillId="0" borderId="38" xfId="0" applyNumberFormat="1" applyBorder="1"/>
    <xf numFmtId="2" fontId="0" fillId="0" borderId="35" xfId="0" applyNumberFormat="1" applyBorder="1"/>
    <xf numFmtId="2" fontId="0" fillId="0" borderId="44" xfId="0" applyNumberFormat="1" applyBorder="1"/>
    <xf numFmtId="170" fontId="0" fillId="0" borderId="44" xfId="1" applyNumberFormat="1" applyFont="1" applyBorder="1"/>
    <xf numFmtId="170" fontId="0" fillId="0" borderId="45" xfId="1" applyNumberFormat="1" applyFont="1" applyBorder="1"/>
    <xf numFmtId="0" fontId="0" fillId="0" borderId="41" xfId="0" applyBorder="1" applyAlignment="1">
      <alignment horizontal="left" vertical="center" wrapText="1"/>
    </xf>
    <xf numFmtId="170" fontId="0" fillId="0" borderId="42" xfId="0" applyNumberFormat="1" applyBorder="1"/>
    <xf numFmtId="0" fontId="0" fillId="16" borderId="53" xfId="0" applyFill="1" applyBorder="1" applyAlignment="1">
      <alignment vertical="center" wrapText="1"/>
    </xf>
    <xf numFmtId="0" fontId="0" fillId="16" borderId="38" xfId="0" applyFill="1" applyBorder="1"/>
    <xf numFmtId="0" fontId="0" fillId="16" borderId="41" xfId="0" applyFill="1" applyBorder="1"/>
    <xf numFmtId="0" fontId="0" fillId="16" borderId="35" xfId="0" applyFill="1" applyBorder="1"/>
    <xf numFmtId="0" fontId="0" fillId="16" borderId="44" xfId="0" applyFill="1" applyBorder="1"/>
    <xf numFmtId="170" fontId="0" fillId="0" borderId="53" xfId="1" applyNumberFormat="1" applyFont="1" applyBorder="1" applyAlignment="1">
      <alignment vertical="center" wrapText="1"/>
    </xf>
    <xf numFmtId="3" fontId="0" fillId="13" borderId="41" xfId="0" applyNumberFormat="1" applyFill="1" applyBorder="1"/>
    <xf numFmtId="3" fontId="0" fillId="13" borderId="41" xfId="0" applyNumberFormat="1" applyFill="1" applyBorder="1" applyAlignment="1">
      <alignment horizontal="right" vertical="center"/>
    </xf>
    <xf numFmtId="0" fontId="27" fillId="16" borderId="0" xfId="0" applyFont="1" applyFill="1" applyBorder="1" applyAlignment="1">
      <alignment horizontal="center"/>
    </xf>
    <xf numFmtId="0" fontId="0" fillId="19" borderId="52" xfId="0" applyFill="1" applyBorder="1" applyAlignment="1">
      <alignment vertical="center" wrapText="1"/>
    </xf>
    <xf numFmtId="170" fontId="0" fillId="0" borderId="41" xfId="1" applyNumberFormat="1" applyFont="1" applyBorder="1" applyAlignment="1"/>
    <xf numFmtId="170" fontId="0" fillId="0" borderId="35" xfId="1" applyNumberFormat="1" applyFont="1" applyBorder="1" applyAlignment="1">
      <alignment horizontal="center"/>
    </xf>
    <xf numFmtId="170" fontId="0" fillId="0" borderId="38" xfId="1" applyNumberFormat="1" applyFont="1" applyBorder="1" applyAlignment="1"/>
    <xf numFmtId="170" fontId="0" fillId="0" borderId="52" xfId="1" applyNumberFormat="1" applyFont="1" applyBorder="1" applyAlignment="1"/>
    <xf numFmtId="0" fontId="8" fillId="22" borderId="41" xfId="0" applyFont="1" applyFill="1" applyBorder="1" applyAlignment="1">
      <alignment vertical="center" wrapText="1"/>
    </xf>
    <xf numFmtId="164" fontId="28" fillId="22" borderId="41" xfId="1" applyFont="1" applyFill="1" applyBorder="1"/>
    <xf numFmtId="2" fontId="0" fillId="0" borderId="41" xfId="0" applyNumberFormat="1" applyBorder="1" applyAlignment="1">
      <alignment vertical="center" wrapText="1"/>
    </xf>
    <xf numFmtId="0" fontId="0" fillId="0" borderId="0" xfId="0" applyAlignment="1">
      <alignment vertical="center" wrapText="1"/>
    </xf>
    <xf numFmtId="0" fontId="0" fillId="0" borderId="44" xfId="0" applyBorder="1" applyAlignment="1">
      <alignment horizontal="left" vertical="center" wrapText="1"/>
    </xf>
    <xf numFmtId="170" fontId="0" fillId="0" borderId="44" xfId="1" applyNumberFormat="1" applyFont="1" applyBorder="1" applyAlignment="1"/>
    <xf numFmtId="0" fontId="0" fillId="19" borderId="42" xfId="0" applyFill="1" applyBorder="1" applyAlignment="1">
      <alignment vertical="center" wrapText="1"/>
    </xf>
    <xf numFmtId="0" fontId="27" fillId="16" borderId="7" xfId="0" applyFont="1" applyFill="1" applyBorder="1" applyAlignment="1">
      <alignment horizontal="center"/>
    </xf>
    <xf numFmtId="0" fontId="27" fillId="16" borderId="1" xfId="0" applyFont="1" applyFill="1" applyBorder="1" applyAlignment="1">
      <alignment horizontal="center"/>
    </xf>
    <xf numFmtId="0" fontId="0" fillId="0" borderId="51" xfId="0" applyBorder="1"/>
    <xf numFmtId="0" fontId="30" fillId="0" borderId="20" xfId="0" applyFont="1" applyBorder="1" applyAlignment="1">
      <alignment vertical="center" wrapText="1"/>
    </xf>
    <xf numFmtId="0" fontId="0" fillId="22" borderId="48" xfId="0" applyFill="1" applyBorder="1"/>
    <xf numFmtId="164" fontId="26" fillId="22" borderId="48" xfId="1" applyFont="1" applyFill="1" applyBorder="1"/>
    <xf numFmtId="3" fontId="0" fillId="22" borderId="48" xfId="0" applyNumberFormat="1" applyFill="1" applyBorder="1"/>
    <xf numFmtId="164" fontId="26" fillId="22" borderId="13" xfId="1" applyFont="1" applyFill="1" applyBorder="1"/>
    <xf numFmtId="2" fontId="0" fillId="0" borderId="50" xfId="0" applyNumberFormat="1" applyBorder="1"/>
    <xf numFmtId="0" fontId="0" fillId="0" borderId="50" xfId="0" applyBorder="1" applyAlignment="1">
      <alignment horizontal="left" vertical="center" wrapText="1"/>
    </xf>
    <xf numFmtId="170" fontId="0" fillId="0" borderId="50" xfId="1" applyNumberFormat="1" applyFont="1" applyBorder="1" applyAlignment="1">
      <alignment horizontal="center"/>
    </xf>
    <xf numFmtId="0" fontId="0" fillId="0" borderId="35" xfId="0" applyBorder="1" applyAlignment="1">
      <alignment horizontal="left" vertical="center" wrapText="1"/>
    </xf>
    <xf numFmtId="170" fontId="0" fillId="0" borderId="36" xfId="0" applyNumberFormat="1" applyBorder="1"/>
    <xf numFmtId="0" fontId="0" fillId="22" borderId="48" xfId="0" applyFont="1" applyFill="1" applyBorder="1"/>
    <xf numFmtId="0" fontId="26" fillId="22" borderId="48" xfId="0" applyFont="1" applyFill="1" applyBorder="1"/>
    <xf numFmtId="164" fontId="5" fillId="22" borderId="48" xfId="1" applyFont="1" applyFill="1" applyBorder="1"/>
    <xf numFmtId="170" fontId="5" fillId="22" borderId="48" xfId="1" applyNumberFormat="1" applyFont="1" applyFill="1" applyBorder="1"/>
    <xf numFmtId="0" fontId="8" fillId="22" borderId="48" xfId="0" applyFont="1" applyFill="1" applyBorder="1"/>
    <xf numFmtId="3" fontId="8" fillId="22" borderId="48" xfId="0" applyNumberFormat="1" applyFont="1" applyFill="1" applyBorder="1"/>
    <xf numFmtId="2" fontId="28" fillId="22" borderId="48" xfId="0" applyNumberFormat="1" applyFont="1" applyFill="1" applyBorder="1" applyAlignment="1"/>
    <xf numFmtId="170" fontId="8" fillId="22" borderId="48" xfId="1" applyNumberFormat="1" applyFont="1" applyFill="1" applyBorder="1"/>
    <xf numFmtId="2" fontId="28" fillId="22" borderId="13" xfId="0" applyNumberFormat="1" applyFont="1" applyFill="1" applyBorder="1" applyAlignment="1"/>
    <xf numFmtId="164" fontId="0" fillId="0" borderId="42" xfId="1" applyNumberFormat="1" applyFont="1" applyBorder="1"/>
    <xf numFmtId="164" fontId="0" fillId="0" borderId="35" xfId="1" applyFont="1" applyBorder="1"/>
    <xf numFmtId="164" fontId="0" fillId="0" borderId="54" xfId="1" applyNumberFormat="1" applyFont="1" applyBorder="1"/>
    <xf numFmtId="0" fontId="0" fillId="0" borderId="42" xfId="0" applyNumberFormat="1" applyBorder="1"/>
    <xf numFmtId="0" fontId="0" fillId="0" borderId="38" xfId="0" applyBorder="1" applyAlignment="1">
      <alignment vertical="top" wrapText="1"/>
    </xf>
    <xf numFmtId="0" fontId="0" fillId="0" borderId="54" xfId="0" applyNumberFormat="1" applyBorder="1"/>
    <xf numFmtId="0" fontId="0" fillId="0" borderId="41" xfId="0" applyBorder="1" applyAlignment="1">
      <alignment vertical="top" wrapText="1"/>
    </xf>
    <xf numFmtId="0" fontId="0" fillId="0" borderId="52" xfId="0" applyBorder="1" applyAlignment="1">
      <alignment vertical="top" wrapText="1"/>
    </xf>
    <xf numFmtId="0" fontId="0" fillId="0" borderId="55" xfId="0" applyNumberFormat="1" applyBorder="1"/>
    <xf numFmtId="2" fontId="0" fillId="0" borderId="54" xfId="0" applyNumberFormat="1" applyBorder="1"/>
    <xf numFmtId="0" fontId="0" fillId="16" borderId="38" xfId="0" applyFill="1" applyBorder="1" applyAlignment="1">
      <alignment vertical="center" wrapText="1"/>
    </xf>
    <xf numFmtId="0" fontId="0" fillId="16" borderId="41" xfId="0" applyFill="1" applyBorder="1" applyAlignment="1">
      <alignment vertical="center" wrapText="1"/>
    </xf>
    <xf numFmtId="169" fontId="8" fillId="3" borderId="51" xfId="0" applyNumberFormat="1" applyFont="1" applyFill="1" applyBorder="1"/>
    <xf numFmtId="164" fontId="28" fillId="3" borderId="51" xfId="1" applyFont="1" applyFill="1" applyBorder="1"/>
    <xf numFmtId="164" fontId="28" fillId="3" borderId="32" xfId="1" applyFont="1" applyFill="1" applyBorder="1"/>
    <xf numFmtId="170" fontId="0" fillId="19" borderId="41" xfId="1" applyNumberFormat="1" applyFont="1" applyFill="1" applyBorder="1" applyAlignment="1">
      <alignment vertical="center" wrapText="1"/>
    </xf>
    <xf numFmtId="164" fontId="0" fillId="0" borderId="55" xfId="1" applyNumberFormat="1" applyFont="1" applyBorder="1" applyAlignment="1"/>
    <xf numFmtId="0" fontId="8" fillId="3" borderId="41" xfId="0" applyFont="1" applyFill="1" applyBorder="1"/>
    <xf numFmtId="164" fontId="28" fillId="3" borderId="41" xfId="1" applyFont="1" applyFill="1" applyBorder="1"/>
    <xf numFmtId="3" fontId="8" fillId="3" borderId="41" xfId="0" applyNumberFormat="1" applyFont="1" applyFill="1" applyBorder="1"/>
    <xf numFmtId="170" fontId="0" fillId="16" borderId="41" xfId="1" applyNumberFormat="1" applyFont="1" applyFill="1" applyBorder="1" applyAlignment="1">
      <alignment vertical="center" wrapText="1"/>
    </xf>
    <xf numFmtId="2" fontId="0" fillId="0" borderId="42" xfId="1" applyNumberFormat="1" applyFont="1" applyBorder="1"/>
    <xf numFmtId="2" fontId="0" fillId="0" borderId="42" xfId="1" applyNumberFormat="1" applyFont="1" applyBorder="1" applyAlignment="1"/>
    <xf numFmtId="0" fontId="21" fillId="0" borderId="0" xfId="0" applyFont="1" applyAlignment="1">
      <alignment horizontal="center"/>
    </xf>
    <xf numFmtId="0" fontId="29" fillId="0" borderId="0" xfId="0" applyFont="1" applyAlignment="1">
      <alignment horizontal="center"/>
    </xf>
    <xf numFmtId="0" fontId="31" fillId="0" borderId="0" xfId="0" applyFont="1" applyAlignment="1">
      <alignment horizontal="center"/>
    </xf>
    <xf numFmtId="0" fontId="21" fillId="0" borderId="0" xfId="0" applyFont="1" applyAlignment="1"/>
    <xf numFmtId="0" fontId="29" fillId="0" borderId="0" xfId="0" applyFont="1" applyAlignment="1"/>
    <xf numFmtId="0" fontId="32" fillId="0" borderId="0" xfId="0" applyFont="1"/>
    <xf numFmtId="172" fontId="0" fillId="0" borderId="0" xfId="0" applyNumberFormat="1"/>
    <xf numFmtId="2" fontId="0" fillId="0" borderId="0" xfId="0" applyNumberFormat="1"/>
    <xf numFmtId="1" fontId="0" fillId="0" borderId="53" xfId="0" applyNumberFormat="1" applyBorder="1" applyAlignment="1">
      <alignment vertical="center" wrapText="1"/>
    </xf>
    <xf numFmtId="170" fontId="0" fillId="0" borderId="35" xfId="1" applyNumberFormat="1" applyFont="1" applyBorder="1" applyAlignment="1">
      <alignment horizontal="center"/>
    </xf>
    <xf numFmtId="0" fontId="0" fillId="16" borderId="41" xfId="0" applyFill="1" applyBorder="1" applyAlignment="1">
      <alignment vertical="center" wrapText="1"/>
    </xf>
    <xf numFmtId="0" fontId="0" fillId="16" borderId="50" xfId="0" applyFill="1" applyBorder="1" applyAlignment="1">
      <alignment horizontal="right" vertical="center" wrapText="1"/>
    </xf>
    <xf numFmtId="0" fontId="0" fillId="16" borderId="52" xfId="0" applyFill="1" applyBorder="1"/>
    <xf numFmtId="170" fontId="0" fillId="0" borderId="42" xfId="1" applyNumberFormat="1" applyFont="1" applyBorder="1" applyAlignment="1"/>
    <xf numFmtId="4" fontId="0" fillId="0" borderId="41" xfId="0" applyNumberFormat="1" applyBorder="1"/>
    <xf numFmtId="1" fontId="0" fillId="0" borderId="0" xfId="0" applyNumberFormat="1"/>
    <xf numFmtId="4" fontId="0" fillId="0" borderId="35" xfId="0" applyNumberFormat="1" applyBorder="1"/>
    <xf numFmtId="0" fontId="0" fillId="0" borderId="41" xfId="0" applyBorder="1" applyAlignment="1">
      <alignment vertical="center" wrapText="1"/>
    </xf>
    <xf numFmtId="0" fontId="0" fillId="0" borderId="38" xfId="0" applyBorder="1" applyAlignment="1">
      <alignment vertical="center" wrapText="1"/>
    </xf>
    <xf numFmtId="4" fontId="0" fillId="0" borderId="48" xfId="0" applyNumberFormat="1" applyBorder="1"/>
    <xf numFmtId="4" fontId="0" fillId="0" borderId="44" xfId="0" applyNumberFormat="1" applyBorder="1" applyAlignment="1">
      <alignment horizontal="right" vertical="center"/>
    </xf>
    <xf numFmtId="4" fontId="0" fillId="0" borderId="41" xfId="0" applyNumberFormat="1" applyBorder="1" applyAlignment="1">
      <alignment horizontal="right" vertical="center"/>
    </xf>
    <xf numFmtId="4" fontId="0" fillId="0" borderId="38" xfId="0" applyNumberFormat="1" applyBorder="1"/>
    <xf numFmtId="4" fontId="0" fillId="0" borderId="52" xfId="0" applyNumberFormat="1" applyBorder="1"/>
    <xf numFmtId="4" fontId="0" fillId="0" borderId="53" xfId="0" applyNumberFormat="1" applyBorder="1"/>
    <xf numFmtId="4" fontId="0" fillId="0" borderId="50" xfId="0" applyNumberFormat="1" applyBorder="1"/>
    <xf numFmtId="2" fontId="0" fillId="0" borderId="45" xfId="1" applyNumberFormat="1" applyFont="1" applyBorder="1" applyAlignment="1"/>
    <xf numFmtId="173" fontId="0" fillId="0" borderId="41" xfId="0" applyNumberFormat="1" applyBorder="1"/>
    <xf numFmtId="173" fontId="0" fillId="0" borderId="52" xfId="0" applyNumberFormat="1" applyBorder="1"/>
    <xf numFmtId="4" fontId="0" fillId="16" borderId="38" xfId="0" applyNumberFormat="1" applyFill="1" applyBorder="1"/>
    <xf numFmtId="4" fontId="0" fillId="16" borderId="41" xfId="0" applyNumberFormat="1" applyFill="1" applyBorder="1"/>
    <xf numFmtId="4" fontId="0" fillId="16" borderId="35" xfId="0" applyNumberFormat="1" applyFill="1" applyBorder="1"/>
    <xf numFmtId="0" fontId="0" fillId="16" borderId="41" xfId="0" applyFill="1" applyBorder="1" applyAlignment="1">
      <alignment horizontal="right" vertical="center" wrapText="1"/>
    </xf>
    <xf numFmtId="0" fontId="0" fillId="0" borderId="40" xfId="0" applyBorder="1"/>
    <xf numFmtId="1" fontId="0" fillId="0" borderId="41" xfId="0" applyNumberFormat="1" applyBorder="1"/>
    <xf numFmtId="0" fontId="0" fillId="0" borderId="0" xfId="0" applyFill="1"/>
    <xf numFmtId="170" fontId="0" fillId="0" borderId="41" xfId="1" applyNumberFormat="1" applyFont="1" applyBorder="1" applyAlignment="1">
      <alignment horizontal="center"/>
    </xf>
    <xf numFmtId="0" fontId="0" fillId="0" borderId="41" xfId="0" applyBorder="1" applyAlignment="1">
      <alignment horizontal="left" vertical="center" wrapText="1"/>
    </xf>
    <xf numFmtId="2" fontId="0" fillId="0" borderId="42" xfId="1" applyNumberFormat="1" applyFont="1" applyBorder="1" applyAlignment="1">
      <alignment horizontal="right"/>
    </xf>
    <xf numFmtId="0" fontId="0" fillId="21" borderId="38" xfId="0" applyFill="1" applyBorder="1" applyAlignment="1">
      <alignment horizontal="center"/>
    </xf>
    <xf numFmtId="170" fontId="8" fillId="13" borderId="52" xfId="0" applyNumberFormat="1" applyFont="1" applyFill="1" applyBorder="1" applyAlignment="1">
      <alignment vertical="center" wrapText="1"/>
    </xf>
    <xf numFmtId="0" fontId="0" fillId="13" borderId="35" xfId="0" applyFill="1" applyBorder="1" applyAlignment="1">
      <alignment vertical="center" wrapText="1"/>
    </xf>
    <xf numFmtId="0" fontId="27" fillId="16" borderId="7" xfId="0" applyFont="1" applyFill="1" applyBorder="1" applyAlignment="1"/>
    <xf numFmtId="0" fontId="27" fillId="16" borderId="1" xfId="0" applyFont="1" applyFill="1" applyBorder="1" applyAlignment="1"/>
    <xf numFmtId="170" fontId="0" fillId="13" borderId="35" xfId="0" applyNumberFormat="1" applyFill="1" applyBorder="1" applyAlignment="1">
      <alignment vertical="center" wrapText="1"/>
    </xf>
    <xf numFmtId="0" fontId="8" fillId="0" borderId="12" xfId="0" applyFont="1" applyBorder="1" applyAlignment="1">
      <alignment horizontal="left" vertical="center" wrapText="1"/>
    </xf>
    <xf numFmtId="0" fontId="0" fillId="16" borderId="48" xfId="0" applyFill="1" applyBorder="1" applyAlignment="1">
      <alignment vertical="center" wrapText="1"/>
    </xf>
    <xf numFmtId="2" fontId="0" fillId="0" borderId="48" xfId="0" applyNumberFormat="1" applyBorder="1"/>
    <xf numFmtId="170" fontId="0" fillId="0" borderId="13" xfId="1" applyNumberFormat="1" applyFont="1" applyBorder="1"/>
    <xf numFmtId="170" fontId="0" fillId="13" borderId="52" xfId="0" applyNumberFormat="1" applyFill="1" applyBorder="1" applyAlignment="1">
      <alignment vertical="center" wrapText="1"/>
    </xf>
    <xf numFmtId="170" fontId="0" fillId="13" borderId="41" xfId="0" applyNumberFormat="1" applyFill="1" applyBorder="1" applyAlignment="1">
      <alignment vertical="center" wrapText="1"/>
    </xf>
    <xf numFmtId="3" fontId="0" fillId="0" borderId="48" xfId="0" applyNumberFormat="1" applyBorder="1"/>
    <xf numFmtId="2" fontId="0" fillId="0" borderId="53" xfId="0" applyNumberFormat="1" applyBorder="1"/>
    <xf numFmtId="3" fontId="0" fillId="0" borderId="53" xfId="0" applyNumberFormat="1" applyBorder="1"/>
    <xf numFmtId="3" fontId="0" fillId="0" borderId="50" xfId="0" applyNumberFormat="1" applyBorder="1"/>
    <xf numFmtId="2" fontId="0" fillId="0" borderId="53" xfId="0" applyNumberFormat="1" applyBorder="1" applyAlignment="1">
      <alignment vertical="center" wrapText="1"/>
    </xf>
    <xf numFmtId="4" fontId="0" fillId="16" borderId="0" xfId="0" applyNumberFormat="1" applyFill="1"/>
    <xf numFmtId="0" fontId="33" fillId="0" borderId="0" xfId="0" applyFont="1" applyAlignment="1">
      <alignment vertical="center" wrapText="1"/>
    </xf>
    <xf numFmtId="0" fontId="33" fillId="0" borderId="0" xfId="0" applyFont="1"/>
    <xf numFmtId="0" fontId="4" fillId="0" borderId="41" xfId="0" applyFont="1" applyFill="1" applyBorder="1" applyProtection="1"/>
    <xf numFmtId="4" fontId="4" fillId="0" borderId="41" xfId="0" applyNumberFormat="1" applyFont="1" applyFill="1" applyBorder="1" applyProtection="1"/>
    <xf numFmtId="4" fontId="3" fillId="0" borderId="41" xfId="0" applyNumberFormat="1" applyFont="1" applyFill="1" applyBorder="1" applyAlignment="1" applyProtection="1">
      <alignment wrapText="1"/>
      <protection locked="0"/>
    </xf>
    <xf numFmtId="4" fontId="4" fillId="0" borderId="41" xfId="0" applyNumberFormat="1" applyFont="1" applyFill="1" applyBorder="1" applyProtection="1">
      <protection locked="0"/>
    </xf>
    <xf numFmtId="0" fontId="4" fillId="16" borderId="41" xfId="0" applyFont="1" applyFill="1" applyBorder="1" applyAlignment="1" applyProtection="1">
      <alignment wrapText="1"/>
      <protection locked="0"/>
    </xf>
    <xf numFmtId="0" fontId="2" fillId="0" borderId="41" xfId="0" applyFont="1" applyBorder="1" applyAlignment="1" applyProtection="1">
      <alignment vertical="center" wrapText="1"/>
    </xf>
    <xf numFmtId="0" fontId="24" fillId="16" borderId="41" xfId="0" applyFont="1" applyFill="1" applyBorder="1" applyAlignment="1" applyProtection="1">
      <alignment horizontal="center" vertical="center" wrapText="1"/>
    </xf>
    <xf numFmtId="0" fontId="24" fillId="0" borderId="41" xfId="0" applyFont="1" applyBorder="1" applyAlignment="1" applyProtection="1">
      <alignment horizontal="center" vertical="center" wrapText="1"/>
    </xf>
    <xf numFmtId="4" fontId="3" fillId="0" borderId="41" xfId="0" applyNumberFormat="1" applyFont="1" applyFill="1" applyBorder="1" applyProtection="1"/>
    <xf numFmtId="2" fontId="0" fillId="0" borderId="41" xfId="0" applyNumberFormat="1" applyFill="1" applyBorder="1"/>
    <xf numFmtId="0" fontId="33" fillId="16" borderId="0" xfId="0" applyFont="1" applyFill="1" applyAlignment="1">
      <alignment vertical="top" wrapText="1"/>
    </xf>
    <xf numFmtId="0" fontId="33" fillId="0" borderId="0" xfId="0" applyFont="1" applyFill="1"/>
    <xf numFmtId="0" fontId="41" fillId="0" borderId="0" xfId="0" applyFont="1" applyAlignment="1">
      <alignment vertical="center" wrapText="1"/>
    </xf>
    <xf numFmtId="0" fontId="41" fillId="16" borderId="0" xfId="0" applyFont="1" applyFill="1" applyAlignment="1">
      <alignment vertical="top" wrapText="1"/>
    </xf>
    <xf numFmtId="0" fontId="35" fillId="0" borderId="0" xfId="0" applyFont="1" applyAlignment="1">
      <alignment vertical="center" wrapText="1"/>
    </xf>
    <xf numFmtId="0" fontId="35" fillId="16" borderId="0" xfId="0" applyFont="1" applyFill="1" applyAlignment="1">
      <alignment vertical="top" wrapText="1"/>
    </xf>
    <xf numFmtId="0" fontId="39" fillId="16" borderId="41" xfId="0" applyFont="1" applyFill="1" applyBorder="1" applyAlignment="1">
      <alignment horizontal="center" vertical="center" wrapText="1"/>
    </xf>
    <xf numFmtId="9" fontId="0" fillId="0" borderId="0" xfId="2" applyFont="1"/>
    <xf numFmtId="0" fontId="0" fillId="0" borderId="0" xfId="0" applyAlignment="1">
      <alignment wrapText="1"/>
    </xf>
    <xf numFmtId="0" fontId="20" fillId="0" borderId="41" xfId="0" applyFont="1" applyBorder="1" applyAlignment="1">
      <alignment horizontal="center" wrapText="1"/>
    </xf>
    <xf numFmtId="0" fontId="44" fillId="0" borderId="41" xfId="0" applyFont="1" applyBorder="1" applyAlignment="1">
      <alignment horizontal="justify" vertical="top" wrapText="1"/>
    </xf>
    <xf numFmtId="3" fontId="44" fillId="0" borderId="41" xfId="0" applyNumberFormat="1" applyFont="1" applyBorder="1" applyAlignment="1">
      <alignment horizontal="justify" vertical="top" wrapText="1"/>
    </xf>
    <xf numFmtId="0" fontId="44" fillId="0" borderId="41" xfId="0" applyFont="1" applyBorder="1" applyAlignment="1">
      <alignment horizontal="center" vertical="top" wrapText="1"/>
    </xf>
    <xf numFmtId="0" fontId="44" fillId="0" borderId="41" xfId="0" applyFont="1" applyBorder="1" applyAlignment="1">
      <alignment horizontal="justify" wrapText="1"/>
    </xf>
    <xf numFmtId="0" fontId="44" fillId="15" borderId="41" xfId="0" applyFont="1" applyFill="1" applyBorder="1" applyAlignment="1">
      <alignment vertical="center" wrapText="1"/>
    </xf>
    <xf numFmtId="0" fontId="44" fillId="0" borderId="41" xfId="0" applyFont="1" applyBorder="1" applyAlignment="1">
      <alignment horizontal="justify" vertical="center" wrapText="1"/>
    </xf>
    <xf numFmtId="0" fontId="44" fillId="0" borderId="41" xfId="0" applyFont="1" applyBorder="1" applyAlignment="1">
      <alignment horizontal="justify" vertical="top" wrapText="1"/>
    </xf>
    <xf numFmtId="0" fontId="44" fillId="0" borderId="41" xfId="0" applyFont="1" applyBorder="1" applyAlignment="1">
      <alignment horizontal="center" vertical="center" wrapText="1"/>
    </xf>
    <xf numFmtId="0" fontId="44" fillId="0" borderId="41" xfId="0" applyFont="1" applyBorder="1" applyAlignment="1">
      <alignment horizontal="justify" vertical="center" wrapText="1"/>
    </xf>
    <xf numFmtId="0" fontId="44" fillId="0" borderId="41" xfId="0" applyFont="1" applyBorder="1" applyAlignment="1">
      <alignment horizontal="justify" wrapText="1"/>
    </xf>
    <xf numFmtId="0" fontId="44" fillId="0" borderId="41" xfId="0" applyFont="1" applyBorder="1" applyAlignment="1">
      <alignment horizontal="left" vertical="top" wrapText="1"/>
    </xf>
    <xf numFmtId="0" fontId="44" fillId="0" borderId="41" xfId="0" applyFont="1" applyBorder="1" applyAlignment="1">
      <alignment horizontal="left" vertical="center" wrapText="1"/>
    </xf>
    <xf numFmtId="0" fontId="44" fillId="0" borderId="41" xfId="0" applyFont="1" applyBorder="1" applyAlignment="1">
      <alignment vertical="center" wrapText="1"/>
    </xf>
    <xf numFmtId="0" fontId="44" fillId="0" borderId="59" xfId="0" applyFont="1" applyBorder="1" applyAlignment="1">
      <alignment horizontal="center" vertical="top" wrapText="1"/>
    </xf>
    <xf numFmtId="0" fontId="44" fillId="0" borderId="59" xfId="0" applyFont="1" applyBorder="1" applyAlignment="1">
      <alignment horizontal="center" vertical="center" wrapText="1"/>
    </xf>
    <xf numFmtId="0" fontId="44" fillId="15" borderId="59" xfId="0" applyFont="1" applyFill="1" applyBorder="1" applyAlignment="1">
      <alignment vertical="center" wrapText="1"/>
    </xf>
    <xf numFmtId="8" fontId="45" fillId="0" borderId="41" xfId="0" applyNumberFormat="1" applyFont="1" applyBorder="1" applyAlignment="1">
      <alignment horizontal="center" vertical="center" wrapText="1"/>
    </xf>
    <xf numFmtId="0" fontId="45" fillId="0" borderId="41" xfId="0" applyFont="1" applyBorder="1" applyAlignment="1">
      <alignment wrapText="1"/>
    </xf>
    <xf numFmtId="44" fontId="45" fillId="0" borderId="41" xfId="6" applyFont="1" applyBorder="1" applyAlignment="1">
      <alignment vertical="center" wrapText="1"/>
    </xf>
    <xf numFmtId="0" fontId="45" fillId="0" borderId="41" xfId="0" applyFont="1" applyBorder="1"/>
    <xf numFmtId="0" fontId="20" fillId="0" borderId="47" xfId="0" applyFont="1" applyBorder="1" applyAlignment="1">
      <alignment horizontal="center"/>
    </xf>
    <xf numFmtId="0" fontId="20" fillId="0" borderId="41" xfId="0" applyFont="1" applyFill="1" applyBorder="1" applyAlignment="1">
      <alignment vertical="top" wrapText="1"/>
    </xf>
    <xf numFmtId="0" fontId="20" fillId="0" borderId="41"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41" xfId="0" applyFont="1" applyFill="1" applyBorder="1" applyAlignment="1">
      <alignment horizontal="center" vertical="center" wrapText="1"/>
    </xf>
    <xf numFmtId="0" fontId="46" fillId="0" borderId="68" xfId="0" applyFont="1" applyBorder="1" applyAlignment="1">
      <alignment horizontal="center" vertical="center" wrapText="1"/>
    </xf>
    <xf numFmtId="0" fontId="46" fillId="0" borderId="69" xfId="0" applyFont="1" applyBorder="1" applyAlignment="1">
      <alignment horizontal="center" vertical="center" wrapText="1"/>
    </xf>
    <xf numFmtId="0" fontId="46" fillId="0" borderId="70" xfId="0" applyFont="1" applyBorder="1" applyAlignment="1">
      <alignment horizontal="center" vertical="center" wrapText="1"/>
    </xf>
    <xf numFmtId="0" fontId="46" fillId="0" borderId="70" xfId="0" applyFont="1" applyBorder="1" applyAlignment="1">
      <alignment vertical="center" wrapText="1"/>
    </xf>
    <xf numFmtId="0" fontId="47" fillId="0" borderId="69" xfId="0" applyFont="1" applyBorder="1" applyAlignment="1">
      <alignment horizontal="center" vertical="center" wrapText="1"/>
    </xf>
    <xf numFmtId="0" fontId="47" fillId="0" borderId="70" xfId="0" applyFont="1" applyBorder="1" applyAlignment="1">
      <alignment horizontal="center" vertical="center" wrapText="1"/>
    </xf>
    <xf numFmtId="9" fontId="47" fillId="0" borderId="70" xfId="0" applyNumberFormat="1" applyFont="1" applyBorder="1" applyAlignment="1">
      <alignment horizontal="center" vertical="center" wrapText="1"/>
    </xf>
    <xf numFmtId="10" fontId="47" fillId="0" borderId="70" xfId="0" applyNumberFormat="1" applyFont="1" applyBorder="1" applyAlignment="1">
      <alignment horizontal="center" vertical="center" wrapText="1"/>
    </xf>
    <xf numFmtId="3" fontId="48" fillId="0" borderId="24" xfId="0" applyNumberFormat="1" applyFont="1" applyBorder="1" applyAlignment="1">
      <alignment horizontal="right" vertical="center" wrapText="1"/>
    </xf>
    <xf numFmtId="3" fontId="48" fillId="0" borderId="11" xfId="0" applyNumberFormat="1" applyFont="1" applyBorder="1" applyAlignment="1">
      <alignment horizontal="right" vertical="center" wrapText="1"/>
    </xf>
    <xf numFmtId="3" fontId="8" fillId="0" borderId="0" xfId="0" applyNumberFormat="1" applyFont="1"/>
    <xf numFmtId="0" fontId="49" fillId="0" borderId="71" xfId="0" applyFont="1" applyBorder="1" applyAlignment="1">
      <alignment horizontal="center" wrapText="1" readingOrder="1"/>
    </xf>
    <xf numFmtId="0" fontId="50" fillId="0" borderId="71" xfId="0" applyFont="1" applyBorder="1" applyAlignment="1">
      <alignment horizontal="left" wrapText="1" readingOrder="1"/>
    </xf>
    <xf numFmtId="0" fontId="51" fillId="0" borderId="71" xfId="0" applyFont="1" applyBorder="1" applyAlignment="1">
      <alignment horizontal="center" wrapText="1" readingOrder="1"/>
    </xf>
    <xf numFmtId="0" fontId="49" fillId="0" borderId="71" xfId="0" applyFont="1" applyBorder="1" applyAlignment="1">
      <alignment horizontal="left" wrapText="1" readingOrder="1"/>
    </xf>
    <xf numFmtId="0" fontId="52" fillId="0" borderId="71" xfId="0" applyFont="1" applyBorder="1" applyAlignment="1">
      <alignment horizontal="center" wrapText="1" readingOrder="1"/>
    </xf>
    <xf numFmtId="0" fontId="54" fillId="0" borderId="41" xfId="0" applyFont="1" applyFill="1" applyBorder="1" applyAlignment="1">
      <alignment horizontal="right" vertical="center" wrapText="1"/>
    </xf>
    <xf numFmtId="0" fontId="58" fillId="0" borderId="65" xfId="0" applyFont="1" applyFill="1" applyBorder="1" applyAlignment="1" applyProtection="1">
      <alignment vertical="center"/>
    </xf>
    <xf numFmtId="0" fontId="59" fillId="0" borderId="17" xfId="0" applyFont="1" applyFill="1" applyBorder="1" applyAlignment="1" applyProtection="1">
      <alignment horizontal="center" vertical="center"/>
    </xf>
    <xf numFmtId="0" fontId="59" fillId="0" borderId="41" xfId="0" applyFont="1" applyFill="1" applyBorder="1" applyAlignment="1" applyProtection="1">
      <alignment horizontal="center" vertical="center"/>
    </xf>
    <xf numFmtId="0" fontId="59" fillId="0" borderId="42" xfId="0" applyFont="1" applyFill="1" applyBorder="1" applyAlignment="1" applyProtection="1">
      <alignment horizontal="center" vertical="center"/>
    </xf>
    <xf numFmtId="0" fontId="60" fillId="0" borderId="26" xfId="0" applyFont="1" applyFill="1" applyBorder="1" applyAlignment="1">
      <alignment horizontal="center" wrapText="1"/>
    </xf>
    <xf numFmtId="1" fontId="59" fillId="25" borderId="65" xfId="0" applyNumberFormat="1" applyFont="1" applyFill="1" applyBorder="1" applyAlignment="1" applyProtection="1">
      <alignment vertical="center"/>
    </xf>
    <xf numFmtId="0" fontId="59" fillId="25" borderId="17" xfId="0" applyFont="1" applyFill="1" applyBorder="1" applyAlignment="1" applyProtection="1">
      <alignment vertical="center"/>
    </xf>
    <xf numFmtId="1" fontId="59" fillId="26" borderId="65" xfId="0" applyNumberFormat="1" applyFont="1" applyFill="1" applyBorder="1" applyAlignment="1" applyProtection="1">
      <alignment vertical="center"/>
    </xf>
    <xf numFmtId="0" fontId="59" fillId="26" borderId="17" xfId="0" applyFont="1" applyFill="1" applyBorder="1" applyAlignment="1" applyProtection="1">
      <alignment vertical="center"/>
    </xf>
    <xf numFmtId="1" fontId="59" fillId="27" borderId="65" xfId="0" applyNumberFormat="1" applyFont="1" applyFill="1" applyBorder="1" applyAlignment="1" applyProtection="1">
      <alignment vertical="center"/>
    </xf>
    <xf numFmtId="0" fontId="59" fillId="27" borderId="17" xfId="0" applyFont="1" applyFill="1" applyBorder="1" applyAlignment="1" applyProtection="1">
      <alignment vertical="center"/>
    </xf>
    <xf numFmtId="1" fontId="59" fillId="0" borderId="65" xfId="0" applyNumberFormat="1" applyFont="1" applyFill="1" applyBorder="1" applyAlignment="1" applyProtection="1">
      <alignment vertical="center"/>
    </xf>
    <xf numFmtId="0" fontId="58" fillId="0" borderId="17" xfId="0" applyFont="1" applyFill="1" applyBorder="1" applyAlignment="1" applyProtection="1">
      <alignment vertical="center"/>
    </xf>
    <xf numFmtId="0" fontId="59" fillId="0" borderId="17" xfId="0" applyFont="1" applyFill="1" applyBorder="1" applyAlignment="1" applyProtection="1">
      <alignment vertical="center"/>
    </xf>
    <xf numFmtId="0" fontId="61" fillId="0" borderId="17" xfId="0" applyFont="1" applyFill="1" applyBorder="1" applyAlignment="1" applyProtection="1">
      <alignment vertical="center"/>
    </xf>
    <xf numFmtId="1" fontId="58" fillId="0" borderId="65" xfId="0" applyNumberFormat="1" applyFont="1" applyFill="1" applyBorder="1" applyAlignment="1" applyProtection="1">
      <alignment vertical="center"/>
    </xf>
    <xf numFmtId="0" fontId="62" fillId="0" borderId="17" xfId="0" applyFont="1" applyFill="1" applyBorder="1" applyAlignment="1" applyProtection="1">
      <alignment vertical="center"/>
    </xf>
    <xf numFmtId="1" fontId="59" fillId="25" borderId="17" xfId="0" applyNumberFormat="1" applyFont="1" applyFill="1" applyBorder="1" applyAlignment="1" applyProtection="1">
      <alignment vertical="center"/>
    </xf>
    <xf numFmtId="1" fontId="59" fillId="28" borderId="65" xfId="0" applyNumberFormat="1" applyFont="1" applyFill="1" applyBorder="1" applyAlignment="1" applyProtection="1">
      <alignment vertical="center"/>
    </xf>
    <xf numFmtId="1" fontId="62" fillId="28" borderId="17" xfId="0" applyNumberFormat="1" applyFont="1" applyFill="1" applyBorder="1" applyAlignment="1" applyProtection="1">
      <alignment vertical="center"/>
    </xf>
    <xf numFmtId="1" fontId="59" fillId="25" borderId="18" xfId="0" applyNumberFormat="1" applyFont="1" applyFill="1" applyBorder="1" applyAlignment="1" applyProtection="1">
      <alignment vertical="center"/>
    </xf>
    <xf numFmtId="1" fontId="59" fillId="25" borderId="19" xfId="0" applyNumberFormat="1" applyFont="1" applyFill="1" applyBorder="1" applyAlignment="1" applyProtection="1">
      <alignment vertical="center"/>
    </xf>
    <xf numFmtId="4" fontId="57" fillId="28" borderId="0" xfId="2" applyNumberFormat="1" applyFont="1" applyFill="1" applyBorder="1" applyAlignment="1">
      <alignment vertical="center"/>
    </xf>
    <xf numFmtId="0" fontId="63" fillId="0" borderId="0" xfId="0" applyFont="1" applyFill="1" applyBorder="1" applyAlignment="1" applyProtection="1">
      <alignment vertical="center"/>
    </xf>
    <xf numFmtId="0" fontId="60" fillId="0" borderId="0" xfId="0" applyFont="1" applyFill="1" applyBorder="1" applyAlignment="1" applyProtection="1">
      <alignment vertical="center"/>
    </xf>
    <xf numFmtId="0" fontId="60" fillId="0" borderId="0" xfId="0" applyFont="1" applyFill="1" applyBorder="1" applyAlignment="1">
      <alignment vertical="center"/>
    </xf>
    <xf numFmtId="0" fontId="53" fillId="13" borderId="41" xfId="0" applyFont="1" applyFill="1" applyBorder="1" applyAlignment="1">
      <alignment horizontal="center" vertical="center" wrapText="1"/>
    </xf>
    <xf numFmtId="3" fontId="53" fillId="13" borderId="41" xfId="0" applyNumberFormat="1" applyFont="1" applyFill="1" applyBorder="1" applyAlignment="1">
      <alignment horizontal="center" vertical="center" wrapText="1"/>
    </xf>
    <xf numFmtId="0" fontId="54" fillId="13" borderId="41" xfId="0" applyFont="1" applyFill="1" applyBorder="1" applyAlignment="1">
      <alignment horizontal="left" vertical="center" wrapText="1"/>
    </xf>
    <xf numFmtId="165" fontId="43" fillId="2" borderId="0" xfId="1" applyNumberFormat="1" applyFont="1" applyFill="1" applyBorder="1" applyAlignment="1" applyProtection="1">
      <alignment horizontal="center" vertical="center" wrapText="1"/>
    </xf>
    <xf numFmtId="0" fontId="39" fillId="0" borderId="0" xfId="0" applyFont="1" applyFill="1" applyBorder="1" applyAlignment="1">
      <alignment horizontal="left" vertical="center" wrapText="1"/>
    </xf>
    <xf numFmtId="0" fontId="65" fillId="17" borderId="0" xfId="0" applyFont="1" applyFill="1" applyBorder="1" applyAlignment="1">
      <alignment horizontal="center"/>
    </xf>
    <xf numFmtId="0" fontId="39" fillId="16" borderId="0" xfId="0" applyFont="1" applyFill="1" applyBorder="1" applyAlignment="1">
      <alignment horizontal="left" vertical="center" wrapText="1"/>
    </xf>
    <xf numFmtId="0" fontId="65" fillId="0" borderId="0" xfId="0" applyFont="1" applyFill="1" applyBorder="1" applyAlignment="1">
      <alignment horizontal="center"/>
    </xf>
    <xf numFmtId="0" fontId="33" fillId="0" borderId="0" xfId="0" applyFont="1" applyBorder="1"/>
    <xf numFmtId="0" fontId="65" fillId="0" borderId="0" xfId="0" applyFont="1" applyFill="1" applyBorder="1" applyAlignment="1">
      <alignment vertical="center" wrapText="1"/>
    </xf>
    <xf numFmtId="0" fontId="65" fillId="0" borderId="0" xfId="0" applyFont="1" applyFill="1" applyBorder="1" applyAlignment="1">
      <alignment wrapText="1"/>
    </xf>
    <xf numFmtId="0" fontId="65" fillId="0" borderId="0" xfId="0" applyFont="1" applyFill="1" applyBorder="1" applyAlignment="1">
      <alignment horizontal="left" vertical="center" wrapText="1"/>
    </xf>
    <xf numFmtId="0" fontId="65" fillId="0" borderId="0" xfId="0" applyFont="1" applyFill="1" applyBorder="1" applyAlignment="1">
      <alignment horizontal="left" vertical="center"/>
    </xf>
    <xf numFmtId="0" fontId="65" fillId="0" borderId="0" xfId="4" applyFont="1" applyFill="1" applyBorder="1" applyAlignment="1">
      <alignment vertical="center" wrapText="1"/>
    </xf>
    <xf numFmtId="0" fontId="65" fillId="0" borderId="0" xfId="0" applyFont="1" applyBorder="1" applyAlignment="1">
      <alignment vertical="center" wrapText="1"/>
    </xf>
    <xf numFmtId="0" fontId="65" fillId="18" borderId="0" xfId="4" applyFont="1" applyFill="1" applyBorder="1" applyAlignment="1">
      <alignment vertical="center" wrapText="1"/>
    </xf>
    <xf numFmtId="0" fontId="39" fillId="0" borderId="41" xfId="0" applyFont="1" applyFill="1" applyBorder="1" applyAlignment="1">
      <alignment horizontal="center" vertical="center"/>
    </xf>
    <xf numFmtId="0" fontId="39" fillId="0" borderId="41" xfId="0" applyFont="1" applyBorder="1" applyAlignment="1">
      <alignment horizontal="left" vertical="center" wrapText="1"/>
    </xf>
    <xf numFmtId="0" fontId="67" fillId="0" borderId="41" xfId="0" applyFont="1" applyFill="1" applyBorder="1" applyAlignment="1">
      <alignment horizontal="left" vertical="center" wrapText="1"/>
    </xf>
    <xf numFmtId="0" fontId="64" fillId="0"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38" fillId="16" borderId="41" xfId="0" applyFont="1" applyFill="1" applyBorder="1" applyAlignment="1">
      <alignment horizontal="center" vertical="center" wrapText="1"/>
    </xf>
    <xf numFmtId="0" fontId="38" fillId="0" borderId="41" xfId="0" applyFont="1" applyFill="1" applyBorder="1" applyAlignment="1">
      <alignment vertical="center" wrapText="1"/>
    </xf>
    <xf numFmtId="0" fontId="35" fillId="0" borderId="0" xfId="0" applyFont="1" applyAlignment="1">
      <alignment horizontal="center" vertical="center"/>
    </xf>
    <xf numFmtId="0" fontId="38" fillId="0" borderId="41" xfId="0" applyFont="1" applyFill="1" applyBorder="1" applyAlignment="1">
      <alignment horizontal="center" vertical="center"/>
    </xf>
    <xf numFmtId="0" fontId="41" fillId="0" borderId="0" xfId="0" applyFont="1" applyAlignment="1">
      <alignment horizontal="center" vertical="center"/>
    </xf>
    <xf numFmtId="0" fontId="33" fillId="0" borderId="0" xfId="0" applyFont="1" applyAlignment="1">
      <alignment horizontal="center" vertical="center"/>
    </xf>
    <xf numFmtId="0" fontId="41" fillId="0" borderId="0" xfId="0" applyFont="1" applyAlignment="1">
      <alignment horizontal="left" vertical="center" wrapText="1"/>
    </xf>
    <xf numFmtId="0" fontId="33" fillId="0" borderId="0" xfId="0" applyFont="1" applyAlignment="1">
      <alignment horizontal="left" vertical="center" wrapText="1"/>
    </xf>
    <xf numFmtId="0" fontId="40" fillId="0" borderId="0" xfId="0" applyFont="1" applyBorder="1" applyAlignment="1">
      <alignment horizontal="center"/>
    </xf>
    <xf numFmtId="0" fontId="41" fillId="0" borderId="0" xfId="0" applyFont="1" applyBorder="1" applyAlignment="1">
      <alignment vertical="center" wrapText="1"/>
    </xf>
    <xf numFmtId="0" fontId="42" fillId="0" borderId="0" xfId="0" applyFont="1" applyBorder="1" applyAlignment="1">
      <alignment horizontal="center"/>
    </xf>
    <xf numFmtId="0" fontId="33" fillId="0" borderId="0" xfId="0" applyFont="1" applyFill="1" applyBorder="1"/>
    <xf numFmtId="0" fontId="66" fillId="0" borderId="0" xfId="0" applyFont="1" applyBorder="1" applyAlignment="1">
      <alignment vertical="center" wrapText="1"/>
    </xf>
    <xf numFmtId="0" fontId="33" fillId="0" borderId="0" xfId="0" applyFont="1" applyBorder="1" applyAlignment="1">
      <alignment vertical="center" wrapText="1"/>
    </xf>
    <xf numFmtId="0" fontId="69" fillId="0" borderId="0" xfId="0" applyFont="1" applyAlignment="1">
      <alignment horizontal="left" vertical="center" wrapText="1"/>
    </xf>
    <xf numFmtId="0" fontId="35" fillId="0" borderId="0" xfId="0" applyFont="1" applyAlignment="1">
      <alignment horizontal="left" vertical="center" wrapText="1"/>
    </xf>
    <xf numFmtId="0" fontId="64" fillId="16" borderId="44" xfId="0" applyFont="1" applyFill="1" applyBorder="1" applyAlignment="1">
      <alignment horizontal="left" vertical="center" wrapText="1"/>
    </xf>
    <xf numFmtId="0" fontId="64" fillId="16" borderId="41" xfId="0" applyFont="1" applyFill="1" applyBorder="1" applyAlignment="1">
      <alignment horizontal="left" vertical="center" wrapText="1"/>
    </xf>
    <xf numFmtId="0" fontId="70" fillId="0" borderId="0" xfId="0" applyFont="1" applyAlignment="1">
      <alignment horizontal="left" vertical="center" wrapText="1"/>
    </xf>
    <xf numFmtId="0" fontId="71" fillId="0" borderId="0" xfId="0" applyFont="1" applyAlignment="1">
      <alignment horizontal="left" vertical="center" wrapText="1"/>
    </xf>
    <xf numFmtId="0" fontId="72" fillId="0" borderId="0" xfId="0" applyFont="1" applyAlignment="1">
      <alignment horizontal="left" vertical="center" wrapText="1"/>
    </xf>
    <xf numFmtId="3" fontId="74" fillId="18" borderId="41" xfId="0" applyNumberFormat="1" applyFont="1" applyFill="1" applyBorder="1" applyAlignment="1">
      <alignment horizontal="right" vertical="center" wrapText="1"/>
    </xf>
    <xf numFmtId="3" fontId="73" fillId="18" borderId="41" xfId="0" applyNumberFormat="1" applyFont="1" applyFill="1" applyBorder="1" applyAlignment="1">
      <alignment horizontal="right" vertical="center" wrapText="1"/>
    </xf>
    <xf numFmtId="0" fontId="74" fillId="18" borderId="41" xfId="0" applyFont="1" applyFill="1" applyBorder="1" applyAlignment="1">
      <alignment horizontal="right" vertical="center" wrapText="1"/>
    </xf>
    <xf numFmtId="3" fontId="74" fillId="13" borderId="41" xfId="0" applyNumberFormat="1" applyFont="1" applyFill="1" applyBorder="1" applyAlignment="1">
      <alignment horizontal="right" vertical="center" wrapText="1"/>
    </xf>
    <xf numFmtId="3" fontId="73" fillId="13" borderId="41" xfId="0" applyNumberFormat="1" applyFont="1" applyFill="1" applyBorder="1" applyAlignment="1">
      <alignment horizontal="right" vertical="center" wrapText="1"/>
    </xf>
    <xf numFmtId="9" fontId="73" fillId="13" borderId="41" xfId="2" applyFont="1" applyFill="1" applyBorder="1" applyAlignment="1">
      <alignment horizontal="right" vertical="center" wrapText="1"/>
    </xf>
    <xf numFmtId="0" fontId="74" fillId="13" borderId="41" xfId="0" applyFont="1" applyFill="1" applyBorder="1" applyAlignment="1">
      <alignment horizontal="right" vertical="center" wrapText="1"/>
    </xf>
    <xf numFmtId="3" fontId="74" fillId="13" borderId="41" xfId="0" applyNumberFormat="1" applyFont="1" applyFill="1" applyBorder="1" applyAlignment="1">
      <alignment horizontal="left" vertical="center" wrapText="1"/>
    </xf>
    <xf numFmtId="0" fontId="74" fillId="16" borderId="41" xfId="0" applyFont="1" applyFill="1" applyBorder="1" applyAlignment="1">
      <alignment horizontal="right" vertical="center" wrapText="1"/>
    </xf>
    <xf numFmtId="0" fontId="73" fillId="17" borderId="41" xfId="0" applyFont="1" applyFill="1" applyBorder="1" applyAlignment="1">
      <alignment horizontal="center" vertical="center" wrapText="1"/>
    </xf>
    <xf numFmtId="0" fontId="74" fillId="17" borderId="41" xfId="0" applyFont="1" applyFill="1" applyBorder="1" applyAlignment="1">
      <alignment horizontal="right" vertical="center" wrapText="1"/>
    </xf>
    <xf numFmtId="0" fontId="73" fillId="13" borderId="41" xfId="0" applyFont="1" applyFill="1" applyBorder="1" applyAlignment="1">
      <alignment horizontal="center" vertical="center" wrapText="1"/>
    </xf>
    <xf numFmtId="0" fontId="74" fillId="0" borderId="41" xfId="0" applyFont="1" applyFill="1" applyBorder="1" applyAlignment="1">
      <alignment horizontal="right" vertical="center" wrapText="1"/>
    </xf>
    <xf numFmtId="0" fontId="54" fillId="0" borderId="41" xfId="0" applyFont="1" applyFill="1" applyBorder="1" applyAlignment="1">
      <alignment vertical="center" wrapText="1"/>
    </xf>
    <xf numFmtId="0" fontId="73" fillId="0" borderId="41" xfId="0" applyFont="1" applyFill="1" applyBorder="1" applyAlignment="1">
      <alignment horizontal="center" vertical="center" wrapText="1"/>
    </xf>
    <xf numFmtId="4" fontId="53" fillId="13" borderId="41" xfId="0" applyNumberFormat="1" applyFont="1" applyFill="1" applyBorder="1" applyAlignment="1">
      <alignment horizontal="center" vertical="center" wrapText="1"/>
    </xf>
    <xf numFmtId="9" fontId="53" fillId="13" borderId="41" xfId="2" applyFont="1" applyFill="1" applyBorder="1" applyAlignment="1">
      <alignment horizontal="center" vertical="center" wrapText="1"/>
    </xf>
    <xf numFmtId="0" fontId="53" fillId="16" borderId="41" xfId="0" applyFont="1" applyFill="1" applyBorder="1" applyAlignment="1">
      <alignment horizontal="center" vertical="center" wrapText="1"/>
    </xf>
    <xf numFmtId="1" fontId="53" fillId="0" borderId="41" xfId="0" applyNumberFormat="1" applyFont="1" applyFill="1" applyBorder="1" applyAlignment="1">
      <alignment horizontal="center" vertical="center" wrapText="1"/>
    </xf>
    <xf numFmtId="4" fontId="53" fillId="0" borderId="41" xfId="0" applyNumberFormat="1" applyFont="1" applyFill="1" applyBorder="1" applyAlignment="1">
      <alignment horizontal="center" vertical="center" wrapText="1"/>
    </xf>
    <xf numFmtId="4" fontId="53" fillId="16" borderId="41" xfId="0" applyNumberFormat="1" applyFont="1" applyFill="1" applyBorder="1" applyAlignment="1">
      <alignment horizontal="center" vertical="center" wrapText="1"/>
    </xf>
    <xf numFmtId="9" fontId="53" fillId="16" borderId="41" xfId="2" applyFont="1" applyFill="1" applyBorder="1" applyAlignment="1">
      <alignment horizontal="center" vertical="center" wrapText="1"/>
    </xf>
    <xf numFmtId="0" fontId="53" fillId="0" borderId="59" xfId="0" applyFont="1" applyFill="1" applyBorder="1" applyAlignment="1">
      <alignment horizontal="center" vertical="center" wrapText="1"/>
    </xf>
    <xf numFmtId="0" fontId="74" fillId="0" borderId="41" xfId="0" applyFont="1" applyFill="1" applyBorder="1" applyAlignment="1">
      <alignment vertical="center" wrapText="1"/>
    </xf>
    <xf numFmtId="0" fontId="54" fillId="0" borderId="41" xfId="0" applyFont="1" applyFill="1" applyBorder="1" applyAlignment="1">
      <alignment horizontal="left" vertical="center" wrapText="1"/>
    </xf>
    <xf numFmtId="0" fontId="74" fillId="17" borderId="0" xfId="0" applyFont="1" applyFill="1" applyAlignment="1">
      <alignment vertical="center" wrapText="1"/>
    </xf>
    <xf numFmtId="0" fontId="54" fillId="0" borderId="0" xfId="0" applyFont="1" applyFill="1" applyAlignment="1">
      <alignment vertical="center" wrapText="1"/>
    </xf>
    <xf numFmtId="2" fontId="53" fillId="0" borderId="41" xfId="0" applyNumberFormat="1" applyFont="1" applyFill="1" applyBorder="1" applyAlignment="1">
      <alignment horizontal="center" vertical="center" wrapText="1"/>
    </xf>
    <xf numFmtId="167" fontId="53" fillId="0" borderId="41" xfId="2" applyNumberFormat="1" applyFont="1" applyFill="1" applyBorder="1" applyAlignment="1">
      <alignment horizontal="center" vertical="center" wrapText="1"/>
    </xf>
    <xf numFmtId="167" fontId="53" fillId="13" borderId="41" xfId="2" applyNumberFormat="1" applyFont="1" applyFill="1" applyBorder="1" applyAlignment="1">
      <alignment horizontal="center" vertical="center" wrapText="1"/>
    </xf>
    <xf numFmtId="167" fontId="53" fillId="13" borderId="41" xfId="0" applyNumberFormat="1" applyFont="1" applyFill="1" applyBorder="1" applyAlignment="1">
      <alignment horizontal="center" vertical="center" wrapText="1"/>
    </xf>
    <xf numFmtId="167" fontId="53" fillId="0" borderId="41" xfId="0" applyNumberFormat="1" applyFont="1" applyFill="1" applyBorder="1" applyAlignment="1">
      <alignment horizontal="center" vertical="center" wrapText="1"/>
    </xf>
    <xf numFmtId="167" fontId="53" fillId="16" borderId="41" xfId="0" applyNumberFormat="1" applyFont="1" applyFill="1" applyBorder="1" applyAlignment="1">
      <alignment horizontal="center" vertical="center" wrapText="1"/>
    </xf>
    <xf numFmtId="167" fontId="53" fillId="18" borderId="41" xfId="0" applyNumberFormat="1" applyFont="1" applyFill="1" applyBorder="1" applyAlignment="1">
      <alignment horizontal="center" vertical="center" wrapText="1"/>
    </xf>
    <xf numFmtId="167" fontId="53" fillId="17" borderId="41" xfId="0" applyNumberFormat="1" applyFont="1" applyFill="1" applyBorder="1" applyAlignment="1">
      <alignment horizontal="center" vertical="center" wrapText="1"/>
    </xf>
    <xf numFmtId="167" fontId="53" fillId="18" borderId="41" xfId="2" applyNumberFormat="1" applyFont="1" applyFill="1" applyBorder="1" applyAlignment="1">
      <alignment horizontal="center" vertical="center" wrapText="1"/>
    </xf>
    <xf numFmtId="0" fontId="54" fillId="18" borderId="41" xfId="0" applyFont="1" applyFill="1" applyBorder="1" applyAlignment="1">
      <alignment horizontal="left" vertical="center" wrapText="1"/>
    </xf>
    <xf numFmtId="0" fontId="54" fillId="17" borderId="41" xfId="0" applyFont="1" applyFill="1" applyBorder="1" applyAlignment="1">
      <alignment horizontal="left" vertical="center" wrapText="1"/>
    </xf>
    <xf numFmtId="0" fontId="69" fillId="0" borderId="0" xfId="0" applyFont="1" applyAlignment="1">
      <alignment horizontal="center" vertical="center"/>
    </xf>
    <xf numFmtId="0" fontId="13" fillId="16" borderId="41" xfId="0" applyFont="1" applyFill="1" applyBorder="1" applyAlignment="1">
      <alignment horizontal="center" vertical="center" wrapText="1"/>
    </xf>
    <xf numFmtId="0" fontId="72" fillId="0" borderId="0" xfId="0" applyFont="1" applyAlignment="1">
      <alignment horizontal="center" vertical="center"/>
    </xf>
    <xf numFmtId="3" fontId="53" fillId="18" borderId="41" xfId="0" applyNumberFormat="1" applyFont="1" applyFill="1" applyBorder="1" applyAlignment="1">
      <alignment horizontal="center" vertical="center" wrapText="1"/>
    </xf>
    <xf numFmtId="0" fontId="53" fillId="17" borderId="41" xfId="0" applyFont="1" applyFill="1" applyBorder="1" applyAlignment="1">
      <alignment horizontal="center" vertical="center" wrapText="1"/>
    </xf>
    <xf numFmtId="0" fontId="53" fillId="0" borderId="41" xfId="0" applyFont="1" applyFill="1" applyBorder="1" applyAlignment="1">
      <alignment horizontal="center" vertical="center" wrapText="1"/>
    </xf>
    <xf numFmtId="0" fontId="53" fillId="18" borderId="41" xfId="0" applyFont="1" applyFill="1" applyBorder="1" applyAlignment="1">
      <alignment horizontal="center" vertical="center" wrapText="1"/>
    </xf>
    <xf numFmtId="9" fontId="53" fillId="17" borderId="41" xfId="2" applyFont="1" applyFill="1" applyBorder="1" applyAlignment="1">
      <alignment horizontal="center" vertical="center" wrapText="1"/>
    </xf>
    <xf numFmtId="167" fontId="53" fillId="17" borderId="41" xfId="2" applyNumberFormat="1" applyFont="1" applyFill="1" applyBorder="1" applyAlignment="1">
      <alignment horizontal="center" vertical="center" wrapText="1"/>
    </xf>
    <xf numFmtId="0" fontId="53" fillId="0" borderId="0" xfId="0" applyFont="1" applyFill="1" applyBorder="1" applyAlignment="1">
      <alignment horizontal="center" vertical="center" wrapText="1"/>
    </xf>
    <xf numFmtId="0" fontId="54" fillId="0" borderId="0" xfId="0" applyFont="1" applyFill="1" applyBorder="1" applyAlignment="1">
      <alignment vertical="center"/>
    </xf>
    <xf numFmtId="0" fontId="54" fillId="0" borderId="0" xfId="0" applyFont="1" applyBorder="1" applyAlignment="1">
      <alignment vertical="center"/>
    </xf>
    <xf numFmtId="167" fontId="53" fillId="7" borderId="41" xfId="0" applyNumberFormat="1" applyFont="1" applyFill="1" applyBorder="1" applyAlignment="1">
      <alignment horizontal="center" vertical="top" wrapText="1"/>
    </xf>
    <xf numFmtId="167" fontId="53" fillId="9" borderId="41" xfId="0" applyNumberFormat="1" applyFont="1" applyFill="1" applyBorder="1" applyAlignment="1">
      <alignment horizontal="center" vertical="center" wrapText="1"/>
    </xf>
    <xf numFmtId="0" fontId="56" fillId="18" borderId="41" xfId="0" applyFont="1" applyFill="1" applyBorder="1" applyAlignment="1">
      <alignment vertical="center" wrapText="1"/>
    </xf>
    <xf numFmtId="0" fontId="74" fillId="0" borderId="0" xfId="0" applyFont="1" applyFill="1" applyBorder="1" applyAlignment="1">
      <alignment vertical="center" wrapText="1"/>
    </xf>
    <xf numFmtId="0" fontId="74" fillId="18" borderId="0" xfId="0" applyFont="1" applyFill="1" applyBorder="1" applyAlignment="1">
      <alignment vertical="center" wrapText="1"/>
    </xf>
    <xf numFmtId="0" fontId="56" fillId="13" borderId="41" xfId="0" applyFont="1" applyFill="1" applyBorder="1" applyAlignment="1">
      <alignment vertical="center" wrapText="1"/>
    </xf>
    <xf numFmtId="0" fontId="74" fillId="13" borderId="0" xfId="0" applyFont="1" applyFill="1" applyBorder="1" applyAlignment="1">
      <alignment vertical="center" wrapText="1"/>
    </xf>
    <xf numFmtId="0" fontId="55" fillId="0" borderId="41" xfId="0" applyFont="1" applyFill="1" applyBorder="1" applyAlignment="1">
      <alignment vertical="center" wrapText="1"/>
    </xf>
    <xf numFmtId="0" fontId="74" fillId="0" borderId="0" xfId="0" applyFont="1" applyFill="1" applyAlignment="1">
      <alignment vertical="center" wrapText="1"/>
    </xf>
    <xf numFmtId="0" fontId="56" fillId="17" borderId="41" xfId="0" applyFont="1" applyFill="1" applyBorder="1" applyAlignment="1">
      <alignment vertical="center" wrapText="1"/>
    </xf>
    <xf numFmtId="0" fontId="74" fillId="13" borderId="0" xfId="0" applyFont="1" applyFill="1" applyAlignment="1">
      <alignment vertical="center" wrapText="1"/>
    </xf>
    <xf numFmtId="0" fontId="74" fillId="18" borderId="0" xfId="0" applyFont="1" applyFill="1" applyAlignment="1">
      <alignment vertical="center" wrapText="1"/>
    </xf>
    <xf numFmtId="0" fontId="74" fillId="0" borderId="0" xfId="0" applyFont="1" applyFill="1" applyBorder="1" applyAlignment="1">
      <alignment horizontal="center" vertical="center" wrapText="1"/>
    </xf>
    <xf numFmtId="0" fontId="56" fillId="13" borderId="41" xfId="0" applyNumberFormat="1" applyFont="1" applyFill="1" applyBorder="1" applyAlignment="1">
      <alignment vertical="center" wrapText="1"/>
    </xf>
    <xf numFmtId="0" fontId="55" fillId="0" borderId="41" xfId="0" applyNumberFormat="1" applyFont="1" applyFill="1" applyBorder="1" applyAlignment="1">
      <alignment vertical="center" wrapText="1"/>
    </xf>
    <xf numFmtId="0" fontId="53" fillId="9" borderId="59" xfId="0" applyFont="1" applyFill="1" applyBorder="1" applyAlignment="1">
      <alignment horizontal="center" vertical="center" wrapText="1"/>
    </xf>
    <xf numFmtId="4" fontId="53" fillId="9" borderId="41" xfId="0" applyNumberFormat="1" applyFont="1" applyFill="1" applyBorder="1" applyAlignment="1">
      <alignment horizontal="center" vertical="center" wrapText="1"/>
    </xf>
    <xf numFmtId="3" fontId="53" fillId="18" borderId="59" xfId="0" applyNumberFormat="1" applyFont="1" applyFill="1" applyBorder="1" applyAlignment="1">
      <alignment horizontal="center" vertical="center" wrapText="1"/>
    </xf>
    <xf numFmtId="4" fontId="53" fillId="18" borderId="41" xfId="0" applyNumberFormat="1" applyFont="1" applyFill="1" applyBorder="1" applyAlignment="1">
      <alignment horizontal="center" vertical="center" wrapText="1"/>
    </xf>
    <xf numFmtId="3" fontId="53" fillId="13" borderId="59" xfId="0" applyNumberFormat="1" applyFont="1" applyFill="1" applyBorder="1" applyAlignment="1">
      <alignment horizontal="center" vertical="center" wrapText="1"/>
    </xf>
    <xf numFmtId="0" fontId="53" fillId="17" borderId="59" xfId="0" applyFont="1" applyFill="1" applyBorder="1" applyAlignment="1">
      <alignment horizontal="center" vertical="center" wrapText="1"/>
    </xf>
    <xf numFmtId="4" fontId="53" fillId="17" borderId="41" xfId="0" applyNumberFormat="1" applyFont="1" applyFill="1" applyBorder="1" applyAlignment="1">
      <alignment horizontal="center" vertical="center" wrapText="1"/>
    </xf>
    <xf numFmtId="0" fontId="53" fillId="13" borderId="59" xfId="0" applyFont="1" applyFill="1" applyBorder="1" applyAlignment="1">
      <alignment horizontal="center" vertical="center" wrapText="1"/>
    </xf>
    <xf numFmtId="0" fontId="53" fillId="0" borderId="0" xfId="0" applyFont="1" applyFill="1" applyAlignment="1">
      <alignment horizontal="center" vertical="center" wrapText="1"/>
    </xf>
    <xf numFmtId="2" fontId="53" fillId="7" borderId="41" xfId="0" applyNumberFormat="1" applyFont="1" applyFill="1" applyBorder="1" applyAlignment="1">
      <alignment horizontal="center" vertical="top" wrapText="1"/>
    </xf>
    <xf numFmtId="2" fontId="73" fillId="18" borderId="41" xfId="0" applyNumberFormat="1" applyFont="1" applyFill="1" applyBorder="1" applyAlignment="1">
      <alignment horizontal="center" vertical="center" wrapText="1"/>
    </xf>
    <xf numFmtId="2" fontId="73" fillId="13" borderId="41" xfId="0" applyNumberFormat="1" applyFont="1" applyFill="1" applyBorder="1" applyAlignment="1">
      <alignment horizontal="center" vertical="center" wrapText="1"/>
    </xf>
    <xf numFmtId="0" fontId="54" fillId="0" borderId="41" xfId="0" applyFont="1" applyFill="1" applyBorder="1" applyAlignment="1">
      <alignment vertical="center" wrapText="1"/>
    </xf>
    <xf numFmtId="4" fontId="53" fillId="0" borderId="41" xfId="0" applyNumberFormat="1" applyFont="1" applyFill="1" applyBorder="1" applyAlignment="1">
      <alignment horizontal="center" vertical="center" wrapText="1"/>
    </xf>
    <xf numFmtId="9" fontId="53" fillId="0" borderId="41" xfId="2" applyFont="1" applyFill="1" applyBorder="1" applyAlignment="1">
      <alignment horizontal="center" vertical="center" wrapText="1"/>
    </xf>
    <xf numFmtId="164" fontId="53" fillId="0" borderId="41" xfId="1" applyFont="1" applyFill="1" applyBorder="1" applyAlignment="1">
      <alignment horizontal="center" vertical="center" wrapText="1"/>
    </xf>
    <xf numFmtId="0" fontId="53" fillId="0" borderId="41" xfId="0" applyFont="1" applyFill="1" applyBorder="1" applyAlignment="1">
      <alignment horizontal="center" vertical="center" wrapText="1"/>
    </xf>
    <xf numFmtId="2" fontId="53" fillId="16" borderId="41" xfId="0" applyNumberFormat="1" applyFont="1" applyFill="1" applyBorder="1" applyAlignment="1">
      <alignment horizontal="center" vertical="center" wrapText="1"/>
    </xf>
    <xf numFmtId="164" fontId="53" fillId="16" borderId="41" xfId="1" applyFont="1" applyFill="1" applyBorder="1" applyAlignment="1">
      <alignment horizontal="center" vertical="center" wrapText="1"/>
    </xf>
    <xf numFmtId="3" fontId="54" fillId="16" borderId="41" xfId="0" applyNumberFormat="1" applyFont="1" applyFill="1" applyBorder="1" applyAlignment="1">
      <alignment vertical="center" wrapText="1"/>
    </xf>
    <xf numFmtId="2" fontId="53" fillId="17" borderId="41" xfId="0" applyNumberFormat="1" applyFont="1" applyFill="1" applyBorder="1" applyAlignment="1">
      <alignment horizontal="center" vertical="center" wrapText="1"/>
    </xf>
    <xf numFmtId="164" fontId="53" fillId="17" borderId="41" xfId="1" applyFont="1" applyFill="1" applyBorder="1" applyAlignment="1">
      <alignment horizontal="center" vertical="center" wrapText="1"/>
    </xf>
    <xf numFmtId="3" fontId="54" fillId="17" borderId="41" xfId="0" applyNumberFormat="1" applyFont="1" applyFill="1" applyBorder="1" applyAlignment="1">
      <alignment vertical="center" wrapText="1"/>
    </xf>
    <xf numFmtId="2" fontId="53" fillId="13" borderId="41" xfId="0" applyNumberFormat="1" applyFont="1" applyFill="1" applyBorder="1" applyAlignment="1">
      <alignment horizontal="center" vertical="center" wrapText="1"/>
    </xf>
    <xf numFmtId="164" fontId="53" fillId="13" borderId="41" xfId="1" applyFont="1" applyFill="1" applyBorder="1" applyAlignment="1">
      <alignment horizontal="center" vertical="center" wrapText="1"/>
    </xf>
    <xf numFmtId="3" fontId="54" fillId="13" borderId="41" xfId="0" applyNumberFormat="1" applyFont="1" applyFill="1" applyBorder="1" applyAlignment="1">
      <alignment vertical="center" wrapText="1"/>
    </xf>
    <xf numFmtId="2" fontId="53" fillId="18" borderId="41" xfId="0" applyNumberFormat="1" applyFont="1" applyFill="1" applyBorder="1" applyAlignment="1">
      <alignment horizontal="center" vertical="center" wrapText="1"/>
    </xf>
    <xf numFmtId="3" fontId="53" fillId="18" borderId="41" xfId="0" applyNumberFormat="1" applyFont="1" applyFill="1" applyBorder="1" applyAlignment="1">
      <alignment horizontal="right" vertical="center" wrapText="1"/>
    </xf>
    <xf numFmtId="3" fontId="54" fillId="18" borderId="41" xfId="0" applyNumberFormat="1" applyFont="1" applyFill="1" applyBorder="1" applyAlignment="1">
      <alignment horizontal="right" vertical="center" wrapText="1"/>
    </xf>
    <xf numFmtId="0" fontId="54" fillId="18" borderId="41" xfId="0" applyFont="1" applyFill="1" applyBorder="1" applyAlignment="1">
      <alignment horizontal="right" vertical="center" wrapText="1"/>
    </xf>
    <xf numFmtId="3" fontId="53" fillId="13" borderId="41" xfId="0" applyNumberFormat="1" applyFont="1" applyFill="1" applyBorder="1" applyAlignment="1">
      <alignment horizontal="right" vertical="center" wrapText="1"/>
    </xf>
    <xf numFmtId="3" fontId="54" fillId="13" borderId="41" xfId="0" applyNumberFormat="1" applyFont="1" applyFill="1" applyBorder="1" applyAlignment="1">
      <alignment horizontal="right" vertical="center" wrapText="1"/>
    </xf>
    <xf numFmtId="0" fontId="54" fillId="13" borderId="41" xfId="0" applyFont="1" applyFill="1" applyBorder="1" applyAlignment="1">
      <alignment horizontal="right" vertical="center" wrapText="1"/>
    </xf>
    <xf numFmtId="0" fontId="54" fillId="0" borderId="41" xfId="0" applyFont="1" applyFill="1" applyBorder="1" applyAlignment="1">
      <alignment horizontal="center" vertical="center" wrapText="1"/>
    </xf>
    <xf numFmtId="3" fontId="54" fillId="0" borderId="41" xfId="0" applyNumberFormat="1" applyFont="1" applyFill="1" applyBorder="1" applyAlignment="1">
      <alignment vertical="center" wrapText="1"/>
    </xf>
    <xf numFmtId="9" fontId="53" fillId="13" borderId="41" xfId="2" applyFont="1" applyFill="1" applyBorder="1" applyAlignment="1">
      <alignment horizontal="right" vertical="center" wrapText="1"/>
    </xf>
    <xf numFmtId="3" fontId="54" fillId="13" borderId="41" xfId="0" applyNumberFormat="1" applyFont="1" applyFill="1" applyBorder="1" applyAlignment="1">
      <alignment horizontal="left" vertical="center" wrapText="1"/>
    </xf>
    <xf numFmtId="164" fontId="53" fillId="16" borderId="41" xfId="1" applyFont="1" applyFill="1" applyBorder="1" applyAlignment="1">
      <alignment vertical="center" wrapText="1"/>
    </xf>
    <xf numFmtId="9" fontId="53" fillId="16" borderId="41" xfId="2" applyFont="1" applyFill="1" applyBorder="1" applyAlignment="1">
      <alignment vertical="center" wrapText="1"/>
    </xf>
    <xf numFmtId="43" fontId="53" fillId="16" borderId="41" xfId="1" applyNumberFormat="1" applyFont="1" applyFill="1" applyBorder="1" applyAlignment="1">
      <alignment horizontal="center" vertical="center" wrapText="1"/>
    </xf>
    <xf numFmtId="43" fontId="54" fillId="16" borderId="41" xfId="0" applyNumberFormat="1" applyFont="1" applyFill="1" applyBorder="1" applyAlignment="1">
      <alignment horizontal="center" vertical="center" wrapText="1"/>
    </xf>
    <xf numFmtId="164" fontId="53" fillId="18" borderId="41" xfId="1" applyFont="1" applyFill="1" applyBorder="1" applyAlignment="1">
      <alignment vertical="center" wrapText="1"/>
    </xf>
    <xf numFmtId="9" fontId="53" fillId="18" borderId="41" xfId="2" applyFont="1" applyFill="1" applyBorder="1" applyAlignment="1">
      <alignment vertical="center" wrapText="1"/>
    </xf>
    <xf numFmtId="164" fontId="53" fillId="18" borderId="41" xfId="1" applyFont="1" applyFill="1" applyBorder="1" applyAlignment="1">
      <alignment horizontal="center" vertical="center" wrapText="1"/>
    </xf>
    <xf numFmtId="164" fontId="53" fillId="13" borderId="41" xfId="1" applyFont="1" applyFill="1" applyBorder="1" applyAlignment="1">
      <alignment vertical="center" wrapText="1"/>
    </xf>
    <xf numFmtId="9" fontId="53" fillId="13" borderId="41" xfId="2" applyFont="1" applyFill="1" applyBorder="1" applyAlignment="1">
      <alignment vertical="center" wrapText="1"/>
    </xf>
    <xf numFmtId="0" fontId="37" fillId="16" borderId="53" xfId="0" applyFont="1" applyFill="1" applyBorder="1" applyAlignment="1">
      <alignment horizontal="left" vertical="center" wrapText="1"/>
    </xf>
    <xf numFmtId="164" fontId="53" fillId="0" borderId="41" xfId="0" applyNumberFormat="1" applyFont="1" applyFill="1" applyBorder="1" applyAlignment="1">
      <alignment horizontal="right" vertical="center" wrapText="1"/>
    </xf>
    <xf numFmtId="0" fontId="47" fillId="0" borderId="77" xfId="0" applyFont="1" applyBorder="1" applyAlignment="1">
      <alignment vertical="center" wrapText="1"/>
    </xf>
    <xf numFmtId="0" fontId="47" fillId="0" borderId="69" xfId="0" applyFont="1" applyBorder="1" applyAlignment="1">
      <alignment vertical="center" wrapText="1"/>
    </xf>
    <xf numFmtId="0" fontId="78" fillId="0" borderId="77" xfId="0" applyFont="1" applyBorder="1" applyAlignment="1">
      <alignment horizontal="justify" vertical="center" wrapText="1"/>
    </xf>
    <xf numFmtId="9" fontId="78" fillId="0" borderId="68" xfId="0" applyNumberFormat="1" applyFont="1" applyBorder="1" applyAlignment="1">
      <alignment horizontal="center" vertical="center" wrapText="1"/>
    </xf>
    <xf numFmtId="0" fontId="78" fillId="0" borderId="69" xfId="0" applyFont="1" applyBorder="1" applyAlignment="1">
      <alignment horizontal="justify" vertical="center" wrapText="1"/>
    </xf>
    <xf numFmtId="10" fontId="78" fillId="0" borderId="70" xfId="0" applyNumberFormat="1" applyFont="1" applyBorder="1" applyAlignment="1">
      <alignment horizontal="center" vertical="center" wrapText="1"/>
    </xf>
    <xf numFmtId="9" fontId="78" fillId="0" borderId="70" xfId="0" applyNumberFormat="1" applyFont="1" applyBorder="1" applyAlignment="1">
      <alignment horizontal="center" vertical="center" wrapText="1"/>
    </xf>
    <xf numFmtId="0" fontId="78" fillId="0" borderId="77" xfId="0" applyFont="1" applyBorder="1" applyAlignment="1">
      <alignment horizontal="left" vertical="center" wrapText="1" indent="1"/>
    </xf>
    <xf numFmtId="0" fontId="78" fillId="0" borderId="69" xfId="0" applyFont="1" applyBorder="1" applyAlignment="1">
      <alignment horizontal="left" vertical="center" wrapText="1" indent="1"/>
    </xf>
    <xf numFmtId="10" fontId="78" fillId="0" borderId="68" xfId="0" applyNumberFormat="1" applyFont="1" applyBorder="1" applyAlignment="1">
      <alignment horizontal="center" vertical="center" wrapText="1"/>
    </xf>
    <xf numFmtId="0" fontId="47" fillId="0" borderId="77" xfId="0" applyFont="1" applyBorder="1" applyAlignment="1">
      <alignment horizontal="justify" vertical="center" wrapText="1"/>
    </xf>
    <xf numFmtId="0" fontId="47" fillId="0" borderId="69" xfId="0" applyFont="1" applyBorder="1" applyAlignment="1">
      <alignment horizontal="justify" vertical="center" wrapText="1"/>
    </xf>
    <xf numFmtId="9" fontId="46" fillId="0" borderId="68" xfId="0" applyNumberFormat="1" applyFont="1" applyBorder="1" applyAlignment="1">
      <alignment horizontal="center" vertical="center" wrapText="1"/>
    </xf>
    <xf numFmtId="9" fontId="46" fillId="0" borderId="70" xfId="0" applyNumberFormat="1" applyFont="1" applyBorder="1" applyAlignment="1">
      <alignment horizontal="center" vertical="center" wrapText="1"/>
    </xf>
    <xf numFmtId="0" fontId="80" fillId="31" borderId="83" xfId="0" applyFont="1" applyFill="1" applyBorder="1" applyAlignment="1">
      <alignment horizontal="justify" vertical="center" wrapText="1" readingOrder="1"/>
    </xf>
    <xf numFmtId="0" fontId="81" fillId="31" borderId="83" xfId="0" applyFont="1" applyFill="1" applyBorder="1" applyAlignment="1">
      <alignment horizontal="center" vertical="center" wrapText="1" readingOrder="1"/>
    </xf>
    <xf numFmtId="0" fontId="81" fillId="31" borderId="84" xfId="0" applyFont="1" applyFill="1" applyBorder="1" applyAlignment="1">
      <alignment horizontal="center" vertical="center" wrapText="1" readingOrder="1"/>
    </xf>
    <xf numFmtId="0" fontId="81" fillId="30" borderId="84" xfId="0" applyFont="1" applyFill="1" applyBorder="1" applyAlignment="1">
      <alignment horizontal="justify" vertical="center" wrapText="1" readingOrder="1"/>
    </xf>
    <xf numFmtId="0" fontId="81" fillId="30" borderId="84" xfId="0" applyFont="1" applyFill="1" applyBorder="1" applyAlignment="1">
      <alignment horizontal="center" vertical="center" wrapText="1" readingOrder="1"/>
    </xf>
    <xf numFmtId="0" fontId="81" fillId="31" borderId="84" xfId="0" applyFont="1" applyFill="1" applyBorder="1" applyAlignment="1">
      <alignment horizontal="justify" vertical="center" wrapText="1" readingOrder="1"/>
    </xf>
    <xf numFmtId="0" fontId="79" fillId="30" borderId="84" xfId="0" applyFont="1" applyFill="1" applyBorder="1" applyAlignment="1">
      <alignment horizontal="justify" vertical="center" wrapText="1" readingOrder="1"/>
    </xf>
    <xf numFmtId="0" fontId="80" fillId="30" borderId="84" xfId="0" applyFont="1" applyFill="1" applyBorder="1" applyAlignment="1">
      <alignment horizontal="center" vertical="top" wrapText="1"/>
    </xf>
    <xf numFmtId="10" fontId="79" fillId="30" borderId="84" xfId="0" applyNumberFormat="1" applyFont="1" applyFill="1" applyBorder="1" applyAlignment="1">
      <alignment horizontal="center" vertical="center" wrapText="1" readingOrder="1"/>
    </xf>
    <xf numFmtId="0" fontId="82" fillId="30" borderId="82" xfId="0" applyFont="1" applyFill="1" applyBorder="1" applyAlignment="1">
      <alignment horizontal="center" vertical="center" wrapText="1" readingOrder="1"/>
    </xf>
    <xf numFmtId="0" fontId="82" fillId="30" borderId="83" xfId="0" applyFont="1" applyFill="1" applyBorder="1" applyAlignment="1">
      <alignment horizontal="center" vertical="center" wrapText="1" readingOrder="1"/>
    </xf>
    <xf numFmtId="0" fontId="47" fillId="0" borderId="24" xfId="0" applyFont="1" applyBorder="1" applyAlignment="1">
      <alignment horizontal="center" vertical="center" wrapText="1"/>
    </xf>
    <xf numFmtId="0" fontId="47" fillId="0" borderId="34" xfId="0" applyFont="1" applyBorder="1" applyAlignment="1">
      <alignment horizontal="center" vertical="center" wrapText="1"/>
    </xf>
    <xf numFmtId="4" fontId="84" fillId="32" borderId="41" xfId="0" applyNumberFormat="1" applyFont="1" applyFill="1" applyBorder="1" applyAlignment="1" applyProtection="1">
      <alignment vertical="center"/>
    </xf>
    <xf numFmtId="4" fontId="77" fillId="0" borderId="26" xfId="2" applyNumberFormat="1" applyFont="1" applyBorder="1" applyAlignment="1">
      <alignment vertical="center"/>
    </xf>
    <xf numFmtId="4" fontId="84" fillId="33" borderId="41" xfId="0" applyNumberFormat="1" applyFont="1" applyFill="1" applyBorder="1" applyAlignment="1" applyProtection="1">
      <alignment vertical="center"/>
    </xf>
    <xf numFmtId="4" fontId="84" fillId="33" borderId="42" xfId="0" applyNumberFormat="1" applyFont="1" applyFill="1" applyBorder="1" applyAlignment="1" applyProtection="1">
      <alignment vertical="center"/>
    </xf>
    <xf numFmtId="4" fontId="84" fillId="7" borderId="41" xfId="0" applyNumberFormat="1" applyFont="1" applyFill="1" applyBorder="1" applyAlignment="1" applyProtection="1">
      <alignment vertical="center"/>
    </xf>
    <xf numFmtId="4" fontId="77" fillId="0" borderId="26" xfId="2" applyNumberFormat="1" applyFont="1" applyFill="1" applyBorder="1" applyAlignment="1">
      <alignment vertical="center"/>
    </xf>
    <xf numFmtId="4" fontId="85" fillId="0" borderId="41" xfId="0" applyNumberFormat="1" applyFont="1" applyFill="1" applyBorder="1" applyAlignment="1" applyProtection="1">
      <alignment vertical="center"/>
    </xf>
    <xf numFmtId="4" fontId="85" fillId="0" borderId="42" xfId="0" applyNumberFormat="1" applyFont="1" applyFill="1" applyBorder="1" applyAlignment="1" applyProtection="1">
      <alignment vertical="center"/>
    </xf>
    <xf numFmtId="4" fontId="86" fillId="0" borderId="26" xfId="2" applyNumberFormat="1" applyFont="1" applyBorder="1" applyAlignment="1">
      <alignment vertical="center"/>
    </xf>
    <xf numFmtId="4" fontId="84" fillId="0" borderId="41" xfId="0" applyNumberFormat="1" applyFont="1" applyFill="1" applyBorder="1" applyAlignment="1" applyProtection="1">
      <alignment vertical="center"/>
    </xf>
    <xf numFmtId="4" fontId="84" fillId="0" borderId="42" xfId="0" applyNumberFormat="1" applyFont="1" applyFill="1" applyBorder="1" applyAlignment="1" applyProtection="1">
      <alignment vertical="center"/>
    </xf>
    <xf numFmtId="4" fontId="86" fillId="0" borderId="28" xfId="2" applyNumberFormat="1" applyFont="1" applyBorder="1" applyAlignment="1">
      <alignment vertical="center"/>
    </xf>
    <xf numFmtId="4" fontId="84" fillId="0" borderId="41" xfId="0" applyNumberFormat="1" applyFont="1" applyBorder="1" applyAlignment="1" applyProtection="1">
      <alignment vertical="center"/>
    </xf>
    <xf numFmtId="4" fontId="84" fillId="0" borderId="42" xfId="0" applyNumberFormat="1" applyFont="1" applyBorder="1" applyAlignment="1" applyProtection="1">
      <alignment vertical="center"/>
    </xf>
    <xf numFmtId="4" fontId="87" fillId="0" borderId="41" xfId="0" applyNumberFormat="1" applyFont="1" applyBorder="1" applyAlignment="1" applyProtection="1">
      <alignment vertical="center"/>
    </xf>
    <xf numFmtId="4" fontId="87" fillId="0" borderId="42" xfId="0" applyNumberFormat="1" applyFont="1" applyFill="1" applyBorder="1" applyAlignment="1" applyProtection="1">
      <alignment vertical="center"/>
    </xf>
    <xf numFmtId="4" fontId="85" fillId="0" borderId="41" xfId="0" applyNumberFormat="1" applyFont="1" applyBorder="1" applyAlignment="1" applyProtection="1">
      <alignment vertical="center"/>
    </xf>
    <xf numFmtId="4" fontId="85" fillId="34" borderId="41" xfId="0" applyNumberFormat="1" applyFont="1" applyFill="1" applyBorder="1" applyAlignment="1" applyProtection="1">
      <alignment vertical="center"/>
    </xf>
    <xf numFmtId="4" fontId="84" fillId="32" borderId="35" xfId="0" applyNumberFormat="1" applyFont="1" applyFill="1" applyBorder="1" applyAlignment="1" applyProtection="1">
      <alignment vertical="center"/>
    </xf>
    <xf numFmtId="4" fontId="84" fillId="32" borderId="36" xfId="0" applyNumberFormat="1" applyFont="1" applyFill="1" applyBorder="1" applyAlignment="1" applyProtection="1">
      <alignment vertical="center"/>
    </xf>
    <xf numFmtId="4" fontId="77" fillId="0" borderId="34" xfId="2" applyNumberFormat="1" applyFont="1" applyBorder="1" applyAlignment="1">
      <alignment vertical="center"/>
    </xf>
    <xf numFmtId="4" fontId="60" fillId="0" borderId="0" xfId="0" applyNumberFormat="1" applyFont="1" applyFill="1" applyBorder="1" applyAlignment="1" applyProtection="1">
      <alignment vertical="center"/>
    </xf>
    <xf numFmtId="4" fontId="6" fillId="0" borderId="0" xfId="0" applyNumberFormat="1" applyFont="1"/>
    <xf numFmtId="9" fontId="88" fillId="0" borderId="77" xfId="0" applyNumberFormat="1" applyFont="1" applyBorder="1" applyAlignment="1">
      <alignment horizontal="center" vertical="center" wrapText="1" readingOrder="1"/>
    </xf>
    <xf numFmtId="10" fontId="88" fillId="0" borderId="77" xfId="0" applyNumberFormat="1" applyFont="1" applyBorder="1" applyAlignment="1">
      <alignment horizontal="center" vertical="center" wrapText="1" readingOrder="1"/>
    </xf>
    <xf numFmtId="0" fontId="88" fillId="0" borderId="77" xfId="0" applyFont="1" applyBorder="1" applyAlignment="1">
      <alignment horizontal="center" vertical="center" wrapText="1" readingOrder="1"/>
    </xf>
    <xf numFmtId="0" fontId="89" fillId="36" borderId="77" xfId="0" applyFont="1" applyFill="1" applyBorder="1" applyAlignment="1">
      <alignment horizontal="center" vertical="center" wrapText="1" readingOrder="1"/>
    </xf>
    <xf numFmtId="0" fontId="90" fillId="37" borderId="77" xfId="0" applyFont="1" applyFill="1" applyBorder="1" applyAlignment="1">
      <alignment horizontal="left" vertical="center" wrapText="1" readingOrder="1"/>
    </xf>
    <xf numFmtId="9" fontId="91" fillId="37" borderId="77" xfId="0" applyNumberFormat="1" applyFont="1" applyFill="1" applyBorder="1" applyAlignment="1">
      <alignment horizontal="center" vertical="center" wrapText="1" readingOrder="1"/>
    </xf>
    <xf numFmtId="0" fontId="90" fillId="36" borderId="77" xfId="0" applyFont="1" applyFill="1" applyBorder="1" applyAlignment="1">
      <alignment horizontal="justify" vertical="center" wrapText="1" readingOrder="1"/>
    </xf>
    <xf numFmtId="10" fontId="91" fillId="36" borderId="77" xfId="0" applyNumberFormat="1" applyFont="1" applyFill="1" applyBorder="1" applyAlignment="1">
      <alignment horizontal="center" vertical="center" wrapText="1" readingOrder="1"/>
    </xf>
    <xf numFmtId="9" fontId="91" fillId="36" borderId="77" xfId="0" applyNumberFormat="1" applyFont="1" applyFill="1" applyBorder="1" applyAlignment="1">
      <alignment horizontal="center" vertical="center" wrapText="1" readingOrder="1"/>
    </xf>
    <xf numFmtId="0" fontId="90" fillId="37" borderId="77" xfId="0" applyFont="1" applyFill="1" applyBorder="1" applyAlignment="1">
      <alignment horizontal="justify" vertical="center" wrapText="1" readingOrder="1"/>
    </xf>
    <xf numFmtId="10" fontId="91" fillId="37" borderId="77" xfId="0" applyNumberFormat="1" applyFont="1" applyFill="1" applyBorder="1" applyAlignment="1">
      <alignment horizontal="center" vertical="center" wrapText="1" readingOrder="1"/>
    </xf>
    <xf numFmtId="0" fontId="89" fillId="35" borderId="87" xfId="0" applyFont="1" applyFill="1" applyBorder="1" applyAlignment="1">
      <alignment vertical="center" wrapText="1" readingOrder="1"/>
    </xf>
    <xf numFmtId="0" fontId="92" fillId="39" borderId="77" xfId="0" applyFont="1" applyFill="1" applyBorder="1" applyAlignment="1">
      <alignment horizontal="center" vertical="center" wrapText="1" readingOrder="1"/>
    </xf>
    <xf numFmtId="0" fontId="93" fillId="40" borderId="77" xfId="0" applyFont="1" applyFill="1" applyBorder="1" applyAlignment="1">
      <alignment horizontal="left" vertical="center" wrapText="1" readingOrder="1"/>
    </xf>
    <xf numFmtId="10" fontId="93" fillId="40" borderId="77" xfId="0" applyNumberFormat="1" applyFont="1" applyFill="1" applyBorder="1" applyAlignment="1">
      <alignment horizontal="center" vertical="center" wrapText="1" readingOrder="1"/>
    </xf>
    <xf numFmtId="9" fontId="93" fillId="40" borderId="77" xfId="0" applyNumberFormat="1" applyFont="1" applyFill="1" applyBorder="1" applyAlignment="1">
      <alignment horizontal="center" vertical="center" wrapText="1" readingOrder="1"/>
    </xf>
    <xf numFmtId="0" fontId="93" fillId="39" borderId="77" xfId="0" applyFont="1" applyFill="1" applyBorder="1" applyAlignment="1">
      <alignment horizontal="left" vertical="center" wrapText="1" readingOrder="1"/>
    </xf>
    <xf numFmtId="9" fontId="93" fillId="39" borderId="77" xfId="0" applyNumberFormat="1" applyFont="1" applyFill="1" applyBorder="1" applyAlignment="1">
      <alignment horizontal="center" vertical="center" wrapText="1" readingOrder="1"/>
    </xf>
    <xf numFmtId="0" fontId="92" fillId="38" borderId="87" xfId="0" applyFont="1" applyFill="1" applyBorder="1" applyAlignment="1">
      <alignment vertical="center" wrapText="1" readingOrder="1"/>
    </xf>
    <xf numFmtId="0" fontId="94" fillId="36" borderId="77" xfId="0" applyFont="1" applyFill="1" applyBorder="1" applyAlignment="1">
      <alignment horizontal="center" vertical="center" wrapText="1" readingOrder="1"/>
    </xf>
    <xf numFmtId="0" fontId="95" fillId="37" borderId="77" xfId="0" applyFont="1" applyFill="1" applyBorder="1" applyAlignment="1">
      <alignment horizontal="justify" vertical="center" wrapText="1" readingOrder="1"/>
    </xf>
    <xf numFmtId="10" fontId="96" fillId="37" borderId="77" xfId="0" applyNumberFormat="1" applyFont="1" applyFill="1" applyBorder="1" applyAlignment="1">
      <alignment horizontal="center" vertical="center" wrapText="1" readingOrder="1"/>
    </xf>
    <xf numFmtId="9" fontId="96" fillId="37" borderId="77" xfId="0" applyNumberFormat="1" applyFont="1" applyFill="1" applyBorder="1" applyAlignment="1">
      <alignment horizontal="center" vertical="center" wrapText="1" readingOrder="1"/>
    </xf>
    <xf numFmtId="0" fontId="95" fillId="36" borderId="77" xfId="0" applyFont="1" applyFill="1" applyBorder="1" applyAlignment="1">
      <alignment horizontal="justify" vertical="center" wrapText="1" readingOrder="1"/>
    </xf>
    <xf numFmtId="10" fontId="96" fillId="36" borderId="77" xfId="0" applyNumberFormat="1" applyFont="1" applyFill="1" applyBorder="1" applyAlignment="1">
      <alignment horizontal="center" vertical="center" wrapText="1" readingOrder="1"/>
    </xf>
    <xf numFmtId="9" fontId="96" fillId="36" borderId="77" xfId="0" applyNumberFormat="1" applyFont="1" applyFill="1" applyBorder="1" applyAlignment="1">
      <alignment horizontal="center" vertical="center" wrapText="1" readingOrder="1"/>
    </xf>
    <xf numFmtId="0" fontId="94" fillId="35" borderId="87" xfId="0" applyFont="1" applyFill="1" applyBorder="1" applyAlignment="1">
      <alignment vertical="center" wrapText="1" readingOrder="1"/>
    </xf>
    <xf numFmtId="0" fontId="54" fillId="0" borderId="44" xfId="0" applyFont="1" applyFill="1" applyBorder="1" applyAlignment="1">
      <alignment vertical="center" wrapText="1"/>
    </xf>
    <xf numFmtId="0" fontId="54" fillId="0" borderId="44" xfId="0" applyFont="1" applyFill="1" applyBorder="1" applyAlignment="1">
      <alignment horizontal="left" vertical="center" wrapText="1"/>
    </xf>
    <xf numFmtId="4" fontId="53" fillId="0" borderId="44" xfId="0" applyNumberFormat="1" applyFont="1" applyFill="1" applyBorder="1" applyAlignment="1">
      <alignment horizontal="center" vertical="center" wrapText="1"/>
    </xf>
    <xf numFmtId="167" fontId="53" fillId="0" borderId="44" xfId="0" applyNumberFormat="1" applyFont="1" applyFill="1" applyBorder="1" applyAlignment="1">
      <alignment horizontal="center" vertical="center" wrapText="1"/>
    </xf>
    <xf numFmtId="0" fontId="53" fillId="0" borderId="44" xfId="0" applyFont="1" applyFill="1" applyBorder="1" applyAlignment="1">
      <alignment horizontal="center" vertical="center" wrapText="1"/>
    </xf>
    <xf numFmtId="0" fontId="53" fillId="0" borderId="41" xfId="0" applyFont="1" applyFill="1" applyBorder="1" applyAlignment="1">
      <alignment horizontal="center" vertical="center" wrapText="1"/>
    </xf>
    <xf numFmtId="0" fontId="1" fillId="41" borderId="0" xfId="5" applyFont="1" applyFill="1" applyBorder="1" applyAlignment="1">
      <alignment horizontal="center" vertical="center"/>
    </xf>
    <xf numFmtId="0" fontId="1" fillId="0" borderId="7" xfId="5" applyFont="1" applyFill="1" applyBorder="1" applyAlignment="1" applyProtection="1">
      <alignment vertical="center"/>
    </xf>
    <xf numFmtId="0" fontId="7" fillId="0" borderId="10" xfId="5" applyFont="1" applyFill="1" applyBorder="1" applyAlignment="1" applyProtection="1">
      <alignment vertical="center"/>
    </xf>
    <xf numFmtId="0" fontId="7" fillId="0" borderId="15" xfId="5" applyFont="1" applyFill="1" applyBorder="1" applyAlignment="1" applyProtection="1">
      <alignment vertical="center"/>
    </xf>
    <xf numFmtId="0" fontId="3" fillId="0" borderId="65" xfId="5" applyFont="1" applyFill="1" applyBorder="1" applyAlignment="1" applyProtection="1">
      <alignment vertical="center"/>
    </xf>
    <xf numFmtId="0" fontId="3" fillId="0" borderId="17" xfId="5" applyFont="1" applyFill="1" applyBorder="1" applyAlignment="1" applyProtection="1">
      <alignment vertical="center"/>
    </xf>
    <xf numFmtId="0" fontId="3" fillId="0" borderId="41" xfId="5" applyFont="1" applyFill="1" applyBorder="1" applyAlignment="1" applyProtection="1">
      <alignment vertical="center"/>
    </xf>
    <xf numFmtId="0" fontId="3" fillId="0" borderId="42" xfId="5" applyFont="1" applyFill="1" applyBorder="1" applyAlignment="1" applyProtection="1">
      <alignment vertical="center"/>
    </xf>
    <xf numFmtId="0" fontId="3" fillId="0" borderId="18" xfId="5" applyFont="1" applyFill="1" applyBorder="1" applyAlignment="1" applyProtection="1">
      <alignment vertical="center"/>
    </xf>
    <xf numFmtId="0" fontId="3" fillId="0" borderId="36" xfId="5" applyFont="1" applyFill="1" applyBorder="1" applyAlignment="1" applyProtection="1">
      <alignment vertical="center"/>
    </xf>
    <xf numFmtId="0" fontId="99" fillId="0" borderId="65" xfId="5" applyFont="1" applyFill="1" applyBorder="1" applyAlignment="1" applyProtection="1">
      <alignment vertical="center"/>
    </xf>
    <xf numFmtId="0" fontId="99" fillId="0" borderId="17" xfId="5" applyFont="1" applyFill="1" applyBorder="1" applyAlignment="1" applyProtection="1">
      <alignment vertical="center"/>
    </xf>
    <xf numFmtId="0" fontId="99" fillId="0" borderId="41" xfId="5" applyFont="1" applyFill="1" applyBorder="1" applyAlignment="1" applyProtection="1">
      <alignment vertical="center"/>
    </xf>
    <xf numFmtId="0" fontId="99" fillId="0" borderId="42" xfId="5" applyFont="1" applyFill="1" applyBorder="1" applyAlignment="1" applyProtection="1">
      <alignment vertical="center"/>
    </xf>
    <xf numFmtId="0" fontId="7" fillId="0" borderId="65" xfId="5" applyFont="1" applyFill="1" applyBorder="1" applyAlignment="1" applyProtection="1">
      <alignment vertical="center"/>
    </xf>
    <xf numFmtId="0" fontId="7" fillId="0" borderId="17" xfId="5" applyFont="1" applyFill="1" applyBorder="1" applyAlignment="1" applyProtection="1">
      <alignment vertical="center"/>
    </xf>
    <xf numFmtId="0" fontId="7" fillId="0" borderId="41" xfId="5" applyFont="1" applyFill="1" applyBorder="1" applyAlignment="1" applyProtection="1">
      <alignment vertical="center"/>
    </xf>
    <xf numFmtId="0" fontId="7" fillId="0" borderId="42" xfId="5" applyFont="1" applyFill="1" applyBorder="1" applyAlignment="1" applyProtection="1">
      <alignment vertical="center"/>
    </xf>
    <xf numFmtId="0" fontId="99" fillId="0" borderId="18" xfId="5" applyFont="1" applyFill="1" applyBorder="1" applyAlignment="1" applyProtection="1">
      <alignment vertical="center"/>
    </xf>
    <xf numFmtId="0" fontId="99" fillId="0" borderId="19" xfId="5" applyFont="1" applyFill="1" applyBorder="1" applyAlignment="1" applyProtection="1">
      <alignment vertical="center"/>
    </xf>
    <xf numFmtId="0" fontId="99" fillId="0" borderId="35" xfId="5" applyFont="1" applyFill="1" applyBorder="1" applyAlignment="1" applyProtection="1">
      <alignment vertical="center"/>
    </xf>
    <xf numFmtId="0" fontId="99" fillId="0" borderId="36" xfId="5" applyFont="1" applyFill="1" applyBorder="1" applyAlignment="1" applyProtection="1">
      <alignment vertical="center"/>
    </xf>
    <xf numFmtId="0" fontId="3" fillId="0" borderId="5" xfId="5" applyFont="1" applyFill="1" applyBorder="1" applyAlignment="1" applyProtection="1">
      <alignment vertical="center"/>
    </xf>
    <xf numFmtId="0" fontId="3" fillId="0" borderId="20" xfId="5" applyFont="1" applyFill="1" applyBorder="1" applyAlignment="1" applyProtection="1">
      <alignment vertical="center"/>
    </xf>
    <xf numFmtId="0" fontId="3" fillId="0" borderId="53" xfId="5" applyFont="1" applyFill="1" applyBorder="1" applyAlignment="1" applyProtection="1">
      <alignment vertical="center"/>
    </xf>
    <xf numFmtId="0" fontId="3" fillId="0" borderId="58" xfId="5" applyFont="1" applyFill="1" applyBorder="1" applyAlignment="1" applyProtection="1">
      <alignment vertical="center"/>
    </xf>
    <xf numFmtId="0" fontId="101" fillId="0" borderId="25" xfId="5" applyFont="1" applyFill="1" applyBorder="1" applyAlignment="1" applyProtection="1">
      <alignment vertical="center" wrapText="1"/>
    </xf>
    <xf numFmtId="0" fontId="101" fillId="0" borderId="28" xfId="5" applyFont="1" applyFill="1" applyBorder="1" applyAlignment="1" applyProtection="1">
      <alignment vertical="center" wrapText="1"/>
    </xf>
    <xf numFmtId="44" fontId="101" fillId="0" borderId="37" xfId="6" applyFont="1" applyFill="1" applyBorder="1" applyAlignment="1" applyProtection="1">
      <alignment vertical="center"/>
    </xf>
    <xf numFmtId="44" fontId="101" fillId="0" borderId="76" xfId="6" applyFont="1" applyFill="1" applyBorder="1" applyAlignment="1" applyProtection="1">
      <alignment vertical="center"/>
    </xf>
    <xf numFmtId="44" fontId="7" fillId="0" borderId="12" xfId="6" applyFont="1" applyFill="1" applyBorder="1" applyAlignment="1" applyProtection="1">
      <alignment vertical="center"/>
    </xf>
    <xf numFmtId="44" fontId="7" fillId="0" borderId="16" xfId="6" applyFont="1" applyFill="1" applyBorder="1" applyAlignment="1" applyProtection="1">
      <alignment vertical="center"/>
    </xf>
    <xf numFmtId="44" fontId="3" fillId="0" borderId="17" xfId="6" applyFont="1" applyFill="1" applyBorder="1" applyAlignment="1" applyProtection="1">
      <alignment vertical="center"/>
    </xf>
    <xf numFmtId="44" fontId="3" fillId="0" borderId="19" xfId="6" applyFont="1" applyFill="1" applyBorder="1" applyAlignment="1" applyProtection="1">
      <alignment vertical="center"/>
    </xf>
    <xf numFmtId="44" fontId="99" fillId="0" borderId="17" xfId="6" applyFont="1" applyFill="1" applyBorder="1" applyAlignment="1" applyProtection="1">
      <alignment vertical="center"/>
    </xf>
    <xf numFmtId="44" fontId="7" fillId="0" borderId="48" xfId="6" applyFont="1" applyFill="1" applyBorder="1" applyAlignment="1" applyProtection="1">
      <alignment vertical="center"/>
    </xf>
    <xf numFmtId="44" fontId="7" fillId="0" borderId="13" xfId="6" applyFont="1" applyFill="1" applyBorder="1" applyAlignment="1" applyProtection="1">
      <alignment vertical="center"/>
    </xf>
    <xf numFmtId="44" fontId="7" fillId="0" borderId="38" xfId="6" applyFont="1" applyFill="1" applyBorder="1" applyAlignment="1" applyProtection="1">
      <alignment vertical="center"/>
    </xf>
    <xf numFmtId="44" fontId="7" fillId="0" borderId="54" xfId="6" applyFont="1" applyFill="1" applyBorder="1" applyAlignment="1" applyProtection="1">
      <alignment vertical="center"/>
    </xf>
    <xf numFmtId="44" fontId="3" fillId="0" borderId="41" xfId="6" applyFont="1" applyFill="1" applyBorder="1" applyAlignment="1" applyProtection="1">
      <alignment vertical="center"/>
    </xf>
    <xf numFmtId="44" fontId="3" fillId="0" borderId="42" xfId="6" applyFont="1" applyFill="1" applyBorder="1" applyAlignment="1" applyProtection="1">
      <alignment vertical="center"/>
    </xf>
    <xf numFmtId="44" fontId="3" fillId="0" borderId="35" xfId="6" applyFont="1" applyFill="1" applyBorder="1" applyAlignment="1" applyProtection="1">
      <alignment vertical="center"/>
    </xf>
    <xf numFmtId="44" fontId="3" fillId="0" borderId="36" xfId="6" applyFont="1" applyFill="1" applyBorder="1" applyAlignment="1" applyProtection="1">
      <alignment vertical="center"/>
    </xf>
    <xf numFmtId="44" fontId="99" fillId="0" borderId="41" xfId="6" applyFont="1" applyFill="1" applyBorder="1" applyAlignment="1" applyProtection="1">
      <alignment vertical="center"/>
    </xf>
    <xf numFmtId="44" fontId="99" fillId="0" borderId="42" xfId="6" applyFont="1" applyFill="1" applyBorder="1" applyAlignment="1" applyProtection="1">
      <alignment vertical="center"/>
    </xf>
    <xf numFmtId="44" fontId="101" fillId="0" borderId="38" xfId="6" applyFont="1" applyFill="1" applyBorder="1" applyAlignment="1" applyProtection="1">
      <alignment vertical="center"/>
    </xf>
    <xf numFmtId="44" fontId="101" fillId="0" borderId="41" xfId="6" applyFont="1" applyFill="1" applyBorder="1" applyAlignment="1" applyProtection="1">
      <alignment vertical="center"/>
    </xf>
    <xf numFmtId="44" fontId="101" fillId="0" borderId="44" xfId="6" applyFont="1" applyFill="1" applyBorder="1" applyAlignment="1" applyProtection="1">
      <alignment vertical="center"/>
    </xf>
    <xf numFmtId="44" fontId="101" fillId="0" borderId="52" xfId="6" applyFont="1" applyFill="1" applyBorder="1" applyAlignment="1" applyProtection="1">
      <alignment vertical="center"/>
    </xf>
    <xf numFmtId="44" fontId="101" fillId="0" borderId="76" xfId="5" applyNumberFormat="1" applyFont="1" applyFill="1" applyBorder="1" applyAlignment="1" applyProtection="1">
      <alignment vertical="center"/>
    </xf>
    <xf numFmtId="44" fontId="101" fillId="0" borderId="44" xfId="5" applyNumberFormat="1" applyFont="1" applyFill="1" applyBorder="1" applyAlignment="1" applyProtection="1">
      <alignment vertical="center"/>
    </xf>
    <xf numFmtId="44" fontId="101" fillId="0" borderId="16" xfId="5" applyNumberFormat="1" applyFont="1" applyFill="1" applyBorder="1" applyAlignment="1" applyProtection="1">
      <alignment vertical="center"/>
    </xf>
    <xf numFmtId="44" fontId="101" fillId="0" borderId="17" xfId="5" applyNumberFormat="1" applyFont="1" applyFill="1" applyBorder="1" applyAlignment="1" applyProtection="1">
      <alignment vertical="center"/>
    </xf>
    <xf numFmtId="44" fontId="101" fillId="0" borderId="38" xfId="5" applyNumberFormat="1" applyFont="1" applyFill="1" applyBorder="1" applyAlignment="1" applyProtection="1">
      <alignment vertical="center"/>
    </xf>
    <xf numFmtId="44" fontId="101" fillId="0" borderId="41" xfId="5" applyNumberFormat="1" applyFont="1" applyFill="1" applyBorder="1" applyAlignment="1" applyProtection="1">
      <alignment vertical="center"/>
    </xf>
    <xf numFmtId="44" fontId="7" fillId="0" borderId="24" xfId="6" applyFont="1" applyFill="1" applyBorder="1" applyAlignment="1" applyProtection="1">
      <alignment vertical="center"/>
    </xf>
    <xf numFmtId="44" fontId="101" fillId="0" borderId="54" xfId="5" applyNumberFormat="1" applyFont="1" applyFill="1" applyBorder="1" applyAlignment="1" applyProtection="1">
      <alignment vertical="center"/>
    </xf>
    <xf numFmtId="44" fontId="101" fillId="0" borderId="42" xfId="5" applyNumberFormat="1" applyFont="1" applyFill="1" applyBorder="1" applyAlignment="1" applyProtection="1">
      <alignment vertical="center"/>
    </xf>
    <xf numFmtId="44" fontId="101" fillId="0" borderId="36" xfId="5" applyNumberFormat="1" applyFont="1" applyFill="1" applyBorder="1" applyAlignment="1" applyProtection="1">
      <alignment vertical="center"/>
    </xf>
    <xf numFmtId="44" fontId="101" fillId="0" borderId="54" xfId="6" applyFont="1" applyFill="1" applyBorder="1" applyAlignment="1" applyProtection="1">
      <alignment vertical="center"/>
    </xf>
    <xf numFmtId="44" fontId="101" fillId="0" borderId="45" xfId="6" applyFont="1" applyFill="1" applyBorder="1" applyAlignment="1" applyProtection="1">
      <alignment vertical="center"/>
    </xf>
    <xf numFmtId="44" fontId="101" fillId="0" borderId="16" xfId="6" applyFont="1" applyFill="1" applyBorder="1" applyAlignment="1" applyProtection="1">
      <alignment vertical="center"/>
    </xf>
    <xf numFmtId="44" fontId="101" fillId="0" borderId="17" xfId="6" applyFont="1" applyFill="1" applyBorder="1" applyAlignment="1" applyProtection="1">
      <alignment vertical="center"/>
    </xf>
    <xf numFmtId="44" fontId="101" fillId="0" borderId="42" xfId="6" applyFont="1" applyFill="1" applyBorder="1" applyAlignment="1" applyProtection="1">
      <alignment vertical="center"/>
    </xf>
    <xf numFmtId="0" fontId="2" fillId="0" borderId="23" xfId="5" applyFont="1" applyFill="1" applyBorder="1" applyAlignment="1" applyProtection="1">
      <alignment horizontal="center" vertical="center" wrapText="1"/>
    </xf>
    <xf numFmtId="0" fontId="2" fillId="0" borderId="52" xfId="5" applyFont="1" applyFill="1" applyBorder="1" applyAlignment="1" applyProtection="1">
      <alignment horizontal="center" vertical="center" wrapText="1"/>
    </xf>
    <xf numFmtId="0" fontId="2" fillId="0" borderId="55" xfId="5" applyFont="1" applyFill="1" applyBorder="1" applyAlignment="1" applyProtection="1">
      <alignment horizontal="center" vertical="center" wrapText="1"/>
    </xf>
    <xf numFmtId="1" fontId="58" fillId="28" borderId="17" xfId="0" applyNumberFormat="1" applyFont="1" applyFill="1" applyBorder="1" applyAlignment="1" applyProtection="1">
      <alignment vertical="center"/>
    </xf>
    <xf numFmtId="44" fontId="7" fillId="0" borderId="32" xfId="6" applyFont="1" applyFill="1" applyBorder="1" applyAlignment="1" applyProtection="1">
      <alignment vertical="center"/>
    </xf>
    <xf numFmtId="44" fontId="3" fillId="0" borderId="40" xfId="6" applyFont="1" applyFill="1" applyBorder="1" applyAlignment="1" applyProtection="1">
      <alignment vertical="center"/>
    </xf>
    <xf numFmtId="44" fontId="3" fillId="0" borderId="43" xfId="6" applyFont="1" applyFill="1" applyBorder="1" applyAlignment="1" applyProtection="1">
      <alignment vertical="center"/>
    </xf>
    <xf numFmtId="44" fontId="7" fillId="0" borderId="37" xfId="6" applyFont="1" applyFill="1" applyBorder="1" applyAlignment="1" applyProtection="1">
      <alignment vertical="center"/>
    </xf>
    <xf numFmtId="44" fontId="99" fillId="0" borderId="40" xfId="6" applyFont="1" applyFill="1" applyBorder="1" applyAlignment="1" applyProtection="1">
      <alignment vertical="center"/>
    </xf>
    <xf numFmtId="44" fontId="7" fillId="0" borderId="57" xfId="6" applyFont="1" applyFill="1" applyBorder="1" applyAlignment="1" applyProtection="1">
      <alignment vertical="center"/>
    </xf>
    <xf numFmtId="0" fontId="3" fillId="0" borderId="45" xfId="5" applyFont="1" applyFill="1" applyBorder="1" applyAlignment="1" applyProtection="1">
      <alignment vertical="center"/>
    </xf>
    <xf numFmtId="10" fontId="0" fillId="0" borderId="0" xfId="0" applyNumberFormat="1"/>
    <xf numFmtId="9" fontId="0" fillId="0" borderId="0" xfId="0" applyNumberFormat="1"/>
    <xf numFmtId="44" fontId="0" fillId="0" borderId="0" xfId="0" applyNumberFormat="1"/>
    <xf numFmtId="0" fontId="53" fillId="9" borderId="41" xfId="0" applyFont="1" applyFill="1" applyBorder="1" applyAlignment="1">
      <alignment horizontal="center" vertical="center" wrapText="1"/>
    </xf>
    <xf numFmtId="0" fontId="42" fillId="9" borderId="41" xfId="0" applyFont="1" applyFill="1" applyBorder="1" applyAlignment="1">
      <alignment horizontal="center" vertical="center" wrapText="1"/>
    </xf>
    <xf numFmtId="0" fontId="53" fillId="10" borderId="41" xfId="0" applyFont="1" applyFill="1" applyBorder="1" applyAlignment="1">
      <alignment horizontal="center" vertical="center" wrapText="1"/>
    </xf>
    <xf numFmtId="167" fontId="53" fillId="21" borderId="41" xfId="0" applyNumberFormat="1" applyFont="1" applyFill="1" applyBorder="1" applyAlignment="1">
      <alignment horizontal="center" vertical="center" wrapText="1"/>
    </xf>
    <xf numFmtId="2" fontId="53" fillId="21" borderId="41" xfId="0" applyNumberFormat="1" applyFont="1" applyFill="1" applyBorder="1" applyAlignment="1">
      <alignment horizontal="center" vertical="center" wrapText="1"/>
    </xf>
    <xf numFmtId="0" fontId="53" fillId="11" borderId="41" xfId="0" applyFont="1" applyFill="1" applyBorder="1" applyAlignment="1">
      <alignment horizontal="center" vertical="center" wrapText="1"/>
    </xf>
    <xf numFmtId="0" fontId="53" fillId="12" borderId="41" xfId="0" applyFont="1" applyFill="1" applyBorder="1" applyAlignment="1">
      <alignment horizontal="center" vertical="center" wrapText="1"/>
    </xf>
    <xf numFmtId="0" fontId="55" fillId="0" borderId="44" xfId="0" applyFont="1" applyFill="1" applyBorder="1" applyAlignment="1">
      <alignment vertical="center" wrapText="1"/>
    </xf>
    <xf numFmtId="3" fontId="53" fillId="0" borderId="41" xfId="0" applyNumberFormat="1" applyFont="1" applyFill="1" applyBorder="1" applyAlignment="1">
      <alignment horizontal="center" vertical="center" wrapText="1"/>
    </xf>
    <xf numFmtId="9" fontId="53" fillId="0" borderId="41" xfId="0" applyNumberFormat="1" applyFont="1" applyFill="1" applyBorder="1" applyAlignment="1">
      <alignment horizontal="center" vertical="center" wrapText="1"/>
    </xf>
    <xf numFmtId="0" fontId="55" fillId="0" borderId="41" xfId="0" applyFont="1" applyFill="1" applyBorder="1" applyAlignment="1">
      <alignment horizontal="left" vertical="center" wrapText="1"/>
    </xf>
    <xf numFmtId="169" fontId="53" fillId="0" borderId="41" xfId="0" applyNumberFormat="1" applyFont="1" applyFill="1" applyBorder="1" applyAlignment="1">
      <alignment horizontal="center" vertical="center" wrapText="1"/>
    </xf>
    <xf numFmtId="3" fontId="54" fillId="0" borderId="41" xfId="0" applyNumberFormat="1" applyFont="1" applyFill="1" applyBorder="1" applyAlignment="1">
      <alignment horizontal="left" vertical="center" wrapText="1"/>
    </xf>
    <xf numFmtId="0" fontId="54" fillId="0" borderId="52" xfId="0" applyFont="1" applyFill="1" applyBorder="1" applyAlignment="1">
      <alignment vertical="center" wrapText="1"/>
    </xf>
    <xf numFmtId="167" fontId="53" fillId="0" borderId="41" xfId="2" applyNumberFormat="1" applyFont="1" applyFill="1" applyBorder="1" applyAlignment="1">
      <alignment vertical="center" wrapText="1"/>
    </xf>
    <xf numFmtId="168" fontId="53" fillId="16" borderId="41" xfId="0" applyNumberFormat="1" applyFont="1" applyFill="1" applyBorder="1" applyAlignment="1">
      <alignment horizontal="center" vertical="center" wrapText="1"/>
    </xf>
    <xf numFmtId="165" fontId="43" fillId="2" borderId="41" xfId="1" applyNumberFormat="1" applyFont="1" applyFill="1" applyBorder="1" applyAlignment="1" applyProtection="1">
      <alignment horizontal="left" vertical="center" wrapText="1"/>
    </xf>
    <xf numFmtId="165" fontId="43" fillId="2" borderId="41" xfId="1" applyNumberFormat="1" applyFont="1" applyFill="1" applyBorder="1" applyAlignment="1" applyProtection="1">
      <alignment horizontal="center" vertical="center" wrapText="1"/>
    </xf>
    <xf numFmtId="0" fontId="39" fillId="0" borderId="41" xfId="0" applyFont="1" applyFill="1" applyBorder="1" applyAlignment="1">
      <alignment horizontal="left" vertical="center" wrapText="1"/>
    </xf>
    <xf numFmtId="0" fontId="39" fillId="0" borderId="41" xfId="0" applyFont="1" applyFill="1" applyBorder="1" applyAlignment="1">
      <alignment vertical="center" wrapText="1"/>
    </xf>
    <xf numFmtId="0" fontId="13" fillId="0" borderId="41" xfId="0" applyFont="1" applyFill="1" applyBorder="1" applyAlignment="1">
      <alignment horizontal="center" vertical="center" wrapText="1"/>
    </xf>
    <xf numFmtId="0" fontId="38" fillId="0" borderId="41" xfId="0" applyFont="1" applyFill="1" applyBorder="1" applyAlignment="1">
      <alignment horizontal="center" vertical="center" wrapText="1"/>
    </xf>
    <xf numFmtId="0" fontId="39" fillId="16" borderId="41" xfId="0" applyFont="1" applyFill="1" applyBorder="1" applyAlignment="1">
      <alignment horizontal="left" vertical="center" wrapText="1"/>
    </xf>
    <xf numFmtId="0" fontId="39" fillId="0" borderId="41" xfId="0" applyFont="1" applyFill="1" applyBorder="1" applyAlignment="1">
      <alignment horizontal="center" vertical="center" wrapText="1"/>
    </xf>
    <xf numFmtId="0" fontId="39" fillId="0" borderId="41" xfId="0" applyFont="1" applyFill="1" applyBorder="1" applyAlignment="1">
      <alignment horizontal="left" vertical="center"/>
    </xf>
    <xf numFmtId="0" fontId="67" fillId="0" borderId="41" xfId="0" applyFont="1" applyFill="1" applyBorder="1" applyAlignment="1">
      <alignment vertical="center" wrapText="1"/>
    </xf>
    <xf numFmtId="0" fontId="38" fillId="0" borderId="41" xfId="0" applyFont="1" applyFill="1" applyBorder="1" applyAlignment="1">
      <alignment horizontal="left" vertical="center" wrapText="1"/>
    </xf>
    <xf numFmtId="0" fontId="54" fillId="0" borderId="52" xfId="0" applyFont="1" applyFill="1" applyBorder="1" applyAlignment="1">
      <alignment vertical="center" wrapText="1"/>
    </xf>
    <xf numFmtId="0" fontId="55" fillId="0" borderId="52" xfId="0" applyFont="1" applyFill="1" applyBorder="1" applyAlignment="1">
      <alignment vertical="center" wrapText="1"/>
    </xf>
    <xf numFmtId="0" fontId="55" fillId="0" borderId="44" xfId="0" applyFont="1" applyFill="1" applyBorder="1" applyAlignment="1">
      <alignment vertical="center" wrapText="1"/>
    </xf>
    <xf numFmtId="0" fontId="67" fillId="0" borderId="41" xfId="0" applyFont="1" applyFill="1" applyBorder="1" applyAlignment="1">
      <alignment wrapText="1"/>
    </xf>
    <xf numFmtId="0" fontId="67" fillId="0" borderId="41" xfId="0" applyFont="1" applyFill="1" applyBorder="1" applyAlignment="1">
      <alignment horizontal="left" vertical="top" wrapText="1"/>
    </xf>
    <xf numFmtId="0" fontId="38" fillId="16" borderId="41" xfId="0" applyFont="1" applyFill="1" applyBorder="1" applyAlignment="1">
      <alignment horizontal="left" vertical="center" wrapText="1"/>
    </xf>
    <xf numFmtId="0" fontId="67" fillId="16" borderId="41" xfId="0" applyFont="1" applyFill="1" applyBorder="1" applyAlignment="1">
      <alignment vertical="center" wrapText="1"/>
    </xf>
    <xf numFmtId="0" fontId="67" fillId="0" borderId="41" xfId="0" applyFont="1" applyFill="1" applyBorder="1" applyAlignment="1">
      <alignment horizontal="center" vertical="center" wrapText="1"/>
    </xf>
    <xf numFmtId="0" fontId="67" fillId="16" borderId="41" xfId="0" applyFont="1" applyFill="1" applyBorder="1" applyAlignment="1">
      <alignment horizontal="center" vertical="center" wrapText="1"/>
    </xf>
    <xf numFmtId="0" fontId="64" fillId="0" borderId="66" xfId="0" applyFont="1" applyFill="1" applyBorder="1" applyAlignment="1">
      <alignment horizontal="left" vertical="center" wrapText="1"/>
    </xf>
    <xf numFmtId="0" fontId="105" fillId="0" borderId="41" xfId="0" applyFont="1" applyFill="1" applyBorder="1" applyAlignment="1">
      <alignment vertical="center" wrapText="1"/>
    </xf>
    <xf numFmtId="0" fontId="105" fillId="28" borderId="41" xfId="0" applyFont="1" applyFill="1" applyBorder="1" applyAlignment="1">
      <alignment vertical="center" wrapText="1"/>
    </xf>
    <xf numFmtId="0" fontId="105" fillId="28" borderId="41" xfId="0" applyFont="1" applyFill="1" applyBorder="1" applyAlignment="1">
      <alignment horizontal="left" vertical="center" wrapText="1"/>
    </xf>
    <xf numFmtId="0" fontId="105" fillId="0" borderId="41" xfId="0" applyFont="1" applyFill="1" applyBorder="1" applyAlignment="1">
      <alignment horizontal="left" vertical="center" wrapText="1"/>
    </xf>
    <xf numFmtId="0" fontId="39" fillId="28" borderId="41" xfId="0" applyFont="1" applyFill="1" applyBorder="1" applyAlignment="1">
      <alignment vertical="center" wrapText="1"/>
    </xf>
    <xf numFmtId="0" fontId="105" fillId="43" borderId="41" xfId="0" applyFont="1" applyFill="1" applyBorder="1" applyAlignment="1">
      <alignment horizontal="center" vertical="center" wrapText="1"/>
    </xf>
    <xf numFmtId="0" fontId="106" fillId="43" borderId="41" xfId="0" applyFont="1" applyFill="1" applyBorder="1" applyAlignment="1">
      <alignment horizontal="center" vertical="center" wrapText="1"/>
    </xf>
    <xf numFmtId="0" fontId="105" fillId="28" borderId="41" xfId="0" applyFont="1" applyFill="1" applyBorder="1" applyAlignment="1">
      <alignment horizontal="center" vertical="center" wrapText="1"/>
    </xf>
    <xf numFmtId="0" fontId="105" fillId="16" borderId="41" xfId="0" applyFont="1" applyFill="1" applyBorder="1" applyAlignment="1">
      <alignment horizontal="center" vertical="center" wrapText="1"/>
    </xf>
    <xf numFmtId="0" fontId="106" fillId="16" borderId="41" xfId="0" applyFont="1" applyFill="1" applyBorder="1" applyAlignment="1">
      <alignment horizontal="center" vertical="center" wrapText="1"/>
    </xf>
    <xf numFmtId="3" fontId="105" fillId="16" borderId="41" xfId="0" applyNumberFormat="1" applyFont="1" applyFill="1" applyBorder="1" applyAlignment="1">
      <alignment horizontal="center" vertical="center" wrapText="1"/>
    </xf>
    <xf numFmtId="3" fontId="106" fillId="16" borderId="41" xfId="0" applyNumberFormat="1" applyFont="1" applyFill="1" applyBorder="1" applyAlignment="1">
      <alignment horizontal="center" vertical="center" wrapText="1"/>
    </xf>
    <xf numFmtId="0" fontId="105" fillId="16" borderId="41" xfId="0" applyFont="1" applyFill="1" applyBorder="1" applyAlignment="1">
      <alignment horizontal="center" vertical="center"/>
    </xf>
    <xf numFmtId="0" fontId="106" fillId="16" borderId="41" xfId="0" applyFont="1" applyFill="1" applyBorder="1" applyAlignment="1">
      <alignment horizontal="center" vertical="center"/>
    </xf>
    <xf numFmtId="0" fontId="105" fillId="0" borderId="41" xfId="0" applyFont="1" applyFill="1" applyBorder="1" applyAlignment="1">
      <alignment horizontal="center" vertical="center" wrapText="1"/>
    </xf>
    <xf numFmtId="0" fontId="107" fillId="16" borderId="41" xfId="0" applyFont="1" applyFill="1" applyBorder="1" applyAlignment="1">
      <alignment horizontal="center" vertical="center" wrapText="1"/>
    </xf>
    <xf numFmtId="0" fontId="107" fillId="0" borderId="41" xfId="0" applyFont="1" applyFill="1" applyBorder="1" applyAlignment="1">
      <alignment horizontal="center" vertical="center" wrapText="1"/>
    </xf>
    <xf numFmtId="9" fontId="39" fillId="16" borderId="41" xfId="2" applyFont="1" applyFill="1" applyBorder="1" applyAlignment="1">
      <alignment horizontal="center" vertical="center" wrapText="1"/>
    </xf>
    <xf numFmtId="0" fontId="106" fillId="0" borderId="41" xfId="0" applyFont="1" applyFill="1" applyBorder="1" applyAlignment="1">
      <alignment horizontal="center" vertical="center" wrapText="1"/>
    </xf>
    <xf numFmtId="0" fontId="38" fillId="28" borderId="41" xfId="0" applyFont="1" applyFill="1" applyBorder="1" applyAlignment="1">
      <alignment vertical="center" wrapText="1"/>
    </xf>
    <xf numFmtId="0" fontId="38" fillId="16" borderId="41" xfId="0" applyFont="1" applyFill="1" applyBorder="1" applyAlignment="1">
      <alignment horizontal="left" vertical="top" wrapText="1"/>
    </xf>
    <xf numFmtId="0" fontId="105" fillId="28" borderId="41" xfId="0" applyFont="1" applyFill="1" applyBorder="1" applyAlignment="1">
      <alignment horizontal="center" vertical="center" wrapText="1"/>
    </xf>
    <xf numFmtId="0" fontId="71" fillId="18" borderId="61" xfId="0" applyFont="1" applyFill="1" applyBorder="1" applyAlignment="1">
      <alignment vertical="center" wrapText="1"/>
    </xf>
    <xf numFmtId="0" fontId="71" fillId="18" borderId="66" xfId="0" applyFont="1" applyFill="1" applyBorder="1" applyAlignment="1">
      <alignment vertical="center" wrapText="1"/>
    </xf>
    <xf numFmtId="0" fontId="71" fillId="18" borderId="49" xfId="0" applyFont="1" applyFill="1" applyBorder="1" applyAlignment="1">
      <alignment vertical="center" wrapText="1"/>
    </xf>
    <xf numFmtId="0" fontId="71" fillId="18" borderId="0" xfId="0" applyFont="1" applyFill="1" applyBorder="1" applyAlignment="1">
      <alignment vertical="center" wrapText="1"/>
    </xf>
    <xf numFmtId="0" fontId="67" fillId="16" borderId="41" xfId="0" applyFont="1" applyFill="1" applyBorder="1" applyAlignment="1">
      <alignment horizontal="left" vertical="center" wrapText="1"/>
    </xf>
    <xf numFmtId="0" fontId="39" fillId="28" borderId="41" xfId="0" applyFont="1" applyFill="1" applyBorder="1" applyAlignment="1">
      <alignment horizontal="left" vertical="center" wrapText="1"/>
    </xf>
    <xf numFmtId="165" fontId="43" fillId="2" borderId="41" xfId="1" applyNumberFormat="1" applyFont="1" applyFill="1" applyBorder="1" applyAlignment="1" applyProtection="1">
      <alignment horizontal="left" vertical="center" wrapText="1"/>
    </xf>
    <xf numFmtId="0" fontId="56" fillId="17" borderId="41" xfId="0" quotePrefix="1" applyFont="1" applyFill="1" applyBorder="1" applyAlignment="1">
      <alignment vertical="center" wrapText="1"/>
    </xf>
    <xf numFmtId="0" fontId="55" fillId="0" borderId="40" xfId="0" applyFont="1" applyFill="1" applyBorder="1" applyAlignment="1">
      <alignment horizontal="left" vertical="center" wrapText="1"/>
    </xf>
    <xf numFmtId="0" fontId="54" fillId="0" borderId="59" xfId="0" applyFont="1" applyFill="1" applyBorder="1" applyAlignment="1">
      <alignment horizontal="center" vertical="center" wrapText="1"/>
    </xf>
    <xf numFmtId="164" fontId="53" fillId="17" borderId="44" xfId="1" applyFont="1" applyFill="1" applyBorder="1" applyAlignment="1">
      <alignment horizontal="center" vertical="center" wrapText="1"/>
    </xf>
    <xf numFmtId="167" fontId="53" fillId="17" borderId="44" xfId="2" applyNumberFormat="1" applyFont="1" applyFill="1" applyBorder="1" applyAlignment="1">
      <alignment horizontal="center" vertical="center" wrapText="1"/>
    </xf>
    <xf numFmtId="9" fontId="53" fillId="17" borderId="44" xfId="2" applyFont="1" applyFill="1" applyBorder="1" applyAlignment="1">
      <alignment horizontal="center" vertical="center" wrapText="1"/>
    </xf>
    <xf numFmtId="0" fontId="56" fillId="17" borderId="41" xfId="0" applyNumberFormat="1" applyFont="1" applyFill="1" applyBorder="1" applyAlignment="1">
      <alignment vertical="center" wrapText="1"/>
    </xf>
    <xf numFmtId="164" fontId="53" fillId="13" borderId="44" xfId="1" applyFont="1" applyFill="1" applyBorder="1" applyAlignment="1">
      <alignment horizontal="center" vertical="center" wrapText="1"/>
    </xf>
    <xf numFmtId="167" fontId="53" fillId="13" borderId="44" xfId="2" applyNumberFormat="1" applyFont="1" applyFill="1" applyBorder="1" applyAlignment="1">
      <alignment horizontal="center" vertical="center" wrapText="1"/>
    </xf>
    <xf numFmtId="9" fontId="53" fillId="13" borderId="44" xfId="2" applyFont="1" applyFill="1" applyBorder="1" applyAlignment="1">
      <alignment horizontal="center" vertical="center" wrapText="1"/>
    </xf>
    <xf numFmtId="0" fontId="54" fillId="0" borderId="0" xfId="0" applyFont="1" applyFill="1" applyAlignment="1">
      <alignment horizontal="center" vertical="center" wrapText="1"/>
    </xf>
    <xf numFmtId="0" fontId="55" fillId="0" borderId="59" xfId="0" applyFont="1" applyFill="1" applyBorder="1" applyAlignment="1">
      <alignment horizontal="center" vertical="center" wrapText="1"/>
    </xf>
    <xf numFmtId="3" fontId="74" fillId="18" borderId="41" xfId="0" applyNumberFormat="1" applyFont="1" applyFill="1" applyBorder="1" applyAlignment="1">
      <alignment horizontal="center" vertical="center" wrapText="1"/>
    </xf>
    <xf numFmtId="3" fontId="74" fillId="13" borderId="41" xfId="0" applyNumberFormat="1" applyFont="1" applyFill="1" applyBorder="1" applyAlignment="1">
      <alignment horizontal="center" vertical="center" wrapText="1"/>
    </xf>
    <xf numFmtId="0" fontId="74" fillId="17" borderId="0" xfId="0" applyFont="1" applyFill="1" applyAlignment="1">
      <alignment horizontal="center" vertical="center" wrapText="1"/>
    </xf>
    <xf numFmtId="0" fontId="54" fillId="0" borderId="60" xfId="0" applyFont="1" applyFill="1" applyBorder="1" applyAlignment="1">
      <alignment horizontal="center" vertical="center" wrapText="1"/>
    </xf>
    <xf numFmtId="0" fontId="54" fillId="17" borderId="41" xfId="0" applyFont="1" applyFill="1" applyBorder="1" applyAlignment="1">
      <alignment horizontal="center" vertical="center" wrapText="1"/>
    </xf>
    <xf numFmtId="0" fontId="54" fillId="13" borderId="41" xfId="0" applyFont="1" applyFill="1" applyBorder="1" applyAlignment="1">
      <alignment horizontal="center" vertical="center" wrapText="1"/>
    </xf>
    <xf numFmtId="0" fontId="74" fillId="17" borderId="41" xfId="0" applyFont="1" applyFill="1" applyBorder="1" applyAlignment="1">
      <alignment horizontal="center" vertical="center" wrapText="1"/>
    </xf>
    <xf numFmtId="0" fontId="55" fillId="0" borderId="59" xfId="4" applyFont="1" applyFill="1" applyBorder="1" applyAlignment="1">
      <alignment horizontal="center" vertical="center" wrapText="1"/>
    </xf>
    <xf numFmtId="1" fontId="53" fillId="18" borderId="41" xfId="1" applyNumberFormat="1" applyFont="1" applyFill="1" applyBorder="1" applyAlignment="1">
      <alignment horizontal="center" vertical="center" wrapText="1"/>
    </xf>
    <xf numFmtId="1" fontId="53" fillId="13" borderId="41" xfId="1" applyNumberFormat="1" applyFont="1" applyFill="1" applyBorder="1" applyAlignment="1">
      <alignment horizontal="center" vertical="center" wrapText="1"/>
    </xf>
    <xf numFmtId="1" fontId="53" fillId="0" borderId="41" xfId="1" applyNumberFormat="1" applyFont="1" applyFill="1" applyBorder="1" applyAlignment="1">
      <alignment horizontal="center" vertical="center" wrapText="1"/>
    </xf>
    <xf numFmtId="1" fontId="53" fillId="10" borderId="41" xfId="1" applyNumberFormat="1" applyFont="1" applyFill="1" applyBorder="1" applyAlignment="1">
      <alignment horizontal="center" vertical="center" wrapText="1"/>
    </xf>
    <xf numFmtId="1" fontId="53" fillId="0" borderId="44" xfId="1" applyNumberFormat="1" applyFont="1" applyFill="1" applyBorder="1" applyAlignment="1">
      <alignment horizontal="center" vertical="center" wrapText="1"/>
    </xf>
    <xf numFmtId="165" fontId="39" fillId="0" borderId="41" xfId="1" applyNumberFormat="1" applyFont="1" applyFill="1" applyBorder="1" applyAlignment="1" applyProtection="1">
      <alignment horizontal="center" vertical="center" wrapText="1"/>
    </xf>
    <xf numFmtId="165" fontId="39" fillId="0" borderId="41" xfId="1" applyNumberFormat="1" applyFont="1" applyFill="1" applyBorder="1" applyAlignment="1" applyProtection="1">
      <alignment horizontal="left" vertical="center" wrapText="1"/>
    </xf>
    <xf numFmtId="0" fontId="67" fillId="0" borderId="44" xfId="0" applyFont="1" applyFill="1" applyBorder="1" applyAlignment="1">
      <alignment vertical="center" wrapText="1"/>
    </xf>
    <xf numFmtId="1" fontId="39" fillId="0" borderId="41" xfId="1" applyNumberFormat="1" applyFont="1" applyFill="1" applyBorder="1" applyAlignment="1" applyProtection="1">
      <alignment horizontal="center" vertical="center" wrapText="1"/>
    </xf>
    <xf numFmtId="4" fontId="53" fillId="13" borderId="59" xfId="0" applyNumberFormat="1" applyFont="1" applyFill="1" applyBorder="1" applyAlignment="1">
      <alignment horizontal="center" vertical="center" wrapText="1"/>
    </xf>
    <xf numFmtId="3" fontId="73" fillId="13" borderId="52" xfId="0" applyNumberFormat="1" applyFont="1" applyFill="1" applyBorder="1" applyAlignment="1">
      <alignment horizontal="right" vertical="center" wrapText="1"/>
    </xf>
    <xf numFmtId="9" fontId="73" fillId="13" borderId="52" xfId="2" applyFont="1" applyFill="1" applyBorder="1" applyAlignment="1">
      <alignment horizontal="right" vertical="center" wrapText="1"/>
    </xf>
    <xf numFmtId="3" fontId="74" fillId="13" borderId="52" xfId="0" applyNumberFormat="1" applyFont="1" applyFill="1" applyBorder="1" applyAlignment="1">
      <alignment horizontal="right" vertical="center" wrapText="1"/>
    </xf>
    <xf numFmtId="0" fontId="74" fillId="13" borderId="52" xfId="0" applyFont="1" applyFill="1" applyBorder="1" applyAlignment="1">
      <alignment horizontal="right" vertical="center" wrapText="1"/>
    </xf>
    <xf numFmtId="3" fontId="74" fillId="0" borderId="41" xfId="0" applyNumberFormat="1" applyFont="1" applyFill="1" applyBorder="1" applyAlignment="1">
      <alignment horizontal="right" vertical="center" wrapText="1"/>
    </xf>
    <xf numFmtId="2" fontId="73" fillId="0" borderId="41" xfId="0" applyNumberFormat="1" applyFont="1" applyFill="1" applyBorder="1" applyAlignment="1">
      <alignment horizontal="center" vertical="center" wrapText="1"/>
    </xf>
    <xf numFmtId="3" fontId="73" fillId="0" borderId="52" xfId="0" applyNumberFormat="1" applyFont="1" applyFill="1" applyBorder="1" applyAlignment="1">
      <alignment horizontal="right" vertical="center" wrapText="1"/>
    </xf>
    <xf numFmtId="9" fontId="73" fillId="0" borderId="52" xfId="2" applyFont="1" applyFill="1" applyBorder="1" applyAlignment="1">
      <alignment horizontal="right" vertical="center" wrapText="1"/>
    </xf>
    <xf numFmtId="3" fontId="74" fillId="0" borderId="52" xfId="0" applyNumberFormat="1" applyFont="1" applyFill="1" applyBorder="1" applyAlignment="1">
      <alignment horizontal="right" vertical="center" wrapText="1"/>
    </xf>
    <xf numFmtId="0" fontId="74" fillId="0" borderId="52" xfId="0" applyFont="1" applyFill="1" applyBorder="1" applyAlignment="1">
      <alignment horizontal="right" vertical="center" wrapText="1"/>
    </xf>
    <xf numFmtId="3" fontId="74" fillId="0" borderId="41" xfId="0" applyNumberFormat="1" applyFont="1" applyFill="1" applyBorder="1" applyAlignment="1">
      <alignment horizontal="left" vertical="center" wrapText="1"/>
    </xf>
    <xf numFmtId="3" fontId="54" fillId="0" borderId="41" xfId="0" applyNumberFormat="1" applyFont="1" applyFill="1" applyBorder="1" applyAlignment="1">
      <alignment horizontal="right" vertical="center" wrapText="1"/>
    </xf>
    <xf numFmtId="3" fontId="55" fillId="17" borderId="44" xfId="0" applyNumberFormat="1" applyFont="1" applyFill="1" applyBorder="1" applyAlignment="1">
      <alignment horizontal="center" vertical="center" wrapText="1"/>
    </xf>
    <xf numFmtId="3" fontId="54" fillId="17" borderId="59" xfId="0" applyNumberFormat="1" applyFont="1" applyFill="1" applyBorder="1" applyAlignment="1">
      <alignment horizontal="center" vertical="center" wrapText="1"/>
    </xf>
    <xf numFmtId="4" fontId="53" fillId="17" borderId="59" xfId="0" applyNumberFormat="1" applyFont="1" applyFill="1" applyBorder="1" applyAlignment="1">
      <alignment horizontal="center" vertical="center" wrapText="1"/>
    </xf>
    <xf numFmtId="3" fontId="74" fillId="17" borderId="41" xfId="0" applyNumberFormat="1" applyFont="1" applyFill="1" applyBorder="1" applyAlignment="1">
      <alignment horizontal="right" vertical="center" wrapText="1"/>
    </xf>
    <xf numFmtId="3" fontId="53" fillId="17" borderId="41" xfId="0" applyNumberFormat="1" applyFont="1" applyFill="1" applyBorder="1" applyAlignment="1">
      <alignment horizontal="center" vertical="center" wrapText="1"/>
    </xf>
    <xf numFmtId="2" fontId="73" fillId="17" borderId="41" xfId="0" applyNumberFormat="1" applyFont="1" applyFill="1" applyBorder="1" applyAlignment="1">
      <alignment horizontal="center" vertical="center" wrapText="1"/>
    </xf>
    <xf numFmtId="3" fontId="73" fillId="17" borderId="52" xfId="0" applyNumberFormat="1" applyFont="1" applyFill="1" applyBorder="1" applyAlignment="1">
      <alignment horizontal="right" vertical="center" wrapText="1"/>
    </xf>
    <xf numFmtId="9" fontId="73" fillId="17" borderId="52" xfId="2" applyFont="1" applyFill="1" applyBorder="1" applyAlignment="1">
      <alignment horizontal="right" vertical="center" wrapText="1"/>
    </xf>
    <xf numFmtId="3" fontId="74" fillId="17" borderId="52" xfId="0" applyNumberFormat="1" applyFont="1" applyFill="1" applyBorder="1" applyAlignment="1">
      <alignment horizontal="right" vertical="center" wrapText="1"/>
    </xf>
    <xf numFmtId="0" fontId="74" fillId="17" borderId="52" xfId="0" applyFont="1" applyFill="1" applyBorder="1" applyAlignment="1">
      <alignment horizontal="right" vertical="center" wrapText="1"/>
    </xf>
    <xf numFmtId="3" fontId="74" fillId="17" borderId="41" xfId="0" applyNumberFormat="1" applyFont="1" applyFill="1" applyBorder="1" applyAlignment="1">
      <alignment horizontal="left" vertical="center" wrapText="1"/>
    </xf>
    <xf numFmtId="0" fontId="74" fillId="17" borderId="0" xfId="0" applyFont="1" applyFill="1" applyBorder="1" applyAlignment="1">
      <alignment vertical="center" wrapText="1"/>
    </xf>
    <xf numFmtId="1" fontId="53" fillId="16" borderId="41" xfId="1" applyNumberFormat="1" applyFont="1" applyFill="1" applyBorder="1" applyAlignment="1">
      <alignment horizontal="center" vertical="center" wrapText="1"/>
    </xf>
    <xf numFmtId="3" fontId="53" fillId="11" borderId="41" xfId="0" applyNumberFormat="1" applyFont="1" applyFill="1" applyBorder="1" applyAlignment="1">
      <alignment horizontal="center" vertical="center" wrapText="1"/>
    </xf>
    <xf numFmtId="3" fontId="53" fillId="16" borderId="41" xfId="1" applyNumberFormat="1" applyFont="1" applyFill="1" applyBorder="1" applyAlignment="1">
      <alignment horizontal="center" vertical="center" wrapText="1"/>
    </xf>
    <xf numFmtId="3" fontId="53" fillId="17" borderId="41" xfId="1" applyNumberFormat="1" applyFont="1" applyFill="1" applyBorder="1" applyAlignment="1">
      <alignment horizontal="center" vertical="center" wrapText="1"/>
    </xf>
    <xf numFmtId="3" fontId="53" fillId="13" borderId="41" xfId="1" applyNumberFormat="1" applyFont="1" applyFill="1" applyBorder="1" applyAlignment="1">
      <alignment horizontal="center" vertical="center" wrapText="1"/>
    </xf>
    <xf numFmtId="3" fontId="53" fillId="0" borderId="41" xfId="1" applyNumberFormat="1" applyFont="1" applyFill="1" applyBorder="1" applyAlignment="1">
      <alignment horizontal="center" vertical="center" wrapText="1"/>
    </xf>
    <xf numFmtId="3" fontId="53" fillId="16" borderId="41" xfId="1" applyNumberFormat="1" applyFont="1" applyFill="1" applyBorder="1" applyAlignment="1">
      <alignment vertical="center" wrapText="1"/>
    </xf>
    <xf numFmtId="3" fontId="53" fillId="18" borderId="41" xfId="1" applyNumberFormat="1" applyFont="1" applyFill="1" applyBorder="1" applyAlignment="1">
      <alignment vertical="center" wrapText="1"/>
    </xf>
    <xf numFmtId="3" fontId="53" fillId="13" borderId="41" xfId="1" applyNumberFormat="1" applyFont="1" applyFill="1" applyBorder="1" applyAlignment="1">
      <alignment vertical="center" wrapText="1"/>
    </xf>
    <xf numFmtId="3" fontId="53" fillId="17" borderId="44" xfId="1" applyNumberFormat="1" applyFont="1" applyFill="1" applyBorder="1" applyAlignment="1">
      <alignment horizontal="center" vertical="center" wrapText="1"/>
    </xf>
    <xf numFmtId="3" fontId="53" fillId="13" borderId="44" xfId="1" applyNumberFormat="1" applyFont="1" applyFill="1" applyBorder="1" applyAlignment="1">
      <alignment horizontal="center" vertical="center" wrapText="1"/>
    </xf>
    <xf numFmtId="3" fontId="53" fillId="0" borderId="41" xfId="0" applyNumberFormat="1" applyFont="1" applyFill="1" applyBorder="1" applyAlignment="1">
      <alignment horizontal="right" vertical="center" wrapText="1"/>
    </xf>
    <xf numFmtId="9" fontId="53" fillId="18" borderId="41" xfId="2" applyFont="1" applyFill="1" applyBorder="1" applyAlignment="1">
      <alignment horizontal="center" vertical="center" wrapText="1"/>
    </xf>
    <xf numFmtId="9" fontId="54" fillId="0" borderId="41" xfId="2" applyFont="1" applyFill="1" applyBorder="1" applyAlignment="1">
      <alignment horizontal="center" vertical="center" wrapText="1"/>
    </xf>
    <xf numFmtId="0" fontId="54" fillId="16" borderId="41" xfId="0" applyFont="1" applyFill="1" applyBorder="1" applyAlignment="1">
      <alignment horizontal="center" vertical="center" wrapText="1"/>
    </xf>
    <xf numFmtId="9" fontId="54" fillId="16" borderId="41" xfId="2" applyFont="1" applyFill="1" applyBorder="1" applyAlignment="1">
      <alignment horizontal="center" vertical="center" wrapText="1"/>
    </xf>
    <xf numFmtId="2" fontId="56" fillId="0" borderId="41" xfId="0" applyNumberFormat="1" applyFont="1" applyFill="1" applyBorder="1" applyAlignment="1">
      <alignment horizontal="center" vertical="center" wrapText="1"/>
    </xf>
    <xf numFmtId="0" fontId="74" fillId="17" borderId="41" xfId="0" applyFont="1" applyFill="1" applyBorder="1" applyAlignment="1">
      <alignment vertical="center" wrapText="1"/>
    </xf>
    <xf numFmtId="0" fontId="74" fillId="13" borderId="41" xfId="0" applyFont="1" applyFill="1" applyBorder="1" applyAlignment="1">
      <alignment vertical="center" wrapText="1"/>
    </xf>
    <xf numFmtId="3" fontId="73" fillId="0" borderId="41" xfId="0" applyNumberFormat="1" applyFont="1" applyFill="1" applyBorder="1" applyAlignment="1">
      <alignment horizontal="center" vertical="center" wrapText="1"/>
    </xf>
    <xf numFmtId="0" fontId="74" fillId="0" borderId="41" xfId="0" applyFont="1" applyFill="1" applyBorder="1" applyAlignment="1">
      <alignment horizontal="center" vertical="center" wrapText="1"/>
    </xf>
    <xf numFmtId="3" fontId="73" fillId="17" borderId="41" xfId="0" applyNumberFormat="1" applyFont="1" applyFill="1" applyBorder="1" applyAlignment="1">
      <alignment horizontal="center" vertical="center" wrapText="1"/>
    </xf>
    <xf numFmtId="3" fontId="73" fillId="13" borderId="41" xfId="0" applyNumberFormat="1" applyFont="1" applyFill="1" applyBorder="1" applyAlignment="1">
      <alignment horizontal="center" vertical="center" wrapText="1"/>
    </xf>
    <xf numFmtId="10" fontId="53" fillId="16" borderId="41" xfId="2" applyNumberFormat="1" applyFont="1" applyFill="1" applyBorder="1" applyAlignment="1">
      <alignment vertical="center" wrapText="1"/>
    </xf>
    <xf numFmtId="0" fontId="111" fillId="0" borderId="0" xfId="0" applyFont="1" applyFill="1" applyAlignment="1">
      <alignment vertical="center" wrapText="1"/>
    </xf>
    <xf numFmtId="3" fontId="53" fillId="0" borderId="41" xfId="0" applyNumberFormat="1" applyFont="1" applyFill="1" applyBorder="1" applyAlignment="1">
      <alignment vertical="center" wrapText="1"/>
    </xf>
    <xf numFmtId="43" fontId="54" fillId="0" borderId="41" xfId="0" applyNumberFormat="1" applyFont="1" applyFill="1" applyBorder="1" applyAlignment="1">
      <alignment horizontal="right" vertical="center" wrapText="1"/>
    </xf>
    <xf numFmtId="0" fontId="113" fillId="0" borderId="41" xfId="0" applyFont="1" applyFill="1" applyBorder="1" applyAlignment="1">
      <alignment horizontal="center" vertical="center" wrapText="1"/>
    </xf>
    <xf numFmtId="0" fontId="113" fillId="43" borderId="41" xfId="0" applyFont="1" applyFill="1" applyBorder="1" applyAlignment="1">
      <alignment horizontal="center" vertical="center" wrapText="1"/>
    </xf>
    <xf numFmtId="0" fontId="108" fillId="16" borderId="41" xfId="0" applyFont="1" applyFill="1" applyBorder="1" applyAlignment="1">
      <alignment horizontal="center" vertical="center" wrapText="1"/>
    </xf>
    <xf numFmtId="10" fontId="98" fillId="13" borderId="41" xfId="2" applyNumberFormat="1" applyFont="1" applyFill="1" applyBorder="1" applyAlignment="1">
      <alignment horizontal="center" vertical="center" wrapText="1"/>
    </xf>
    <xf numFmtId="10" fontId="53" fillId="13" borderId="41" xfId="0" applyNumberFormat="1" applyFont="1" applyFill="1" applyBorder="1" applyAlignment="1">
      <alignment horizontal="center" vertical="center" wrapText="1"/>
    </xf>
    <xf numFmtId="9" fontId="54" fillId="0" borderId="41" xfId="0" applyNumberFormat="1" applyFont="1" applyFill="1" applyBorder="1" applyAlignment="1">
      <alignment horizontal="center" vertical="center" wrapText="1"/>
    </xf>
    <xf numFmtId="10" fontId="54" fillId="0" borderId="41" xfId="0" applyNumberFormat="1" applyFont="1" applyFill="1" applyBorder="1" applyAlignment="1">
      <alignment horizontal="center" vertical="center" wrapText="1"/>
    </xf>
    <xf numFmtId="167" fontId="54" fillId="0" borderId="41" xfId="0" applyNumberFormat="1" applyFont="1" applyFill="1" applyBorder="1" applyAlignment="1">
      <alignment horizontal="center" vertical="center" wrapText="1"/>
    </xf>
    <xf numFmtId="167" fontId="54" fillId="16" borderId="41" xfId="0" applyNumberFormat="1" applyFont="1" applyFill="1" applyBorder="1" applyAlignment="1">
      <alignment horizontal="center" vertical="center" wrapText="1"/>
    </xf>
    <xf numFmtId="0" fontId="105" fillId="0" borderId="41" xfId="0" applyFont="1" applyFill="1" applyBorder="1" applyAlignment="1">
      <alignment horizontal="center" vertical="center" wrapText="1"/>
    </xf>
    <xf numFmtId="0" fontId="106" fillId="0" borderId="41" xfId="0" applyFont="1" applyFill="1" applyBorder="1" applyAlignment="1">
      <alignment horizontal="center" vertical="center" wrapText="1"/>
    </xf>
    <xf numFmtId="0" fontId="105" fillId="28" borderId="41" xfId="0" applyFont="1" applyFill="1" applyBorder="1" applyAlignment="1">
      <alignment horizontal="center" vertical="center" wrapText="1"/>
    </xf>
    <xf numFmtId="9" fontId="53" fillId="13" borderId="41" xfId="0" applyNumberFormat="1" applyFont="1" applyFill="1" applyBorder="1" applyAlignment="1">
      <alignment horizontal="center" vertical="center" wrapText="1"/>
    </xf>
    <xf numFmtId="0" fontId="55" fillId="0" borderId="44" xfId="0" applyNumberFormat="1" applyFont="1" applyFill="1" applyBorder="1" applyAlignment="1">
      <alignment vertical="center" wrapText="1"/>
    </xf>
    <xf numFmtId="0" fontId="55" fillId="0" borderId="52" xfId="0" applyNumberFormat="1" applyFont="1" applyFill="1" applyBorder="1" applyAlignment="1">
      <alignment vertical="center" wrapText="1"/>
    </xf>
    <xf numFmtId="0" fontId="55" fillId="0" borderId="44" xfId="0" applyNumberFormat="1" applyFont="1" applyFill="1" applyBorder="1" applyAlignment="1">
      <alignment vertical="center" wrapText="1"/>
    </xf>
    <xf numFmtId="0" fontId="55" fillId="0" borderId="41" xfId="0" applyFont="1" applyFill="1" applyBorder="1" applyAlignment="1">
      <alignment wrapText="1"/>
    </xf>
    <xf numFmtId="3" fontId="55" fillId="0" borderId="41" xfId="0" applyNumberFormat="1" applyFont="1" applyFill="1" applyBorder="1" applyAlignment="1">
      <alignment horizontal="center" vertical="center" wrapText="1"/>
    </xf>
    <xf numFmtId="3" fontId="54" fillId="0" borderId="59" xfId="0" applyNumberFormat="1" applyFont="1" applyFill="1" applyBorder="1" applyAlignment="1">
      <alignment horizontal="center" vertical="center" wrapText="1"/>
    </xf>
    <xf numFmtId="4" fontId="53" fillId="0" borderId="59" xfId="0" applyNumberFormat="1" applyFont="1" applyFill="1" applyBorder="1" applyAlignment="1">
      <alignment horizontal="center" vertical="center" wrapText="1"/>
    </xf>
    <xf numFmtId="10" fontId="53" fillId="0" borderId="41" xfId="0" applyNumberFormat="1" applyFont="1" applyFill="1" applyBorder="1" applyAlignment="1">
      <alignment horizontal="center" vertical="center" wrapText="1"/>
    </xf>
    <xf numFmtId="169" fontId="53" fillId="0" borderId="59" xfId="0" applyNumberFormat="1" applyFont="1" applyFill="1" applyBorder="1" applyAlignment="1">
      <alignment horizontal="center" vertical="center" wrapText="1"/>
    </xf>
    <xf numFmtId="9" fontId="53" fillId="0" borderId="41" xfId="2" applyNumberFormat="1" applyFont="1" applyFill="1" applyBorder="1" applyAlignment="1">
      <alignment horizontal="center" vertical="center" wrapText="1"/>
    </xf>
    <xf numFmtId="9" fontId="54" fillId="0" borderId="53" xfId="2" applyFont="1" applyFill="1" applyBorder="1" applyAlignment="1">
      <alignment horizontal="left" vertical="center" wrapText="1"/>
    </xf>
    <xf numFmtId="0" fontId="54" fillId="0" borderId="41" xfId="0" applyFont="1" applyFill="1" applyBorder="1" applyAlignment="1">
      <alignment horizontal="left" vertical="justify" wrapText="1"/>
    </xf>
    <xf numFmtId="0" fontId="54" fillId="0" borderId="41" xfId="0" applyFont="1" applyFill="1" applyBorder="1" applyAlignment="1">
      <alignment horizontal="justify" vertical="center" wrapText="1"/>
    </xf>
    <xf numFmtId="0" fontId="55" fillId="0" borderId="41" xfId="0" applyFont="1" applyFill="1" applyBorder="1" applyAlignment="1">
      <alignment horizontal="justify" vertical="center" wrapText="1"/>
    </xf>
    <xf numFmtId="0" fontId="55" fillId="0" borderId="41" xfId="0" applyFont="1" applyFill="1" applyBorder="1" applyAlignment="1">
      <alignment horizontal="justify" vertical="top" wrapText="1"/>
    </xf>
    <xf numFmtId="0" fontId="108" fillId="0" borderId="41" xfId="0" applyFont="1" applyFill="1" applyBorder="1" applyAlignment="1">
      <alignment horizontal="center" vertical="center" wrapText="1"/>
    </xf>
    <xf numFmtId="1" fontId="53" fillId="0" borderId="41" xfId="2" applyNumberFormat="1" applyFont="1" applyFill="1" applyBorder="1" applyAlignment="1">
      <alignment horizontal="center" vertical="center" wrapText="1"/>
    </xf>
    <xf numFmtId="0" fontId="55" fillId="0" borderId="41" xfId="0" applyFont="1" applyFill="1" applyBorder="1" applyAlignment="1">
      <alignment vertical="justify" wrapText="1"/>
    </xf>
    <xf numFmtId="0" fontId="54" fillId="0" borderId="59" xfId="4" applyFont="1" applyFill="1" applyBorder="1" applyAlignment="1">
      <alignment horizontal="center" vertical="center" wrapText="1"/>
    </xf>
    <xf numFmtId="0" fontId="114" fillId="0" borderId="41" xfId="0" applyFont="1" applyFill="1" applyBorder="1" applyAlignment="1">
      <alignment vertical="center" wrapText="1"/>
    </xf>
    <xf numFmtId="0" fontId="54" fillId="0" borderId="41" xfId="0" applyFont="1" applyFill="1" applyBorder="1" applyAlignment="1">
      <alignment horizontal="left" vertical="top" wrapText="1"/>
    </xf>
    <xf numFmtId="0" fontId="55" fillId="0" borderId="59" xfId="0" applyFont="1" applyFill="1" applyBorder="1" applyAlignment="1">
      <alignment vertical="center" wrapText="1"/>
    </xf>
    <xf numFmtId="0" fontId="76" fillId="0" borderId="41" xfId="0" applyFont="1" applyFill="1" applyBorder="1" applyAlignment="1">
      <alignment vertical="center" wrapText="1"/>
    </xf>
    <xf numFmtId="0" fontId="55" fillId="0" borderId="44" xfId="0" applyFont="1" applyFill="1" applyBorder="1" applyAlignment="1">
      <alignment vertical="top" wrapText="1"/>
    </xf>
    <xf numFmtId="0" fontId="109" fillId="0" borderId="41" xfId="0" applyFont="1" applyFill="1" applyBorder="1" applyAlignment="1">
      <alignment horizontal="left" vertical="center" wrapText="1"/>
    </xf>
    <xf numFmtId="0" fontId="39" fillId="0" borderId="41"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38" fillId="0" borderId="41" xfId="0" applyFont="1" applyFill="1" applyBorder="1" applyAlignment="1">
      <alignment horizontal="center" vertical="center" wrapText="1"/>
    </xf>
    <xf numFmtId="0" fontId="67" fillId="18" borderId="59" xfId="0"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40" xfId="0" applyFont="1" applyFill="1" applyBorder="1" applyAlignment="1">
      <alignment horizontal="center" vertical="center" wrapText="1"/>
    </xf>
    <xf numFmtId="0" fontId="65" fillId="18" borderId="59" xfId="0" applyFont="1" applyFill="1" applyBorder="1" applyAlignment="1">
      <alignment horizontal="center" vertical="center" wrapText="1"/>
    </xf>
    <xf numFmtId="0" fontId="65" fillId="18" borderId="46" xfId="0" applyFont="1" applyFill="1" applyBorder="1" applyAlignment="1">
      <alignment horizontal="center" vertical="center" wrapText="1"/>
    </xf>
    <xf numFmtId="0" fontId="65" fillId="18" borderId="40" xfId="0" applyFont="1" applyFill="1" applyBorder="1" applyAlignment="1">
      <alignment horizontal="center" vertical="center" wrapText="1"/>
    </xf>
    <xf numFmtId="0" fontId="39" fillId="18" borderId="59" xfId="0" applyFont="1" applyFill="1" applyBorder="1" applyAlignment="1">
      <alignment horizontal="center" vertical="center" wrapText="1"/>
    </xf>
    <xf numFmtId="0" fontId="39" fillId="18" borderId="46" xfId="0" applyFont="1" applyFill="1" applyBorder="1" applyAlignment="1">
      <alignment horizontal="center" vertical="center" wrapText="1"/>
    </xf>
    <xf numFmtId="0" fontId="39" fillId="18" borderId="40" xfId="0" applyFont="1" applyFill="1" applyBorder="1" applyAlignment="1">
      <alignment horizontal="center" vertical="center" wrapText="1"/>
    </xf>
    <xf numFmtId="0" fontId="38" fillId="18" borderId="59" xfId="0" applyFont="1" applyFill="1" applyBorder="1" applyAlignment="1">
      <alignment horizontal="center" vertical="center" wrapText="1"/>
    </xf>
    <xf numFmtId="0" fontId="38" fillId="18" borderId="46" xfId="0" applyFont="1" applyFill="1" applyBorder="1" applyAlignment="1">
      <alignment horizontal="center" vertical="center" wrapText="1"/>
    </xf>
    <xf numFmtId="0" fontId="38" fillId="18" borderId="40" xfId="0" applyFont="1" applyFill="1" applyBorder="1" applyAlignment="1">
      <alignment horizontal="center" vertical="center" wrapText="1"/>
    </xf>
    <xf numFmtId="0" fontId="13" fillId="0" borderId="41" xfId="0" applyFont="1" applyFill="1" applyBorder="1" applyAlignment="1">
      <alignment horizontal="left" vertical="center" wrapText="1"/>
    </xf>
    <xf numFmtId="0" fontId="42" fillId="0" borderId="0" xfId="0" applyFont="1" applyAlignment="1">
      <alignment horizontal="center"/>
    </xf>
    <xf numFmtId="165" fontId="43" fillId="2" borderId="41" xfId="1" applyNumberFormat="1" applyFont="1" applyFill="1" applyBorder="1" applyAlignment="1" applyProtection="1">
      <alignment horizontal="center" vertical="center" wrapText="1"/>
    </xf>
    <xf numFmtId="0" fontId="13" fillId="0" borderId="52" xfId="0" applyFont="1" applyFill="1" applyBorder="1" applyAlignment="1">
      <alignment horizontal="left" vertical="center" wrapText="1"/>
    </xf>
    <xf numFmtId="0" fontId="13" fillId="0" borderId="53" xfId="0" applyFont="1" applyFill="1" applyBorder="1" applyAlignment="1">
      <alignment horizontal="left" vertical="center" wrapText="1"/>
    </xf>
    <xf numFmtId="0" fontId="13" fillId="0" borderId="44" xfId="0" applyFont="1" applyFill="1" applyBorder="1" applyAlignment="1">
      <alignment horizontal="left" vertical="center" wrapText="1"/>
    </xf>
    <xf numFmtId="0" fontId="39" fillId="0" borderId="41" xfId="0" applyFont="1" applyFill="1" applyBorder="1" applyAlignment="1">
      <alignment horizontal="left" vertical="center" wrapText="1"/>
    </xf>
    <xf numFmtId="0" fontId="68" fillId="18" borderId="41" xfId="0" applyFont="1" applyFill="1" applyBorder="1" applyAlignment="1">
      <alignment horizontal="center" vertical="center" wrapText="1"/>
    </xf>
    <xf numFmtId="0" fontId="13" fillId="0" borderId="66" xfId="0" applyFont="1" applyFill="1" applyBorder="1" applyAlignment="1">
      <alignment horizontal="left" vertical="center" wrapText="1"/>
    </xf>
    <xf numFmtId="0" fontId="13" fillId="0" borderId="60" xfId="0" applyFont="1" applyFill="1" applyBorder="1" applyAlignment="1">
      <alignment horizontal="left" vertical="center" wrapText="1"/>
    </xf>
    <xf numFmtId="0" fontId="38" fillId="18" borderId="41" xfId="0" applyFont="1" applyFill="1" applyBorder="1" applyAlignment="1">
      <alignment horizontal="center" vertical="center" wrapText="1"/>
    </xf>
    <xf numFmtId="0" fontId="105" fillId="0" borderId="41" xfId="0" applyFont="1" applyFill="1" applyBorder="1" applyAlignment="1">
      <alignment horizontal="left" vertical="center" wrapText="1"/>
    </xf>
    <xf numFmtId="0" fontId="38" fillId="0" borderId="41" xfId="0" applyFont="1" applyFill="1" applyBorder="1" applyAlignment="1">
      <alignment horizontal="left" vertical="center" wrapText="1"/>
    </xf>
    <xf numFmtId="0" fontId="105" fillId="0" borderId="41" xfId="0" applyFont="1" applyFill="1" applyBorder="1" applyAlignment="1">
      <alignment vertical="center" wrapText="1"/>
    </xf>
    <xf numFmtId="0" fontId="105" fillId="28" borderId="41" xfId="0" applyFont="1" applyFill="1" applyBorder="1" applyAlignment="1">
      <alignment horizontal="center" vertical="center" wrapText="1"/>
    </xf>
    <xf numFmtId="0" fontId="39" fillId="16" borderId="41" xfId="0" applyFont="1" applyFill="1" applyBorder="1" applyAlignment="1">
      <alignment horizontal="center" vertical="center" wrapText="1"/>
    </xf>
    <xf numFmtId="0" fontId="67" fillId="0" borderId="41" xfId="0" applyFont="1" applyFill="1" applyBorder="1" applyAlignment="1">
      <alignment horizontal="center" vertical="center" wrapText="1"/>
    </xf>
    <xf numFmtId="0" fontId="38" fillId="16" borderId="41" xfId="0" applyFont="1" applyFill="1" applyBorder="1" applyAlignment="1">
      <alignment horizontal="center" vertical="center" wrapText="1"/>
    </xf>
    <xf numFmtId="0" fontId="39" fillId="0" borderId="41" xfId="0" applyFont="1" applyFill="1" applyBorder="1" applyAlignment="1">
      <alignment horizontal="center" vertical="center"/>
    </xf>
    <xf numFmtId="0" fontId="38" fillId="16" borderId="41" xfId="0" applyFont="1" applyFill="1" applyBorder="1" applyAlignment="1">
      <alignment horizontal="left" vertical="center" wrapText="1"/>
    </xf>
    <xf numFmtId="0" fontId="13" fillId="18" borderId="59" xfId="0" applyFont="1" applyFill="1" applyBorder="1" applyAlignment="1">
      <alignment horizontal="center" vertical="center" wrapText="1"/>
    </xf>
    <xf numFmtId="0" fontId="13" fillId="18" borderId="46" xfId="0" applyFont="1" applyFill="1" applyBorder="1" applyAlignment="1">
      <alignment horizontal="center" vertical="center" wrapText="1"/>
    </xf>
    <xf numFmtId="0" fontId="13" fillId="18" borderId="40" xfId="0" applyFont="1" applyFill="1" applyBorder="1" applyAlignment="1">
      <alignment horizontal="center" vertical="center" wrapText="1"/>
    </xf>
    <xf numFmtId="0" fontId="40" fillId="0" borderId="0" xfId="0" applyFont="1" applyAlignment="1">
      <alignment horizontal="center"/>
    </xf>
    <xf numFmtId="165" fontId="43" fillId="2" borderId="41" xfId="1" applyNumberFormat="1" applyFont="1" applyFill="1" applyBorder="1" applyAlignment="1" applyProtection="1">
      <alignment horizontal="left" vertical="center" wrapText="1"/>
    </xf>
    <xf numFmtId="0" fontId="38" fillId="0" borderId="41" xfId="0" applyFont="1" applyBorder="1" applyAlignment="1">
      <alignment horizontal="center" vertical="center" wrapText="1"/>
    </xf>
    <xf numFmtId="0" fontId="39" fillId="0" borderId="52" xfId="1" applyNumberFormat="1" applyFont="1" applyFill="1" applyBorder="1" applyAlignment="1" applyProtection="1">
      <alignment horizontal="center" vertical="center" wrapText="1"/>
    </xf>
    <xf numFmtId="0" fontId="39" fillId="0" borderId="53" xfId="1" applyNumberFormat="1" applyFont="1" applyFill="1" applyBorder="1" applyAlignment="1" applyProtection="1">
      <alignment horizontal="center" vertical="center" wrapText="1"/>
    </xf>
    <xf numFmtId="0" fontId="39" fillId="0" borderId="44" xfId="1" applyNumberFormat="1" applyFont="1" applyFill="1" applyBorder="1" applyAlignment="1" applyProtection="1">
      <alignment horizontal="center" vertical="center" wrapText="1"/>
    </xf>
    <xf numFmtId="165" fontId="39" fillId="0" borderId="52" xfId="1" applyNumberFormat="1" applyFont="1" applyFill="1" applyBorder="1" applyAlignment="1" applyProtection="1">
      <alignment horizontal="left" vertical="center" wrapText="1"/>
    </xf>
    <xf numFmtId="165" fontId="39" fillId="0" borderId="44" xfId="1" applyNumberFormat="1" applyFont="1" applyFill="1" applyBorder="1" applyAlignment="1" applyProtection="1">
      <alignment horizontal="left" vertical="center" wrapText="1"/>
    </xf>
    <xf numFmtId="165" fontId="39" fillId="0" borderId="52" xfId="1" applyNumberFormat="1" applyFont="1" applyFill="1" applyBorder="1" applyAlignment="1" applyProtection="1">
      <alignment horizontal="center" vertical="center" wrapText="1"/>
    </xf>
    <xf numFmtId="165" fontId="39" fillId="0" borderId="44" xfId="1" applyNumberFormat="1" applyFont="1" applyFill="1" applyBorder="1" applyAlignment="1" applyProtection="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13" fillId="0" borderId="44" xfId="0" applyFont="1" applyFill="1" applyBorder="1" applyAlignment="1">
      <alignment horizontal="center" vertical="center" wrapText="1"/>
    </xf>
    <xf numFmtId="0" fontId="68" fillId="16" borderId="52" xfId="0" applyFont="1" applyFill="1" applyBorder="1" applyAlignment="1">
      <alignment horizontal="left" vertical="center" wrapText="1"/>
    </xf>
    <xf numFmtId="0" fontId="68" fillId="16" borderId="53" xfId="0" applyFont="1" applyFill="1" applyBorder="1" applyAlignment="1">
      <alignment horizontal="left" vertical="center" wrapText="1"/>
    </xf>
    <xf numFmtId="0" fontId="68" fillId="16" borderId="44" xfId="0" applyFont="1" applyFill="1" applyBorder="1" applyAlignment="1">
      <alignment horizontal="left" vertical="center" wrapText="1"/>
    </xf>
    <xf numFmtId="0" fontId="105" fillId="28" borderId="41" xfId="0" applyFont="1" applyFill="1" applyBorder="1" applyAlignment="1">
      <alignment horizontal="left" vertical="center" wrapText="1"/>
    </xf>
    <xf numFmtId="165" fontId="14" fillId="2" borderId="41" xfId="1" applyNumberFormat="1" applyFont="1" applyFill="1" applyBorder="1" applyAlignment="1" applyProtection="1">
      <alignment horizontal="center" vertical="center" wrapText="1"/>
    </xf>
    <xf numFmtId="0" fontId="37" fillId="16" borderId="52" xfId="0" applyFont="1" applyFill="1" applyBorder="1" applyAlignment="1">
      <alignment horizontal="left" vertical="center" wrapText="1"/>
    </xf>
    <xf numFmtId="0" fontId="37" fillId="16" borderId="53" xfId="0" applyFont="1" applyFill="1" applyBorder="1" applyAlignment="1">
      <alignment horizontal="left" vertical="center" wrapText="1"/>
    </xf>
    <xf numFmtId="0" fontId="37" fillId="16" borderId="44" xfId="0" applyFont="1" applyFill="1" applyBorder="1" applyAlignment="1">
      <alignment horizontal="left" vertical="center" wrapText="1"/>
    </xf>
    <xf numFmtId="0" fontId="104" fillId="18" borderId="41" xfId="0" applyFont="1" applyFill="1" applyBorder="1" applyAlignment="1">
      <alignment horizontal="center" vertical="center" wrapText="1"/>
    </xf>
    <xf numFmtId="0" fontId="13" fillId="18" borderId="41" xfId="0" applyFont="1" applyFill="1" applyBorder="1" applyAlignment="1">
      <alignment horizontal="center" vertical="center" wrapText="1"/>
    </xf>
    <xf numFmtId="0" fontId="105" fillId="0" borderId="41" xfId="0" applyFont="1" applyFill="1" applyBorder="1" applyAlignment="1">
      <alignment horizontal="center" vertical="center" wrapText="1"/>
    </xf>
    <xf numFmtId="0" fontId="106" fillId="0" borderId="41" xfId="0" applyFont="1" applyFill="1" applyBorder="1" applyAlignment="1">
      <alignment horizontal="center" vertical="center" wrapText="1"/>
    </xf>
    <xf numFmtId="0" fontId="68" fillId="0" borderId="41" xfId="0" applyFont="1" applyFill="1" applyBorder="1" applyAlignment="1">
      <alignment horizontal="center" vertical="center" wrapText="1"/>
    </xf>
    <xf numFmtId="0" fontId="68" fillId="18" borderId="59" xfId="0" applyFont="1" applyFill="1" applyBorder="1" applyAlignment="1">
      <alignment horizontal="center" vertical="center" wrapText="1"/>
    </xf>
    <xf numFmtId="0" fontId="68" fillId="18" borderId="46" xfId="0" applyFont="1" applyFill="1" applyBorder="1" applyAlignment="1">
      <alignment horizontal="center" vertical="center" wrapText="1"/>
    </xf>
    <xf numFmtId="0" fontId="68" fillId="18" borderId="40" xfId="0" applyFont="1" applyFill="1" applyBorder="1" applyAlignment="1">
      <alignment horizontal="center" vertical="center" wrapText="1"/>
    </xf>
    <xf numFmtId="0" fontId="105" fillId="0" borderId="52" xfId="0" applyFont="1" applyFill="1" applyBorder="1" applyAlignment="1">
      <alignment vertical="center" wrapText="1"/>
    </xf>
    <xf numFmtId="0" fontId="105" fillId="0" borderId="44" xfId="0" applyFont="1" applyFill="1" applyBorder="1" applyAlignment="1">
      <alignment vertical="center" wrapText="1"/>
    </xf>
    <xf numFmtId="0" fontId="71" fillId="18" borderId="0" xfId="0" applyFont="1" applyFill="1" applyBorder="1" applyAlignment="1">
      <alignment horizontal="center" vertical="center" wrapText="1"/>
    </xf>
    <xf numFmtId="0" fontId="71" fillId="18" borderId="88" xfId="0" applyFont="1" applyFill="1" applyBorder="1" applyAlignment="1">
      <alignment horizontal="center" vertical="center" wrapText="1"/>
    </xf>
    <xf numFmtId="0" fontId="71" fillId="18" borderId="59" xfId="0" applyFont="1" applyFill="1" applyBorder="1" applyAlignment="1">
      <alignment horizontal="center" vertical="center" wrapText="1"/>
    </xf>
    <xf numFmtId="0" fontId="71" fillId="18" borderId="46" xfId="0" applyFont="1" applyFill="1" applyBorder="1" applyAlignment="1">
      <alignment horizontal="center" vertical="center" wrapText="1"/>
    </xf>
    <xf numFmtId="0" fontId="71" fillId="18" borderId="40" xfId="0" applyFont="1" applyFill="1" applyBorder="1" applyAlignment="1">
      <alignment horizontal="center" vertical="center" wrapText="1"/>
    </xf>
    <xf numFmtId="0" fontId="67" fillId="18" borderId="41" xfId="0" applyFont="1" applyFill="1" applyBorder="1" applyAlignment="1">
      <alignment horizontal="center" vertical="center" wrapText="1"/>
    </xf>
    <xf numFmtId="0" fontId="65" fillId="18" borderId="41" xfId="0" applyFont="1" applyFill="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21" fillId="0" borderId="10" xfId="0" applyFont="1" applyBorder="1" applyAlignment="1">
      <alignment horizontal="center" wrapText="1"/>
    </xf>
    <xf numFmtId="0" fontId="21" fillId="0" borderId="9" xfId="0" applyFont="1" applyBorder="1" applyAlignment="1">
      <alignment horizontal="center" wrapText="1"/>
    </xf>
    <xf numFmtId="0" fontId="21" fillId="0" borderId="11" xfId="0" applyFont="1" applyBorder="1" applyAlignment="1">
      <alignment horizontal="center" wrapText="1"/>
    </xf>
    <xf numFmtId="165" fontId="4" fillId="15" borderId="30" xfId="1" applyNumberFormat="1" applyFont="1" applyFill="1" applyBorder="1" applyAlignment="1" applyProtection="1">
      <alignment horizontal="center" vertical="center" wrapText="1"/>
    </xf>
    <xf numFmtId="165" fontId="4" fillId="15" borderId="34" xfId="1" applyNumberFormat="1" applyFont="1" applyFill="1" applyBorder="1" applyAlignment="1" applyProtection="1">
      <alignment horizontal="center" vertical="center" wrapText="1"/>
    </xf>
    <xf numFmtId="165" fontId="4" fillId="2" borderId="30" xfId="1" applyNumberFormat="1" applyFont="1" applyFill="1" applyBorder="1" applyAlignment="1" applyProtection="1">
      <alignment horizontal="center" vertical="center" wrapText="1"/>
    </xf>
    <xf numFmtId="165" fontId="4" fillId="2" borderId="27" xfId="1" applyNumberFormat="1" applyFont="1" applyFill="1" applyBorder="1" applyAlignment="1" applyProtection="1">
      <alignment horizontal="center" vertical="center" wrapText="1"/>
    </xf>
    <xf numFmtId="165" fontId="4" fillId="2" borderId="34" xfId="1" applyNumberFormat="1" applyFont="1" applyFill="1" applyBorder="1" applyAlignment="1" applyProtection="1">
      <alignment horizontal="center" vertical="center" wrapText="1"/>
    </xf>
    <xf numFmtId="165" fontId="4" fillId="13" borderId="30" xfId="1" applyNumberFormat="1" applyFont="1" applyFill="1" applyBorder="1" applyAlignment="1" applyProtection="1">
      <alignment horizontal="center" vertical="center" wrapText="1"/>
    </xf>
    <xf numFmtId="165" fontId="4" fillId="13" borderId="34" xfId="1" applyNumberFormat="1" applyFont="1" applyFill="1" applyBorder="1" applyAlignment="1" applyProtection="1">
      <alignment horizontal="center" vertical="center" wrapText="1"/>
    </xf>
    <xf numFmtId="165" fontId="3" fillId="0" borderId="23" xfId="1" applyNumberFormat="1" applyFont="1" applyFill="1" applyBorder="1" applyAlignment="1" applyProtection="1">
      <alignment horizontal="center" vertical="center" wrapText="1"/>
      <protection locked="0"/>
    </xf>
    <xf numFmtId="165" fontId="3" fillId="0" borderId="20" xfId="1" applyNumberFormat="1" applyFont="1" applyFill="1" applyBorder="1" applyAlignment="1" applyProtection="1">
      <alignment horizontal="center" vertical="center" wrapText="1"/>
      <protection locked="0"/>
    </xf>
    <xf numFmtId="165" fontId="3" fillId="0" borderId="22" xfId="1" applyNumberFormat="1" applyFont="1" applyFill="1" applyBorder="1" applyAlignment="1" applyProtection="1">
      <alignment horizontal="center" vertical="center" wrapText="1"/>
      <protection locked="0"/>
    </xf>
    <xf numFmtId="9" fontId="3" fillId="0" borderId="29" xfId="2" applyFont="1" applyFill="1" applyBorder="1" applyAlignment="1" applyProtection="1">
      <alignment horizontal="center" vertical="center" wrapText="1"/>
      <protection locked="0"/>
    </xf>
    <xf numFmtId="9" fontId="3" fillId="0" borderId="27" xfId="2" applyFont="1" applyFill="1" applyBorder="1" applyAlignment="1" applyProtection="1">
      <alignment horizontal="center" vertical="center" wrapText="1"/>
      <protection locked="0"/>
    </xf>
    <xf numFmtId="9" fontId="3" fillId="0" borderId="28" xfId="2" applyFont="1" applyFill="1" applyBorder="1" applyAlignment="1" applyProtection="1">
      <alignment horizontal="center" vertical="center" wrapText="1"/>
      <protection locked="0"/>
    </xf>
    <xf numFmtId="9" fontId="6" fillId="0" borderId="39" xfId="2" applyFont="1" applyFill="1" applyBorder="1" applyAlignment="1" applyProtection="1">
      <alignment horizontal="center" vertical="center" wrapText="1"/>
      <protection locked="0"/>
    </xf>
    <xf numFmtId="9" fontId="6" fillId="0" borderId="5" xfId="2" applyFont="1" applyFill="1" applyBorder="1" applyAlignment="1" applyProtection="1">
      <alignment horizontal="center" vertical="center" wrapText="1"/>
      <protection locked="0"/>
    </xf>
    <xf numFmtId="9" fontId="6" fillId="0" borderId="7" xfId="2" applyFont="1" applyFill="1" applyBorder="1" applyAlignment="1" applyProtection="1">
      <alignment horizontal="center" vertical="center" wrapText="1"/>
      <protection locked="0"/>
    </xf>
    <xf numFmtId="9" fontId="6" fillId="0" borderId="29" xfId="2" applyFont="1" applyFill="1" applyBorder="1" applyAlignment="1" applyProtection="1">
      <alignment horizontal="center" vertical="center" wrapText="1"/>
      <protection locked="0"/>
    </xf>
    <xf numFmtId="9" fontId="6" fillId="0" borderId="27" xfId="2" applyFont="1" applyFill="1" applyBorder="1" applyAlignment="1" applyProtection="1">
      <alignment horizontal="center" vertical="center" wrapText="1"/>
      <protection locked="0"/>
    </xf>
    <xf numFmtId="0" fontId="0" fillId="0" borderId="27" xfId="0" applyBorder="1" applyAlignment="1"/>
    <xf numFmtId="165" fontId="6" fillId="0" borderId="5" xfId="1" applyNumberFormat="1" applyFont="1" applyFill="1" applyBorder="1" applyAlignment="1" applyProtection="1">
      <alignment horizontal="center" vertical="center" wrapText="1"/>
      <protection locked="0"/>
    </xf>
    <xf numFmtId="165" fontId="6" fillId="0" borderId="21" xfId="1" applyNumberFormat="1" applyFont="1" applyFill="1" applyBorder="1" applyAlignment="1" applyProtection="1">
      <alignment horizontal="center" vertical="center" wrapText="1"/>
      <protection locked="0"/>
    </xf>
    <xf numFmtId="9" fontId="6" fillId="0" borderId="28" xfId="2" applyFont="1" applyFill="1" applyBorder="1" applyAlignment="1" applyProtection="1">
      <alignment horizontal="center" vertical="center" wrapText="1"/>
      <protection locked="0"/>
    </xf>
    <xf numFmtId="165" fontId="3" fillId="0" borderId="31" xfId="1" applyNumberFormat="1" applyFont="1" applyFill="1" applyBorder="1" applyAlignment="1" applyProtection="1">
      <alignment horizontal="center" vertical="center" wrapText="1"/>
      <protection locked="0"/>
    </xf>
    <xf numFmtId="9" fontId="3" fillId="0" borderId="34" xfId="2" applyFont="1" applyFill="1" applyBorder="1" applyAlignment="1" applyProtection="1">
      <alignment horizontal="center" vertical="center" wrapText="1"/>
      <protection locked="0"/>
    </xf>
    <xf numFmtId="165" fontId="6" fillId="0" borderId="39" xfId="1" applyNumberFormat="1" applyFont="1" applyFill="1" applyBorder="1" applyAlignment="1" applyProtection="1">
      <alignment horizontal="center" vertical="center" wrapText="1"/>
      <protection locked="0"/>
    </xf>
    <xf numFmtId="165" fontId="4" fillId="2" borderId="3" xfId="1" applyNumberFormat="1" applyFont="1" applyFill="1" applyBorder="1" applyAlignment="1" applyProtection="1">
      <alignment horizontal="center" vertical="center" wrapText="1"/>
    </xf>
    <xf numFmtId="165" fontId="4" fillId="2" borderId="1" xfId="1" applyNumberFormat="1" applyFont="1" applyFill="1" applyBorder="1" applyAlignment="1" applyProtection="1">
      <alignment horizontal="center" vertical="center" wrapText="1"/>
    </xf>
    <xf numFmtId="165" fontId="22" fillId="2" borderId="10" xfId="1" applyNumberFormat="1" applyFont="1" applyFill="1" applyBorder="1" applyAlignment="1" applyProtection="1">
      <alignment horizontal="center" vertical="center" wrapText="1"/>
    </xf>
    <xf numFmtId="165" fontId="22" fillId="2" borderId="9" xfId="1" applyNumberFormat="1" applyFont="1" applyFill="1" applyBorder="1" applyAlignment="1" applyProtection="1">
      <alignment horizontal="center" vertical="center" wrapText="1"/>
    </xf>
    <xf numFmtId="165" fontId="22" fillId="2" borderId="11" xfId="1" applyNumberFormat="1" applyFont="1" applyFill="1" applyBorder="1" applyAlignment="1" applyProtection="1">
      <alignment horizontal="center" vertical="center" wrapText="1"/>
    </xf>
    <xf numFmtId="165" fontId="4" fillId="2" borderId="15" xfId="1" applyNumberFormat="1" applyFont="1" applyFill="1" applyBorder="1" applyAlignment="1" applyProtection="1">
      <alignment horizontal="center" vertical="center" wrapText="1"/>
    </xf>
    <xf numFmtId="165" fontId="4" fillId="2" borderId="18" xfId="1" applyNumberFormat="1" applyFont="1" applyFill="1" applyBorder="1" applyAlignment="1" applyProtection="1">
      <alignment horizontal="center" vertical="center" wrapText="1"/>
    </xf>
    <xf numFmtId="165" fontId="4" fillId="2" borderId="37" xfId="1" applyNumberFormat="1" applyFont="1" applyFill="1" applyBorder="1" applyAlignment="1" applyProtection="1">
      <alignment horizontal="center" vertical="center" wrapText="1"/>
    </xf>
    <xf numFmtId="165" fontId="4" fillId="2" borderId="43" xfId="1" applyNumberFormat="1" applyFont="1" applyFill="1" applyBorder="1" applyAlignment="1" applyProtection="1">
      <alignment horizontal="center" vertical="center" wrapText="1"/>
    </xf>
    <xf numFmtId="164" fontId="53" fillId="0" borderId="52" xfId="1" applyFont="1" applyFill="1" applyBorder="1" applyAlignment="1">
      <alignment horizontal="center" vertical="center" wrapText="1"/>
    </xf>
    <xf numFmtId="164" fontId="53" fillId="0" borderId="53" xfId="1" applyFont="1" applyFill="1" applyBorder="1" applyAlignment="1">
      <alignment horizontal="center" vertical="center" wrapText="1"/>
    </xf>
    <xf numFmtId="164" fontId="53" fillId="0" borderId="44" xfId="1" applyFont="1" applyFill="1" applyBorder="1" applyAlignment="1">
      <alignment horizontal="center" vertical="center" wrapText="1"/>
    </xf>
    <xf numFmtId="9" fontId="53" fillId="0" borderId="52" xfId="2" applyFont="1" applyFill="1" applyBorder="1" applyAlignment="1">
      <alignment horizontal="center" vertical="center" wrapText="1"/>
    </xf>
    <xf numFmtId="9" fontId="53" fillId="0" borderId="53" xfId="2" applyFont="1" applyFill="1" applyBorder="1" applyAlignment="1">
      <alignment horizontal="center" vertical="center" wrapText="1"/>
    </xf>
    <xf numFmtId="9" fontId="53" fillId="0" borderId="44" xfId="2" applyFont="1" applyFill="1" applyBorder="1" applyAlignment="1">
      <alignment horizontal="center" vertical="center" wrapText="1"/>
    </xf>
    <xf numFmtId="41" fontId="53" fillId="16" borderId="52" xfId="7" applyFont="1" applyFill="1" applyBorder="1" applyAlignment="1">
      <alignment horizontal="center" vertical="center" wrapText="1"/>
    </xf>
    <xf numFmtId="41" fontId="53" fillId="16" borderId="53" xfId="7" applyFont="1" applyFill="1" applyBorder="1" applyAlignment="1">
      <alignment horizontal="center" vertical="center" wrapText="1"/>
    </xf>
    <xf numFmtId="41" fontId="53" fillId="16" borderId="44" xfId="7" applyFont="1" applyFill="1" applyBorder="1" applyAlignment="1">
      <alignment horizontal="center" vertical="center" wrapText="1"/>
    </xf>
    <xf numFmtId="167" fontId="53" fillId="16" borderId="52" xfId="2" applyNumberFormat="1" applyFont="1" applyFill="1" applyBorder="1" applyAlignment="1">
      <alignment horizontal="center" vertical="center" wrapText="1"/>
    </xf>
    <xf numFmtId="167" fontId="53" fillId="16" borderId="53" xfId="2" applyNumberFormat="1" applyFont="1" applyFill="1" applyBorder="1" applyAlignment="1">
      <alignment horizontal="center" vertical="center" wrapText="1"/>
    </xf>
    <xf numFmtId="167" fontId="53" fillId="16" borderId="44" xfId="2" applyNumberFormat="1" applyFont="1" applyFill="1" applyBorder="1" applyAlignment="1">
      <alignment horizontal="center" vertical="center" wrapText="1"/>
    </xf>
    <xf numFmtId="0" fontId="73" fillId="0" borderId="59" xfId="0" applyFont="1" applyFill="1" applyBorder="1" applyAlignment="1">
      <alignment horizontal="center" vertical="center" wrapText="1"/>
    </xf>
    <xf numFmtId="0" fontId="73" fillId="0" borderId="46" xfId="0" applyFont="1" applyFill="1" applyBorder="1" applyAlignment="1">
      <alignment horizontal="center" vertical="center" wrapText="1"/>
    </xf>
    <xf numFmtId="0" fontId="73" fillId="0" borderId="40" xfId="0" applyFont="1" applyFill="1" applyBorder="1" applyAlignment="1">
      <alignment horizontal="center" vertical="center" wrapText="1"/>
    </xf>
    <xf numFmtId="167" fontId="53" fillId="0" borderId="52" xfId="2" applyNumberFormat="1" applyFont="1" applyFill="1" applyBorder="1" applyAlignment="1">
      <alignment horizontal="center" vertical="center" wrapText="1"/>
    </xf>
    <xf numFmtId="167" fontId="53" fillId="0" borderId="53" xfId="2" applyNumberFormat="1" applyFont="1" applyFill="1" applyBorder="1" applyAlignment="1">
      <alignment horizontal="center" vertical="center" wrapText="1"/>
    </xf>
    <xf numFmtId="167" fontId="53" fillId="0" borderId="44" xfId="2" applyNumberFormat="1" applyFont="1" applyFill="1" applyBorder="1" applyAlignment="1">
      <alignment horizontal="center" vertical="center" wrapText="1"/>
    </xf>
    <xf numFmtId="0" fontId="54" fillId="0" borderId="52" xfId="0" applyFont="1" applyFill="1" applyBorder="1" applyAlignment="1">
      <alignment vertical="center" wrapText="1"/>
    </xf>
    <xf numFmtId="0" fontId="54" fillId="0" borderId="44" xfId="0" applyFont="1" applyFill="1" applyBorder="1" applyAlignment="1">
      <alignment vertical="center" wrapText="1"/>
    </xf>
    <xf numFmtId="3" fontId="53" fillId="0" borderId="52" xfId="1" applyNumberFormat="1" applyFont="1" applyFill="1" applyBorder="1" applyAlignment="1">
      <alignment horizontal="center" vertical="center" wrapText="1"/>
    </xf>
    <xf numFmtId="3" fontId="53" fillId="0" borderId="53" xfId="1" applyNumberFormat="1" applyFont="1" applyFill="1" applyBorder="1" applyAlignment="1">
      <alignment horizontal="center" vertical="center" wrapText="1"/>
    </xf>
    <xf numFmtId="3" fontId="56" fillId="0" borderId="52" xfId="6" applyNumberFormat="1" applyFont="1" applyFill="1" applyBorder="1" applyAlignment="1">
      <alignment horizontal="center" vertical="center" wrapText="1"/>
    </xf>
    <xf numFmtId="3" fontId="56" fillId="0" borderId="53" xfId="6" applyNumberFormat="1" applyFont="1" applyFill="1" applyBorder="1" applyAlignment="1">
      <alignment horizontal="center" vertical="center" wrapText="1"/>
    </xf>
    <xf numFmtId="3" fontId="56" fillId="0" borderId="44" xfId="6" applyNumberFormat="1" applyFont="1" applyFill="1" applyBorder="1" applyAlignment="1">
      <alignment horizontal="center" vertical="center" wrapText="1"/>
    </xf>
    <xf numFmtId="3" fontId="54" fillId="16" borderId="52" xfId="0" applyNumberFormat="1" applyFont="1" applyFill="1" applyBorder="1" applyAlignment="1">
      <alignment vertical="center" wrapText="1"/>
    </xf>
    <xf numFmtId="3" fontId="54" fillId="16" borderId="53" xfId="0" applyNumberFormat="1" applyFont="1" applyFill="1" applyBorder="1" applyAlignment="1">
      <alignment vertical="center" wrapText="1"/>
    </xf>
    <xf numFmtId="3" fontId="54" fillId="16" borderId="44" xfId="0" applyNumberFormat="1" applyFont="1" applyFill="1" applyBorder="1" applyAlignment="1">
      <alignment vertical="center" wrapText="1"/>
    </xf>
    <xf numFmtId="164" fontId="53" fillId="16" borderId="52" xfId="1" applyFont="1" applyFill="1" applyBorder="1" applyAlignment="1">
      <alignment horizontal="center" vertical="center" wrapText="1"/>
    </xf>
    <xf numFmtId="164" fontId="53" fillId="16" borderId="53" xfId="1" applyFont="1" applyFill="1" applyBorder="1" applyAlignment="1">
      <alignment horizontal="center" vertical="center" wrapText="1"/>
    </xf>
    <xf numFmtId="164" fontId="53" fillId="16" borderId="44" xfId="1" applyFont="1" applyFill="1" applyBorder="1" applyAlignment="1">
      <alignment horizontal="center" vertical="center" wrapText="1"/>
    </xf>
    <xf numFmtId="41" fontId="53" fillId="0" borderId="52" xfId="7" applyFont="1" applyFill="1" applyBorder="1" applyAlignment="1">
      <alignment horizontal="center" vertical="center" wrapText="1"/>
    </xf>
    <xf numFmtId="41" fontId="53" fillId="0" borderId="53" xfId="7" applyFont="1" applyFill="1" applyBorder="1" applyAlignment="1">
      <alignment horizontal="center" vertical="center" wrapText="1"/>
    </xf>
    <xf numFmtId="41" fontId="53" fillId="0" borderId="44" xfId="7" applyFont="1" applyFill="1" applyBorder="1" applyAlignment="1">
      <alignment horizontal="center" vertical="center" wrapText="1"/>
    </xf>
    <xf numFmtId="9" fontId="56" fillId="0" borderId="52" xfId="2" applyFont="1" applyFill="1" applyBorder="1" applyAlignment="1">
      <alignment horizontal="center" vertical="center" wrapText="1"/>
    </xf>
    <xf numFmtId="9" fontId="56" fillId="0" borderId="53" xfId="2" applyFont="1" applyFill="1" applyBorder="1" applyAlignment="1">
      <alignment horizontal="center" vertical="center" wrapText="1"/>
    </xf>
    <xf numFmtId="9" fontId="56" fillId="0" borderId="44" xfId="2" applyFont="1" applyFill="1" applyBorder="1" applyAlignment="1">
      <alignment horizontal="center" vertical="center" wrapText="1"/>
    </xf>
    <xf numFmtId="3" fontId="53" fillId="16" borderId="52" xfId="6" applyNumberFormat="1" applyFont="1" applyFill="1" applyBorder="1" applyAlignment="1">
      <alignment horizontal="center" vertical="center" wrapText="1"/>
    </xf>
    <xf numFmtId="3" fontId="53" fillId="16" borderId="53" xfId="6" applyNumberFormat="1" applyFont="1" applyFill="1" applyBorder="1" applyAlignment="1">
      <alignment horizontal="center" vertical="center" wrapText="1"/>
    </xf>
    <xf numFmtId="3" fontId="55" fillId="0" borderId="52" xfId="0" applyNumberFormat="1" applyFont="1" applyFill="1" applyBorder="1" applyAlignment="1">
      <alignment horizontal="center" vertical="center" wrapText="1"/>
    </xf>
    <xf numFmtId="3" fontId="55" fillId="0" borderId="44" xfId="0" applyNumberFormat="1" applyFont="1" applyFill="1" applyBorder="1" applyAlignment="1">
      <alignment horizontal="center" vertical="center" wrapText="1"/>
    </xf>
    <xf numFmtId="0" fontId="54" fillId="42" borderId="47" xfId="0" applyFont="1" applyFill="1" applyBorder="1" applyAlignment="1">
      <alignment horizontal="center" vertical="center" wrapText="1"/>
    </xf>
    <xf numFmtId="0" fontId="54" fillId="42" borderId="76" xfId="0" applyFont="1" applyFill="1" applyBorder="1" applyAlignment="1">
      <alignment horizontal="center" vertical="center" wrapText="1"/>
    </xf>
    <xf numFmtId="3" fontId="53" fillId="16" borderId="52" xfId="1" applyNumberFormat="1" applyFont="1" applyFill="1" applyBorder="1" applyAlignment="1">
      <alignment horizontal="center" vertical="center" wrapText="1"/>
    </xf>
    <xf numFmtId="3" fontId="53" fillId="16" borderId="53" xfId="1" applyNumberFormat="1" applyFont="1" applyFill="1" applyBorder="1" applyAlignment="1">
      <alignment horizontal="center" vertical="center" wrapText="1"/>
    </xf>
    <xf numFmtId="3" fontId="53" fillId="16" borderId="44" xfId="1" applyNumberFormat="1" applyFont="1" applyFill="1" applyBorder="1" applyAlignment="1">
      <alignment horizontal="center" vertical="center" wrapText="1"/>
    </xf>
    <xf numFmtId="3" fontId="53" fillId="0" borderId="44" xfId="1" applyNumberFormat="1" applyFont="1" applyFill="1" applyBorder="1" applyAlignment="1">
      <alignment horizontal="center" vertical="center" wrapText="1"/>
    </xf>
    <xf numFmtId="0" fontId="98" fillId="0" borderId="41" xfId="0" applyFont="1" applyFill="1" applyBorder="1" applyAlignment="1">
      <alignment horizontal="center" vertical="center" wrapText="1"/>
    </xf>
    <xf numFmtId="0" fontId="43" fillId="6" borderId="41" xfId="0" applyFont="1" applyFill="1" applyBorder="1" applyAlignment="1">
      <alignment horizontal="center" vertical="center" wrapText="1"/>
    </xf>
    <xf numFmtId="0" fontId="53" fillId="7" borderId="41" xfId="0" applyFont="1" applyFill="1" applyBorder="1" applyAlignment="1">
      <alignment horizontal="center" vertical="center" wrapText="1"/>
    </xf>
    <xf numFmtId="0" fontId="53" fillId="7" borderId="41" xfId="0" applyFont="1" applyFill="1" applyBorder="1" applyAlignment="1">
      <alignment horizontal="center" vertical="top" wrapText="1"/>
    </xf>
    <xf numFmtId="0" fontId="53" fillId="8" borderId="41" xfId="0" applyFont="1" applyFill="1" applyBorder="1" applyAlignment="1">
      <alignment horizontal="center" vertical="top" wrapText="1"/>
    </xf>
    <xf numFmtId="0" fontId="55" fillId="0" borderId="52" xfId="0" applyFont="1" applyFill="1" applyBorder="1" applyAlignment="1">
      <alignment horizontal="left" vertical="center" wrapText="1"/>
    </xf>
    <xf numFmtId="0" fontId="55" fillId="0" borderId="53" xfId="0" applyFont="1" applyFill="1" applyBorder="1" applyAlignment="1">
      <alignment horizontal="left" vertical="center" wrapText="1"/>
    </xf>
    <xf numFmtId="0" fontId="55" fillId="0" borderId="44" xfId="0" applyFont="1" applyFill="1" applyBorder="1" applyAlignment="1">
      <alignment horizontal="left" vertical="center" wrapText="1"/>
    </xf>
    <xf numFmtId="0" fontId="54" fillId="0" borderId="52" xfId="0" applyFont="1" applyFill="1" applyBorder="1" applyAlignment="1">
      <alignment horizontal="center" vertical="center" wrapText="1"/>
    </xf>
    <xf numFmtId="0" fontId="54" fillId="0" borderId="44" xfId="0" applyFont="1" applyFill="1" applyBorder="1" applyAlignment="1">
      <alignment horizontal="center" vertical="center" wrapText="1"/>
    </xf>
    <xf numFmtId="43" fontId="53" fillId="16" borderId="52" xfId="1" applyNumberFormat="1" applyFont="1" applyFill="1" applyBorder="1" applyAlignment="1">
      <alignment horizontal="center" vertical="center" wrapText="1"/>
    </xf>
    <xf numFmtId="43" fontId="53" fillId="16" borderId="53" xfId="1" applyNumberFormat="1" applyFont="1" applyFill="1" applyBorder="1" applyAlignment="1">
      <alignment horizontal="center" vertical="center" wrapText="1"/>
    </xf>
    <xf numFmtId="0" fontId="55" fillId="0" borderId="52" xfId="0" applyFont="1" applyFill="1" applyBorder="1" applyAlignment="1">
      <alignment horizontal="center" vertical="center" wrapText="1"/>
    </xf>
    <xf numFmtId="0" fontId="55" fillId="0" borderId="44" xfId="0" applyFont="1" applyFill="1" applyBorder="1" applyAlignment="1">
      <alignment horizontal="center" vertical="center" wrapText="1"/>
    </xf>
    <xf numFmtId="0" fontId="53" fillId="16" borderId="52" xfId="2" applyNumberFormat="1" applyFont="1" applyFill="1" applyBorder="1" applyAlignment="1">
      <alignment horizontal="center" vertical="center" wrapText="1"/>
    </xf>
    <xf numFmtId="0" fontId="76" fillId="0" borderId="52" xfId="0" applyFont="1" applyFill="1" applyBorder="1" applyAlignment="1">
      <alignment horizontal="left" vertical="center" wrapText="1"/>
    </xf>
    <xf numFmtId="0" fontId="76" fillId="0" borderId="53" xfId="0" applyFont="1" applyFill="1" applyBorder="1" applyAlignment="1">
      <alignment horizontal="left" vertical="center" wrapText="1"/>
    </xf>
    <xf numFmtId="0" fontId="76" fillId="0" borderId="44" xfId="0" applyFont="1" applyFill="1" applyBorder="1" applyAlignment="1">
      <alignment horizontal="left" vertical="center" wrapText="1"/>
    </xf>
    <xf numFmtId="0" fontId="55" fillId="0" borderId="52" xfId="0" applyFont="1" applyFill="1" applyBorder="1" applyAlignment="1">
      <alignment vertical="center" wrapText="1"/>
    </xf>
    <xf numFmtId="0" fontId="55" fillId="0" borderId="44" xfId="0" applyFont="1" applyFill="1" applyBorder="1" applyAlignment="1">
      <alignment vertical="center" wrapText="1"/>
    </xf>
    <xf numFmtId="3" fontId="54" fillId="0" borderId="52" xfId="0" applyNumberFormat="1" applyFont="1" applyFill="1" applyBorder="1" applyAlignment="1">
      <alignment horizontal="center" vertical="center" wrapText="1"/>
    </xf>
    <xf numFmtId="3" fontId="54" fillId="0" borderId="53" xfId="0" applyNumberFormat="1" applyFont="1" applyFill="1" applyBorder="1" applyAlignment="1">
      <alignment horizontal="center" vertical="center" wrapText="1"/>
    </xf>
    <xf numFmtId="3" fontId="54" fillId="0" borderId="44" xfId="0" applyNumberFormat="1" applyFont="1" applyFill="1" applyBorder="1" applyAlignment="1">
      <alignment horizontal="center" vertical="center" wrapText="1"/>
    </xf>
    <xf numFmtId="0" fontId="97" fillId="15" borderId="41" xfId="0" applyFont="1" applyFill="1" applyBorder="1" applyAlignment="1">
      <alignment horizontal="center" vertical="center" wrapText="1"/>
    </xf>
    <xf numFmtId="0" fontId="73" fillId="0" borderId="41" xfId="0" applyFont="1" applyFill="1" applyBorder="1" applyAlignment="1">
      <alignment horizontal="center" vertical="center" wrapText="1"/>
    </xf>
    <xf numFmtId="0" fontId="97" fillId="15" borderId="49" xfId="0" applyFont="1" applyFill="1" applyBorder="1" applyAlignment="1">
      <alignment horizontal="center" vertical="center" wrapText="1"/>
    </xf>
    <xf numFmtId="0" fontId="97" fillId="15" borderId="75" xfId="0" applyFont="1" applyFill="1" applyBorder="1" applyAlignment="1">
      <alignment horizontal="center" vertical="center" wrapText="1"/>
    </xf>
    <xf numFmtId="9" fontId="53" fillId="16" borderId="52" xfId="2" applyFont="1" applyFill="1" applyBorder="1" applyAlignment="1">
      <alignment horizontal="center" vertical="center" wrapText="1"/>
    </xf>
    <xf numFmtId="9" fontId="53" fillId="16" borderId="53" xfId="2" applyFont="1" applyFill="1" applyBorder="1" applyAlignment="1">
      <alignment horizontal="center" vertical="center" wrapText="1"/>
    </xf>
    <xf numFmtId="0" fontId="54" fillId="0" borderId="52" xfId="0" applyFont="1" applyFill="1" applyBorder="1" applyAlignment="1">
      <alignment horizontal="left" vertical="center" wrapText="1"/>
    </xf>
    <xf numFmtId="0" fontId="54" fillId="0" borderId="44" xfId="0" applyFont="1" applyFill="1" applyBorder="1" applyAlignment="1">
      <alignment horizontal="left" vertical="center" wrapText="1"/>
    </xf>
    <xf numFmtId="9" fontId="53" fillId="16" borderId="44" xfId="2" applyFont="1" applyFill="1" applyBorder="1" applyAlignment="1">
      <alignment horizontal="center" vertical="center" wrapText="1"/>
    </xf>
    <xf numFmtId="0" fontId="55" fillId="0" borderId="53" xfId="0" applyFont="1" applyFill="1" applyBorder="1" applyAlignment="1">
      <alignment horizontal="center" vertical="center" wrapText="1"/>
    </xf>
    <xf numFmtId="0" fontId="55" fillId="0" borderId="52" xfId="0" applyNumberFormat="1" applyFont="1" applyFill="1" applyBorder="1" applyAlignment="1">
      <alignment horizontal="center" vertical="center" wrapText="1"/>
    </xf>
    <xf numFmtId="0" fontId="55" fillId="0" borderId="53" xfId="0" applyNumberFormat="1" applyFont="1" applyFill="1" applyBorder="1" applyAlignment="1">
      <alignment horizontal="center" vertical="center" wrapText="1"/>
    </xf>
    <xf numFmtId="0" fontId="55" fillId="0" borderId="44" xfId="0" applyNumberFormat="1" applyFont="1" applyFill="1" applyBorder="1" applyAlignment="1">
      <alignment horizontal="center" vertical="center" wrapText="1"/>
    </xf>
    <xf numFmtId="0" fontId="55" fillId="0" borderId="52" xfId="0" applyNumberFormat="1" applyFont="1" applyFill="1" applyBorder="1" applyAlignment="1">
      <alignment horizontal="left" vertical="center" wrapText="1"/>
    </xf>
    <xf numFmtId="0" fontId="55" fillId="0" borderId="44" xfId="0" applyNumberFormat="1" applyFont="1" applyFill="1" applyBorder="1" applyAlignment="1">
      <alignment horizontal="left" vertical="center" wrapText="1"/>
    </xf>
    <xf numFmtId="0" fontId="55" fillId="0" borderId="52" xfId="0" applyNumberFormat="1" applyFont="1" applyFill="1" applyBorder="1" applyAlignment="1">
      <alignment vertical="center" wrapText="1"/>
    </xf>
    <xf numFmtId="0" fontId="55" fillId="0" borderId="44" xfId="0" applyNumberFormat="1" applyFont="1" applyFill="1" applyBorder="1" applyAlignment="1">
      <alignment vertical="center" wrapText="1"/>
    </xf>
    <xf numFmtId="174" fontId="112" fillId="0" borderId="52" xfId="0" applyNumberFormat="1" applyFont="1" applyFill="1" applyBorder="1" applyAlignment="1">
      <alignment horizontal="center" vertical="center" wrapText="1"/>
    </xf>
    <xf numFmtId="174" fontId="112" fillId="0" borderId="53" xfId="0" applyNumberFormat="1" applyFont="1" applyFill="1" applyBorder="1" applyAlignment="1">
      <alignment horizontal="center" vertical="center" wrapText="1"/>
    </xf>
    <xf numFmtId="174" fontId="112" fillId="0" borderId="44" xfId="0" applyNumberFormat="1" applyFont="1" applyFill="1" applyBorder="1" applyAlignment="1">
      <alignment horizontal="center" vertical="center" wrapText="1"/>
    </xf>
    <xf numFmtId="0" fontId="74" fillId="0" borderId="52" xfId="0" applyFont="1" applyFill="1" applyBorder="1" applyAlignment="1">
      <alignment horizontal="center" vertical="center" wrapText="1"/>
    </xf>
    <xf numFmtId="0" fontId="74" fillId="0" borderId="53" xfId="0" applyFont="1" applyFill="1" applyBorder="1" applyAlignment="1">
      <alignment horizontal="center" vertical="center" wrapText="1"/>
    </xf>
    <xf numFmtId="0" fontId="74" fillId="0" borderId="44" xfId="0" applyFont="1" applyFill="1" applyBorder="1" applyAlignment="1">
      <alignment horizontal="center" vertical="center" wrapText="1"/>
    </xf>
    <xf numFmtId="0" fontId="54" fillId="0" borderId="53" xfId="0" applyFont="1" applyFill="1" applyBorder="1" applyAlignment="1">
      <alignment horizontal="center" vertical="center" wrapText="1"/>
    </xf>
    <xf numFmtId="0" fontId="73" fillId="0" borderId="59" xfId="0" applyNumberFormat="1" applyFont="1" applyFill="1" applyBorder="1" applyAlignment="1">
      <alignment horizontal="center" vertical="center" wrapText="1"/>
    </xf>
    <xf numFmtId="0" fontId="73" fillId="0" borderId="46" xfId="0" applyNumberFormat="1" applyFont="1" applyFill="1" applyBorder="1" applyAlignment="1">
      <alignment horizontal="center" vertical="center" wrapText="1"/>
    </xf>
    <xf numFmtId="0" fontId="73" fillId="0" borderId="40" xfId="0" applyNumberFormat="1" applyFont="1" applyFill="1" applyBorder="1" applyAlignment="1">
      <alignment horizontal="center" vertical="center" wrapText="1"/>
    </xf>
    <xf numFmtId="3" fontId="73" fillId="0" borderId="53" xfId="0" applyNumberFormat="1" applyFont="1" applyFill="1" applyBorder="1" applyAlignment="1">
      <alignment horizontal="center" vertical="center" wrapText="1"/>
    </xf>
    <xf numFmtId="3" fontId="73" fillId="0" borderId="44" xfId="0" applyNumberFormat="1" applyFont="1" applyFill="1" applyBorder="1" applyAlignment="1">
      <alignment horizontal="center" vertical="center" wrapText="1"/>
    </xf>
    <xf numFmtId="3" fontId="73" fillId="0" borderId="52" xfId="0" applyNumberFormat="1" applyFont="1" applyFill="1" applyBorder="1" applyAlignment="1">
      <alignment horizontal="center" vertical="center" wrapText="1"/>
    </xf>
    <xf numFmtId="43" fontId="54" fillId="16" borderId="52" xfId="0" applyNumberFormat="1" applyFont="1" applyFill="1" applyBorder="1" applyAlignment="1">
      <alignment horizontal="center" vertical="center" wrapText="1"/>
    </xf>
    <xf numFmtId="43" fontId="54" fillId="16" borderId="53" xfId="0" applyNumberFormat="1" applyFont="1" applyFill="1" applyBorder="1" applyAlignment="1">
      <alignment horizontal="center" vertical="center" wrapText="1"/>
    </xf>
    <xf numFmtId="0" fontId="110" fillId="44" borderId="16" xfId="0" applyFont="1" applyFill="1" applyBorder="1" applyAlignment="1" applyProtection="1">
      <alignment horizontal="center" vertical="center" wrapText="1"/>
      <protection locked="0"/>
    </xf>
    <xf numFmtId="0" fontId="110" fillId="44" borderId="23" xfId="0" applyFont="1" applyFill="1" applyBorder="1" applyAlignment="1" applyProtection="1">
      <alignment horizontal="center" vertical="center" wrapText="1"/>
      <protection locked="0"/>
    </xf>
    <xf numFmtId="0" fontId="110" fillId="44" borderId="38" xfId="0" applyFont="1" applyFill="1" applyBorder="1" applyAlignment="1" applyProtection="1">
      <alignment horizontal="center" vertical="center" wrapText="1"/>
      <protection locked="0"/>
    </xf>
    <xf numFmtId="0" fontId="110" fillId="44" borderId="52" xfId="0" applyFont="1" applyFill="1" applyBorder="1" applyAlignment="1" applyProtection="1">
      <alignment horizontal="center" vertical="center" wrapText="1"/>
      <protection locked="0"/>
    </xf>
    <xf numFmtId="0" fontId="110" fillId="44" borderId="54" xfId="0" applyFont="1" applyFill="1" applyBorder="1" applyAlignment="1" applyProtection="1">
      <alignment horizontal="center" vertical="center" wrapText="1"/>
      <protection locked="0"/>
    </xf>
    <xf numFmtId="0" fontId="110" fillId="44" borderId="55" xfId="0" applyFont="1" applyFill="1" applyBorder="1" applyAlignment="1" applyProtection="1">
      <alignment horizontal="center" vertical="center" wrapText="1"/>
      <protection locked="0"/>
    </xf>
    <xf numFmtId="3" fontId="55" fillId="0" borderId="53" xfId="0" applyNumberFormat="1" applyFont="1" applyFill="1" applyBorder="1" applyAlignment="1">
      <alignment horizontal="center" vertical="center" wrapText="1"/>
    </xf>
    <xf numFmtId="0" fontId="53" fillId="6" borderId="66" xfId="0" applyFont="1" applyFill="1" applyBorder="1" applyAlignment="1">
      <alignment horizontal="center" vertical="center" wrapText="1"/>
    </xf>
    <xf numFmtId="0" fontId="53" fillId="6" borderId="0" xfId="0" applyFont="1" applyFill="1" applyBorder="1" applyAlignment="1">
      <alignment horizontal="center" vertical="center" wrapText="1"/>
    </xf>
    <xf numFmtId="3" fontId="54" fillId="0" borderId="52" xfId="0" applyNumberFormat="1" applyFont="1" applyFill="1" applyBorder="1" applyAlignment="1">
      <alignment vertical="center" wrapText="1"/>
    </xf>
    <xf numFmtId="3" fontId="54" fillId="0" borderId="53" xfId="0" applyNumberFormat="1" applyFont="1" applyFill="1" applyBorder="1" applyAlignment="1">
      <alignment vertical="center" wrapText="1"/>
    </xf>
    <xf numFmtId="3" fontId="54" fillId="0" borderId="44" xfId="0" applyNumberFormat="1" applyFont="1" applyFill="1" applyBorder="1" applyAlignment="1">
      <alignment vertical="center" wrapText="1"/>
    </xf>
    <xf numFmtId="3" fontId="53" fillId="0" borderId="52" xfId="0" applyNumberFormat="1" applyFont="1" applyFill="1" applyBorder="1" applyAlignment="1">
      <alignment horizontal="center" vertical="center" wrapText="1"/>
    </xf>
    <xf numFmtId="3" fontId="53" fillId="0" borderId="53" xfId="0" applyNumberFormat="1" applyFont="1" applyFill="1" applyBorder="1" applyAlignment="1">
      <alignment horizontal="center" vertical="center" wrapText="1"/>
    </xf>
    <xf numFmtId="3" fontId="53" fillId="0" borderId="44" xfId="0" applyNumberFormat="1" applyFont="1" applyFill="1" applyBorder="1" applyAlignment="1">
      <alignment horizontal="center" vertical="center" wrapText="1"/>
    </xf>
    <xf numFmtId="0" fontId="57" fillId="0" borderId="21" xfId="0" applyFont="1" applyFill="1" applyBorder="1" applyAlignment="1">
      <alignment horizontal="center" vertical="top"/>
    </xf>
    <xf numFmtId="0" fontId="57" fillId="0" borderId="47" xfId="0" applyFont="1" applyFill="1" applyBorder="1" applyAlignment="1">
      <alignment horizontal="center" vertical="top"/>
    </xf>
    <xf numFmtId="0" fontId="57" fillId="0" borderId="74" xfId="0" applyFont="1" applyFill="1" applyBorder="1" applyAlignment="1">
      <alignment horizontal="center" vertical="top"/>
    </xf>
    <xf numFmtId="1" fontId="63" fillId="28" borderId="0" xfId="0" applyNumberFormat="1" applyFont="1" applyFill="1" applyBorder="1" applyAlignment="1" applyProtection="1">
      <alignment horizontal="left" vertical="center" wrapText="1"/>
    </xf>
    <xf numFmtId="0" fontId="8" fillId="42" borderId="1" xfId="0" applyFont="1" applyFill="1" applyBorder="1" applyAlignment="1">
      <alignment horizontal="center"/>
    </xf>
    <xf numFmtId="0" fontId="102" fillId="0" borderId="2" xfId="0" applyFont="1" applyFill="1" applyBorder="1" applyAlignment="1">
      <alignment horizontal="center" vertical="center"/>
    </xf>
    <xf numFmtId="0" fontId="102" fillId="0" borderId="3" xfId="0" applyFont="1" applyFill="1" applyBorder="1" applyAlignment="1">
      <alignment horizontal="center" vertical="center"/>
    </xf>
    <xf numFmtId="0" fontId="102" fillId="0" borderId="4" xfId="0" applyFont="1" applyFill="1" applyBorder="1" applyAlignment="1">
      <alignment horizontal="center" vertical="center"/>
    </xf>
    <xf numFmtId="0" fontId="102" fillId="0" borderId="5" xfId="0" applyFont="1" applyFill="1" applyBorder="1" applyAlignment="1">
      <alignment horizontal="left" vertical="top"/>
    </xf>
    <xf numFmtId="0" fontId="102" fillId="0" borderId="0" xfId="0" applyFont="1" applyFill="1" applyBorder="1" applyAlignment="1">
      <alignment horizontal="left" vertical="top"/>
    </xf>
    <xf numFmtId="0" fontId="102" fillId="0" borderId="6" xfId="0" applyFont="1" applyFill="1" applyBorder="1" applyAlignment="1">
      <alignment horizontal="left" vertical="top"/>
    </xf>
    <xf numFmtId="0" fontId="103" fillId="0" borderId="5" xfId="0" applyFont="1" applyFill="1" applyBorder="1" applyAlignment="1">
      <alignment horizontal="center" vertical="top"/>
    </xf>
    <xf numFmtId="0" fontId="103" fillId="0" borderId="0" xfId="0" applyFont="1" applyFill="1" applyBorder="1" applyAlignment="1">
      <alignment horizontal="center" vertical="top"/>
    </xf>
    <xf numFmtId="0" fontId="103" fillId="0" borderId="6" xfId="0" applyFont="1" applyFill="1" applyBorder="1" applyAlignment="1">
      <alignment horizontal="center" vertical="top"/>
    </xf>
    <xf numFmtId="0" fontId="100" fillId="0" borderId="0" xfId="5" applyFont="1" applyFill="1" applyBorder="1" applyAlignment="1" applyProtection="1">
      <alignment horizontal="left" vertical="center" wrapText="1"/>
    </xf>
    <xf numFmtId="0" fontId="1" fillId="41" borderId="0" xfId="5" applyFont="1" applyFill="1" applyBorder="1" applyAlignment="1">
      <alignment horizontal="center" vertical="center"/>
    </xf>
    <xf numFmtId="0" fontId="1" fillId="0" borderId="2" xfId="5" applyFont="1" applyFill="1" applyBorder="1" applyAlignment="1" applyProtection="1">
      <alignment horizontal="center" vertical="center"/>
    </xf>
    <xf numFmtId="0" fontId="1" fillId="0" borderId="3" xfId="5" applyFont="1" applyFill="1" applyBorder="1" applyAlignment="1" applyProtection="1">
      <alignment horizontal="center" vertical="center"/>
    </xf>
    <xf numFmtId="0" fontId="1" fillId="0" borderId="4" xfId="5" applyFont="1" applyFill="1" applyBorder="1" applyAlignment="1" applyProtection="1">
      <alignment horizontal="center" vertical="center"/>
    </xf>
    <xf numFmtId="0" fontId="1" fillId="0" borderId="5" xfId="5" applyFont="1" applyFill="1" applyBorder="1" applyAlignment="1" applyProtection="1">
      <alignment horizontal="center" vertical="center"/>
    </xf>
    <xf numFmtId="0" fontId="1" fillId="0" borderId="0" xfId="5" applyFont="1" applyFill="1" applyBorder="1" applyAlignment="1" applyProtection="1">
      <alignment horizontal="center" vertical="center"/>
    </xf>
    <xf numFmtId="0" fontId="1" fillId="0" borderId="6" xfId="5" applyFont="1" applyFill="1" applyBorder="1" applyAlignment="1" applyProtection="1">
      <alignment horizontal="center" vertical="center"/>
    </xf>
    <xf numFmtId="0" fontId="1" fillId="0" borderId="0" xfId="5" applyFont="1" applyFill="1" applyBorder="1" applyAlignment="1" applyProtection="1">
      <alignment horizontal="left" vertical="center"/>
    </xf>
    <xf numFmtId="0" fontId="1" fillId="0" borderId="1" xfId="5" applyFont="1" applyFill="1" applyBorder="1" applyAlignment="1" applyProtection="1">
      <alignment horizontal="left" vertical="center"/>
    </xf>
    <xf numFmtId="0" fontId="1" fillId="0" borderId="8" xfId="5" applyFont="1" applyFill="1" applyBorder="1" applyAlignment="1" applyProtection="1">
      <alignment horizontal="left" vertical="center"/>
    </xf>
    <xf numFmtId="0" fontId="35" fillId="0" borderId="5" xfId="5" applyFont="1" applyFill="1" applyBorder="1" applyAlignment="1" applyProtection="1">
      <alignment horizontal="center" vertical="center" wrapText="1"/>
    </xf>
    <xf numFmtId="0" fontId="1" fillId="0" borderId="16" xfId="5" applyFont="1" applyFill="1" applyBorder="1" applyAlignment="1" applyProtection="1">
      <alignment horizontal="center" vertical="center" wrapText="1"/>
    </xf>
    <xf numFmtId="0" fontId="1" fillId="0" borderId="38" xfId="5" applyFont="1" applyFill="1" applyBorder="1" applyAlignment="1" applyProtection="1">
      <alignment horizontal="center" vertical="center" wrapText="1"/>
    </xf>
    <xf numFmtId="0" fontId="1" fillId="0" borderId="54" xfId="5" applyFont="1" applyFill="1" applyBorder="1" applyAlignment="1" applyProtection="1">
      <alignment horizontal="center" vertical="center" wrapText="1"/>
    </xf>
    <xf numFmtId="0" fontId="83" fillId="29" borderId="80" xfId="0" applyFont="1" applyFill="1" applyBorder="1" applyAlignment="1">
      <alignment vertical="top" wrapText="1"/>
    </xf>
    <xf numFmtId="0" fontId="83" fillId="29" borderId="81" xfId="0" applyFont="1" applyFill="1" applyBorder="1" applyAlignment="1">
      <alignment vertical="top" wrapText="1"/>
    </xf>
    <xf numFmtId="0" fontId="94" fillId="35" borderId="67" xfId="0" applyFont="1" applyFill="1" applyBorder="1" applyAlignment="1">
      <alignment horizontal="center" vertical="center" wrapText="1" readingOrder="1"/>
    </xf>
    <xf numFmtId="0" fontId="94" fillId="35" borderId="68" xfId="0" applyFont="1" applyFill="1" applyBorder="1" applyAlignment="1">
      <alignment horizontal="center" vertical="center" wrapText="1" readingOrder="1"/>
    </xf>
    <xf numFmtId="0" fontId="39" fillId="38" borderId="67" xfId="0" applyFont="1" applyFill="1" applyBorder="1" applyAlignment="1">
      <alignment vertical="top" wrapText="1"/>
    </xf>
    <xf numFmtId="0" fontId="39" fillId="38" borderId="68" xfId="0" applyFont="1" applyFill="1" applyBorder="1" applyAlignment="1">
      <alignment vertical="top" wrapText="1"/>
    </xf>
    <xf numFmtId="0" fontId="82" fillId="29" borderId="78" xfId="0" applyFont="1" applyFill="1" applyBorder="1" applyAlignment="1">
      <alignment horizontal="left" vertical="center" wrapText="1" readingOrder="1"/>
    </xf>
    <xf numFmtId="0" fontId="82" fillId="29" borderId="79" xfId="0" applyFont="1" applyFill="1" applyBorder="1" applyAlignment="1">
      <alignment horizontal="left" vertical="center" wrapText="1" readingOrder="1"/>
    </xf>
    <xf numFmtId="0" fontId="82" fillId="29" borderId="85" xfId="0" applyFont="1" applyFill="1" applyBorder="1" applyAlignment="1">
      <alignment horizontal="left" vertical="center" wrapText="1" readingOrder="1"/>
    </xf>
    <xf numFmtId="0" fontId="82" fillId="29" borderId="86" xfId="0" applyFont="1" applyFill="1" applyBorder="1" applyAlignment="1">
      <alignment horizontal="left" vertical="center" wrapText="1" readingOrder="1"/>
    </xf>
    <xf numFmtId="0" fontId="1" fillId="0" borderId="0" xfId="0" applyFont="1" applyAlignment="1" applyProtection="1">
      <alignment horizontal="center"/>
    </xf>
    <xf numFmtId="0" fontId="46" fillId="0" borderId="67" xfId="0" applyFont="1" applyBorder="1" applyAlignment="1">
      <alignment horizontal="center" vertical="center" wrapText="1"/>
    </xf>
    <xf numFmtId="0" fontId="46" fillId="0" borderId="68" xfId="0" applyFont="1" applyBorder="1" applyAlignment="1">
      <alignment horizontal="center" vertical="center" wrapText="1"/>
    </xf>
    <xf numFmtId="0" fontId="49" fillId="0" borderId="72" xfId="0" applyFont="1" applyBorder="1" applyAlignment="1">
      <alignment horizontal="center" wrapText="1" readingOrder="1"/>
    </xf>
    <xf numFmtId="0" fontId="49" fillId="0" borderId="73" xfId="0" applyFont="1" applyBorder="1" applyAlignment="1">
      <alignment horizontal="center" wrapText="1" readingOrder="1"/>
    </xf>
    <xf numFmtId="0" fontId="44" fillId="0" borderId="41" xfId="0" applyFont="1" applyBorder="1" applyAlignment="1">
      <alignment horizontal="justify" vertical="top" wrapText="1"/>
    </xf>
    <xf numFmtId="0" fontId="44" fillId="0" borderId="41" xfId="0" applyFont="1" applyBorder="1" applyAlignment="1">
      <alignment horizontal="center" vertical="center" wrapText="1"/>
    </xf>
    <xf numFmtId="0" fontId="20" fillId="15" borderId="59" xfId="0" applyFont="1" applyFill="1" applyBorder="1" applyAlignment="1">
      <alignment wrapText="1"/>
    </xf>
    <xf numFmtId="0" fontId="20" fillId="15" borderId="46" xfId="0" applyFont="1" applyFill="1" applyBorder="1" applyAlignment="1">
      <alignment wrapText="1"/>
    </xf>
    <xf numFmtId="0" fontId="20" fillId="15" borderId="40" xfId="0" applyFont="1" applyFill="1" applyBorder="1" applyAlignment="1">
      <alignment wrapText="1"/>
    </xf>
    <xf numFmtId="0" fontId="20" fillId="15" borderId="59" xfId="0" applyFont="1" applyFill="1" applyBorder="1" applyAlignment="1">
      <alignment horizontal="center" wrapText="1"/>
    </xf>
    <xf numFmtId="0" fontId="20" fillId="15" borderId="46" xfId="0" applyFont="1" applyFill="1" applyBorder="1" applyAlignment="1">
      <alignment horizontal="center" wrapText="1"/>
    </xf>
    <xf numFmtId="0" fontId="20" fillId="15" borderId="40" xfId="0" applyFont="1" applyFill="1" applyBorder="1" applyAlignment="1">
      <alignment horizontal="center" wrapText="1"/>
    </xf>
    <xf numFmtId="0" fontId="44" fillId="0" borderId="52" xfId="0" applyFont="1" applyBorder="1" applyAlignment="1">
      <alignment horizontal="center" vertical="center" wrapText="1"/>
    </xf>
    <xf numFmtId="0" fontId="44" fillId="0" borderId="53" xfId="0" applyFont="1" applyBorder="1" applyAlignment="1">
      <alignment horizontal="center" vertical="center" wrapText="1"/>
    </xf>
    <xf numFmtId="0" fontId="44" fillId="0" borderId="44" xfId="0" applyFont="1" applyBorder="1" applyAlignment="1">
      <alignment horizontal="center" vertical="center" wrapText="1"/>
    </xf>
    <xf numFmtId="0" fontId="20" fillId="15" borderId="59" xfId="0" applyFont="1" applyFill="1" applyBorder="1" applyAlignment="1">
      <alignment vertical="top" wrapText="1"/>
    </xf>
    <xf numFmtId="0" fontId="20" fillId="15" borderId="46" xfId="0" applyFont="1" applyFill="1" applyBorder="1" applyAlignment="1">
      <alignment vertical="top" wrapText="1"/>
    </xf>
    <xf numFmtId="0" fontId="20" fillId="15" borderId="40" xfId="0" applyFont="1" applyFill="1" applyBorder="1" applyAlignment="1">
      <alignment vertical="top" wrapText="1"/>
    </xf>
    <xf numFmtId="0" fontId="20" fillId="0" borderId="59" xfId="0" applyFont="1" applyBorder="1" applyAlignment="1">
      <alignment wrapText="1"/>
    </xf>
    <xf numFmtId="0" fontId="20" fillId="0" borderId="46" xfId="0" applyFont="1" applyBorder="1" applyAlignment="1">
      <alignment wrapText="1"/>
    </xf>
    <xf numFmtId="0" fontId="20" fillId="0" borderId="40" xfId="0" applyFont="1" applyBorder="1" applyAlignment="1">
      <alignment wrapText="1"/>
    </xf>
    <xf numFmtId="0" fontId="44" fillId="0" borderId="41" xfId="0" applyFont="1" applyBorder="1" applyAlignment="1">
      <alignment horizontal="justify" vertical="center" wrapText="1"/>
    </xf>
    <xf numFmtId="0" fontId="44" fillId="0" borderId="41" xfId="0" applyFont="1" applyBorder="1" applyAlignment="1">
      <alignment horizontal="justify" wrapText="1"/>
    </xf>
    <xf numFmtId="44" fontId="45" fillId="0" borderId="41" xfId="6" applyFont="1" applyBorder="1" applyAlignment="1">
      <alignment horizontal="center" vertical="center" wrapText="1"/>
    </xf>
    <xf numFmtId="8" fontId="45" fillId="0" borderId="41" xfId="0" applyNumberFormat="1" applyFont="1" applyBorder="1" applyAlignment="1">
      <alignment horizontal="center" vertical="center" wrapText="1"/>
    </xf>
    <xf numFmtId="0" fontId="45" fillId="0" borderId="41" xfId="0" applyFont="1" applyBorder="1" applyAlignment="1">
      <alignment horizontal="center" vertical="center" wrapText="1"/>
    </xf>
    <xf numFmtId="6" fontId="45" fillId="0" borderId="41" xfId="0" applyNumberFormat="1" applyFont="1" applyBorder="1" applyAlignment="1">
      <alignment horizontal="center" vertical="center"/>
    </xf>
    <xf numFmtId="0" fontId="20" fillId="15" borderId="41" xfId="0" applyFont="1" applyFill="1" applyBorder="1" applyAlignment="1">
      <alignment wrapText="1"/>
    </xf>
    <xf numFmtId="0" fontId="44" fillId="0" borderId="41" xfId="0" applyFont="1" applyBorder="1" applyAlignment="1">
      <alignment horizontal="left" vertical="top" wrapText="1"/>
    </xf>
    <xf numFmtId="0" fontId="44" fillId="0" borderId="41" xfId="0" applyFont="1" applyBorder="1" applyAlignment="1">
      <alignment horizontal="left" vertical="center" wrapText="1"/>
    </xf>
    <xf numFmtId="0" fontId="20" fillId="15" borderId="41" xfId="0" applyFont="1" applyFill="1" applyBorder="1" applyAlignment="1">
      <alignment vertical="top" wrapText="1"/>
    </xf>
    <xf numFmtId="0" fontId="45" fillId="0" borderId="41" xfId="0" applyFont="1" applyBorder="1" applyAlignment="1">
      <alignment horizontal="center" vertical="center"/>
    </xf>
    <xf numFmtId="0" fontId="20" fillId="15" borderId="59" xfId="0" applyFont="1" applyFill="1" applyBorder="1" applyAlignment="1">
      <alignment horizontal="left" vertical="top" wrapText="1"/>
    </xf>
    <xf numFmtId="0" fontId="20" fillId="15" borderId="46" xfId="0" applyFont="1" applyFill="1" applyBorder="1" applyAlignment="1">
      <alignment horizontal="left" vertical="top" wrapText="1"/>
    </xf>
    <xf numFmtId="0" fontId="44" fillId="0" borderId="61" xfId="0" applyFont="1" applyBorder="1" applyAlignment="1">
      <alignment horizontal="center" vertical="center" wrapText="1"/>
    </xf>
    <xf numFmtId="0" fontId="44" fillId="0" borderId="66"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52" xfId="0" applyFont="1" applyBorder="1" applyAlignment="1">
      <alignment horizontal="left" wrapText="1"/>
    </xf>
    <xf numFmtId="0" fontId="44" fillId="0" borderId="53" xfId="0" applyFont="1" applyBorder="1" applyAlignment="1">
      <alignment horizontal="left" wrapText="1"/>
    </xf>
    <xf numFmtId="0" fontId="44" fillId="0" borderId="44" xfId="0" applyFont="1" applyBorder="1" applyAlignment="1">
      <alignment horizontal="left" wrapText="1"/>
    </xf>
    <xf numFmtId="0" fontId="20" fillId="0" borderId="47" xfId="0" applyFont="1" applyBorder="1" applyAlignment="1">
      <alignment horizontal="center"/>
    </xf>
    <xf numFmtId="0" fontId="20" fillId="15" borderId="59" xfId="0" applyFont="1" applyFill="1" applyBorder="1" applyAlignment="1">
      <alignment horizontal="left" wrapText="1"/>
    </xf>
    <xf numFmtId="0" fontId="20" fillId="15" borderId="46" xfId="0" applyFont="1" applyFill="1" applyBorder="1" applyAlignment="1">
      <alignment horizontal="left" wrapText="1"/>
    </xf>
    <xf numFmtId="8" fontId="45" fillId="0" borderId="41" xfId="0" applyNumberFormat="1" applyFont="1" applyBorder="1" applyAlignment="1">
      <alignment horizontal="center" vertical="center"/>
    </xf>
    <xf numFmtId="0" fontId="9" fillId="5" borderId="10" xfId="0" applyFont="1" applyFill="1" applyBorder="1" applyAlignment="1">
      <alignment horizontal="left" wrapText="1"/>
    </xf>
    <xf numFmtId="0" fontId="9" fillId="5" borderId="9" xfId="0" applyFont="1" applyFill="1" applyBorder="1" applyAlignment="1">
      <alignment horizontal="left" wrapText="1"/>
    </xf>
    <xf numFmtId="0" fontId="9" fillId="5" borderId="11" xfId="0" applyFont="1" applyFill="1" applyBorder="1" applyAlignment="1">
      <alignment horizontal="left" wrapText="1"/>
    </xf>
    <xf numFmtId="0" fontId="9" fillId="5" borderId="10" xfId="0" applyFont="1" applyFill="1" applyBorder="1" applyAlignment="1">
      <alignment wrapText="1"/>
    </xf>
    <xf numFmtId="0" fontId="9" fillId="5" borderId="9" xfId="0" applyFont="1" applyFill="1" applyBorder="1" applyAlignment="1">
      <alignment wrapText="1"/>
    </xf>
    <xf numFmtId="0" fontId="9" fillId="5" borderId="11" xfId="0" applyFont="1" applyFill="1" applyBorder="1" applyAlignment="1">
      <alignment wrapText="1"/>
    </xf>
    <xf numFmtId="0" fontId="9" fillId="4" borderId="30" xfId="0" applyFont="1" applyFill="1" applyBorder="1" applyAlignment="1">
      <alignment horizontal="center" vertical="top" wrapText="1"/>
    </xf>
    <xf numFmtId="0" fontId="9" fillId="4" borderId="34" xfId="0" applyFont="1" applyFill="1" applyBorder="1" applyAlignment="1">
      <alignment horizontal="center" vertical="top" wrapText="1"/>
    </xf>
    <xf numFmtId="0" fontId="10" fillId="0" borderId="30" xfId="0" applyFont="1" applyBorder="1" applyAlignment="1">
      <alignment horizontal="center" wrapText="1"/>
    </xf>
    <xf numFmtId="0" fontId="10" fillId="0" borderId="34" xfId="0" applyFont="1" applyBorder="1" applyAlignment="1">
      <alignment horizontal="center" wrapText="1"/>
    </xf>
    <xf numFmtId="0" fontId="10" fillId="0" borderId="30" xfId="0" applyFont="1" applyBorder="1" applyAlignment="1">
      <alignment wrapText="1"/>
    </xf>
    <xf numFmtId="0" fontId="10" fillId="0" borderId="34" xfId="0" applyFont="1" applyBorder="1" applyAlignment="1">
      <alignment wrapText="1"/>
    </xf>
    <xf numFmtId="3" fontId="10" fillId="0" borderId="30" xfId="0" applyNumberFormat="1" applyFont="1" applyBorder="1" applyAlignment="1">
      <alignment horizontal="center" wrapText="1"/>
    </xf>
    <xf numFmtId="3" fontId="10" fillId="0" borderId="34" xfId="0" applyNumberFormat="1" applyFont="1" applyBorder="1" applyAlignment="1">
      <alignment horizontal="center" wrapText="1"/>
    </xf>
    <xf numFmtId="0" fontId="11" fillId="4" borderId="30" xfId="0" applyFont="1" applyFill="1" applyBorder="1" applyAlignment="1">
      <alignment horizontal="center" vertical="top" wrapText="1"/>
    </xf>
    <xf numFmtId="0" fontId="11" fillId="4" borderId="34" xfId="0" applyFont="1" applyFill="1" applyBorder="1" applyAlignment="1">
      <alignment horizontal="center" vertical="top" wrapText="1"/>
    </xf>
    <xf numFmtId="0" fontId="9" fillId="5" borderId="3" xfId="0" applyFont="1" applyFill="1" applyBorder="1" applyAlignment="1">
      <alignment wrapText="1"/>
    </xf>
    <xf numFmtId="0" fontId="9" fillId="5" borderId="4" xfId="0" applyFont="1" applyFill="1" applyBorder="1" applyAlignment="1">
      <alignment wrapText="1"/>
    </xf>
    <xf numFmtId="0" fontId="9" fillId="5" borderId="1" xfId="0" applyFont="1" applyFill="1" applyBorder="1" applyAlignment="1">
      <alignment wrapText="1"/>
    </xf>
    <xf numFmtId="0" fontId="9" fillId="5" borderId="8" xfId="0" applyFont="1" applyFill="1" applyBorder="1" applyAlignment="1">
      <alignment wrapText="1"/>
    </xf>
    <xf numFmtId="0" fontId="27" fillId="16" borderId="0" xfId="0" applyFont="1" applyFill="1" applyAlignment="1">
      <alignment horizontal="center"/>
    </xf>
    <xf numFmtId="0" fontId="8" fillId="16" borderId="16" xfId="0" applyFont="1" applyFill="1" applyBorder="1" applyAlignment="1">
      <alignment horizontal="center"/>
    </xf>
    <xf numFmtId="0" fontId="8" fillId="16" borderId="23" xfId="0" applyFont="1" applyFill="1" applyBorder="1" applyAlignment="1">
      <alignment horizontal="center"/>
    </xf>
    <xf numFmtId="0" fontId="8" fillId="20" borderId="38" xfId="0" applyFont="1" applyFill="1" applyBorder="1" applyAlignment="1">
      <alignment horizontal="center"/>
    </xf>
    <xf numFmtId="0" fontId="8" fillId="20" borderId="52" xfId="0" applyFont="1" applyFill="1" applyBorder="1" applyAlignment="1">
      <alignment horizontal="center"/>
    </xf>
    <xf numFmtId="0" fontId="8" fillId="21" borderId="38" xfId="0" applyFont="1" applyFill="1" applyBorder="1" applyAlignment="1">
      <alignment horizontal="center"/>
    </xf>
    <xf numFmtId="0" fontId="27" fillId="23" borderId="1" xfId="0" applyFont="1" applyFill="1" applyBorder="1" applyAlignment="1">
      <alignment horizontal="center"/>
    </xf>
    <xf numFmtId="170" fontId="27" fillId="24" borderId="1" xfId="1" applyNumberFormat="1" applyFont="1" applyFill="1" applyBorder="1" applyAlignment="1">
      <alignment horizontal="center"/>
    </xf>
    <xf numFmtId="0" fontId="8" fillId="22" borderId="12" xfId="0" applyFont="1" applyFill="1" applyBorder="1" applyAlignment="1">
      <alignment horizontal="center"/>
    </xf>
    <xf numFmtId="0" fontId="8" fillId="22" borderId="48" xfId="0" applyFont="1" applyFill="1" applyBorder="1" applyAlignment="1">
      <alignment horizontal="center"/>
    </xf>
    <xf numFmtId="0" fontId="8" fillId="13" borderId="0" xfId="0" applyFont="1" applyFill="1" applyAlignment="1">
      <alignment horizontal="center" vertical="center" wrapText="1"/>
    </xf>
    <xf numFmtId="0" fontId="8" fillId="0" borderId="16" xfId="0" applyFont="1" applyBorder="1" applyAlignment="1">
      <alignment horizontal="center" vertical="center" wrapText="1"/>
    </xf>
    <xf numFmtId="0" fontId="0" fillId="0" borderId="17" xfId="0" applyBorder="1"/>
    <xf numFmtId="0" fontId="0" fillId="0" borderId="19" xfId="0" applyBorder="1"/>
    <xf numFmtId="0" fontId="0" fillId="16" borderId="41" xfId="0" applyFill="1" applyBorder="1" applyAlignment="1">
      <alignment horizontal="left" vertical="center" wrapText="1"/>
    </xf>
    <xf numFmtId="0" fontId="0" fillId="0" borderId="41" xfId="0" applyBorder="1" applyAlignment="1">
      <alignment horizontal="right"/>
    </xf>
    <xf numFmtId="170" fontId="0" fillId="0" borderId="41" xfId="1" applyNumberFormat="1" applyFont="1" applyBorder="1" applyAlignment="1">
      <alignment horizontal="center"/>
    </xf>
    <xf numFmtId="2" fontId="0" fillId="0" borderId="42" xfId="0" applyNumberFormat="1" applyBorder="1" applyAlignment="1"/>
    <xf numFmtId="0" fontId="0" fillId="16" borderId="35" xfId="0" applyFill="1" applyBorder="1" applyAlignment="1">
      <alignment horizontal="left" vertical="center" wrapText="1"/>
    </xf>
    <xf numFmtId="0" fontId="0" fillId="0" borderId="35" xfId="0" applyBorder="1" applyAlignment="1">
      <alignment horizontal="right"/>
    </xf>
    <xf numFmtId="170" fontId="0" fillId="0" borderId="35" xfId="1" applyNumberFormat="1" applyFont="1" applyBorder="1" applyAlignment="1">
      <alignment horizontal="center"/>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9" xfId="0" applyFont="1" applyBorder="1" applyAlignment="1">
      <alignment vertical="center" wrapText="1"/>
    </xf>
    <xf numFmtId="3" fontId="0" fillId="0" borderId="50" xfId="0" applyNumberFormat="1" applyBorder="1" applyAlignment="1">
      <alignment horizontal="center"/>
    </xf>
    <xf numFmtId="0" fontId="0" fillId="0" borderId="53" xfId="0" applyBorder="1" applyAlignment="1">
      <alignment horizontal="center"/>
    </xf>
    <xf numFmtId="0" fontId="0" fillId="0" borderId="51" xfId="0" applyBorder="1" applyAlignment="1">
      <alignment horizontal="center"/>
    </xf>
    <xf numFmtId="2" fontId="0" fillId="0" borderId="50" xfId="0" applyNumberFormat="1" applyBorder="1" applyAlignment="1">
      <alignment horizontal="center"/>
    </xf>
    <xf numFmtId="2" fontId="0" fillId="0" borderId="53" xfId="0" applyNumberFormat="1" applyBorder="1" applyAlignment="1">
      <alignment horizontal="center"/>
    </xf>
    <xf numFmtId="2" fontId="0" fillId="0" borderId="51" xfId="0" applyNumberFormat="1" applyBorder="1" applyAlignment="1">
      <alignment horizontal="center"/>
    </xf>
    <xf numFmtId="170" fontId="0" fillId="0" borderId="50" xfId="1" applyNumberFormat="1" applyFont="1" applyBorder="1" applyAlignment="1">
      <alignment horizontal="center"/>
    </xf>
    <xf numFmtId="170" fontId="0" fillId="0" borderId="53" xfId="1" applyNumberFormat="1" applyFont="1" applyBorder="1" applyAlignment="1">
      <alignment horizontal="center"/>
    </xf>
    <xf numFmtId="170" fontId="0" fillId="0" borderId="51" xfId="1" applyNumberFormat="1" applyFont="1" applyBorder="1" applyAlignment="1">
      <alignment horizontal="center"/>
    </xf>
    <xf numFmtId="0" fontId="0" fillId="0" borderId="50" xfId="0" applyBorder="1" applyAlignment="1">
      <alignment horizontal="center"/>
    </xf>
    <xf numFmtId="0" fontId="8" fillId="21" borderId="62" xfId="0" applyFont="1" applyFill="1" applyBorder="1" applyAlignment="1">
      <alignment horizontal="center"/>
    </xf>
    <xf numFmtId="0" fontId="8" fillId="21" borderId="63" xfId="0" applyFont="1" applyFill="1" applyBorder="1" applyAlignment="1">
      <alignment horizontal="center"/>
    </xf>
    <xf numFmtId="0" fontId="8" fillId="21" borderId="64" xfId="0" applyFont="1" applyFill="1" applyBorder="1" applyAlignment="1">
      <alignment horizontal="center"/>
    </xf>
    <xf numFmtId="170" fontId="0" fillId="0" borderId="50" xfId="0" applyNumberFormat="1" applyBorder="1" applyAlignment="1">
      <alignment horizontal="center"/>
    </xf>
    <xf numFmtId="2" fontId="0" fillId="0" borderId="36" xfId="0" applyNumberFormat="1" applyBorder="1" applyAlignment="1"/>
    <xf numFmtId="0" fontId="29" fillId="16" borderId="2" xfId="0" applyFont="1" applyFill="1" applyBorder="1" applyAlignment="1">
      <alignment horizontal="center"/>
    </xf>
    <xf numFmtId="0" fontId="29" fillId="16" borderId="3" xfId="0" applyFont="1" applyFill="1" applyBorder="1" applyAlignment="1">
      <alignment horizontal="center"/>
    </xf>
    <xf numFmtId="0" fontId="29" fillId="16" borderId="4" xfId="0" applyFont="1" applyFill="1" applyBorder="1" applyAlignment="1">
      <alignment horizontal="center"/>
    </xf>
    <xf numFmtId="0" fontId="8" fillId="16" borderId="19" xfId="0" applyFont="1" applyFill="1" applyBorder="1" applyAlignment="1">
      <alignment horizontal="center"/>
    </xf>
    <xf numFmtId="0" fontId="0" fillId="20" borderId="38" xfId="0" applyFill="1" applyBorder="1" applyAlignment="1">
      <alignment horizontal="center"/>
    </xf>
    <xf numFmtId="0" fontId="0" fillId="20" borderId="35" xfId="0" applyFill="1" applyBorder="1" applyAlignment="1">
      <alignment horizontal="center"/>
    </xf>
    <xf numFmtId="0" fontId="0" fillId="21" borderId="38" xfId="0" applyFill="1" applyBorder="1" applyAlignment="1">
      <alignment horizontal="center"/>
    </xf>
    <xf numFmtId="0" fontId="0" fillId="21" borderId="54" xfId="0" applyFill="1" applyBorder="1" applyAlignment="1">
      <alignment horizontal="center"/>
    </xf>
    <xf numFmtId="0" fontId="27" fillId="24" borderId="1" xfId="0" applyFont="1" applyFill="1" applyBorder="1" applyAlignment="1">
      <alignment horizontal="center"/>
    </xf>
    <xf numFmtId="0" fontId="8" fillId="22" borderId="10" xfId="0" applyFont="1" applyFill="1" applyBorder="1" applyAlignment="1">
      <alignment horizontal="center"/>
    </xf>
    <xf numFmtId="0" fontId="8" fillId="22" borderId="14" xfId="0" applyFont="1" applyFill="1" applyBorder="1" applyAlignment="1">
      <alignment horizontal="center"/>
    </xf>
    <xf numFmtId="170" fontId="0" fillId="0" borderId="38" xfId="1" applyNumberFormat="1" applyFont="1" applyBorder="1" applyAlignment="1">
      <alignment horizontal="center"/>
    </xf>
    <xf numFmtId="170" fontId="0" fillId="0" borderId="54" xfId="1" applyNumberFormat="1" applyFont="1" applyBorder="1" applyAlignment="1">
      <alignment horizontal="center"/>
    </xf>
    <xf numFmtId="170" fontId="0" fillId="0" borderId="42" xfId="1" applyNumberFormat="1" applyFont="1" applyBorder="1" applyAlignment="1">
      <alignment horizontal="center"/>
    </xf>
    <xf numFmtId="0" fontId="0" fillId="0" borderId="41" xfId="0" applyBorder="1" applyAlignment="1">
      <alignment vertical="center" wrapText="1"/>
    </xf>
    <xf numFmtId="0" fontId="8" fillId="0" borderId="23" xfId="0" applyFont="1" applyBorder="1" applyAlignment="1">
      <alignment vertical="center" wrapText="1"/>
    </xf>
    <xf numFmtId="0" fontId="0" fillId="0" borderId="38" xfId="0" applyBorder="1" applyAlignment="1">
      <alignment vertical="center" wrapText="1"/>
    </xf>
    <xf numFmtId="3" fontId="0" fillId="0" borderId="52" xfId="0" applyNumberFormat="1" applyBorder="1" applyAlignment="1">
      <alignment horizontal="center"/>
    </xf>
    <xf numFmtId="2" fontId="0" fillId="0" borderId="52" xfId="0" applyNumberFormat="1" applyBorder="1" applyAlignment="1">
      <alignment horizontal="center"/>
    </xf>
    <xf numFmtId="0" fontId="8" fillId="16" borderId="0" xfId="0" applyFont="1" applyFill="1" applyAlignment="1">
      <alignment horizontal="center" vertical="center" wrapText="1"/>
    </xf>
    <xf numFmtId="0" fontId="0" fillId="0" borderId="35" xfId="0" applyBorder="1" applyAlignment="1">
      <alignment vertical="center" wrapText="1"/>
    </xf>
    <xf numFmtId="170" fontId="0" fillId="0" borderId="36" xfId="1" applyNumberFormat="1" applyFont="1" applyBorder="1" applyAlignment="1">
      <alignment horizontal="center"/>
    </xf>
    <xf numFmtId="0" fontId="8" fillId="0" borderId="22" xfId="0" applyFont="1" applyBorder="1" applyAlignment="1">
      <alignment vertical="center" wrapText="1"/>
    </xf>
    <xf numFmtId="0" fontId="27" fillId="16" borderId="2" xfId="0" applyFont="1" applyFill="1" applyBorder="1" applyAlignment="1">
      <alignment horizontal="center"/>
    </xf>
    <xf numFmtId="0" fontId="27" fillId="16" borderId="3" xfId="0" applyFont="1" applyFill="1" applyBorder="1" applyAlignment="1">
      <alignment horizontal="center"/>
    </xf>
    <xf numFmtId="0" fontId="27" fillId="16" borderId="4" xfId="0" applyFont="1" applyFill="1" applyBorder="1" applyAlignment="1">
      <alignment horizontal="center"/>
    </xf>
    <xf numFmtId="0" fontId="0" fillId="0" borderId="41" xfId="0" applyBorder="1" applyAlignment="1">
      <alignment horizontal="left" vertical="center" wrapText="1"/>
    </xf>
    <xf numFmtId="171" fontId="0" fillId="0" borderId="42" xfId="1" applyNumberFormat="1" applyFont="1" applyBorder="1" applyAlignment="1">
      <alignment horizontal="center"/>
    </xf>
    <xf numFmtId="0" fontId="0" fillId="22" borderId="10" xfId="0" applyFont="1" applyFill="1" applyBorder="1" applyAlignment="1">
      <alignment horizontal="center"/>
    </xf>
    <xf numFmtId="0" fontId="0" fillId="22" borderId="14" xfId="0" applyFont="1" applyFill="1" applyBorder="1" applyAlignment="1">
      <alignment horizontal="center"/>
    </xf>
    <xf numFmtId="0" fontId="0" fillId="0" borderId="0" xfId="0" applyAlignment="1">
      <alignment horizontal="center"/>
    </xf>
    <xf numFmtId="0" fontId="0" fillId="13" borderId="0" xfId="0" applyFill="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0" fillId="0" borderId="38" xfId="0" applyBorder="1" applyAlignment="1">
      <alignment horizontal="left" vertical="center" wrapText="1"/>
    </xf>
    <xf numFmtId="0" fontId="8" fillId="0" borderId="22" xfId="0" applyFont="1" applyBorder="1" applyAlignment="1">
      <alignment horizontal="left" vertical="center" wrapText="1"/>
    </xf>
    <xf numFmtId="0" fontId="8" fillId="0" borderId="17" xfId="0" applyFont="1" applyBorder="1" applyAlignment="1">
      <alignment horizontal="left" vertical="center" wrapText="1"/>
    </xf>
    <xf numFmtId="0" fontId="8" fillId="0" borderId="19" xfId="0" applyFont="1" applyBorder="1" applyAlignment="1">
      <alignment horizontal="left" vertical="center" wrapText="1"/>
    </xf>
    <xf numFmtId="0" fontId="8" fillId="0" borderId="16" xfId="0" applyFont="1" applyBorder="1" applyAlignment="1">
      <alignment horizontal="left" vertical="center" wrapText="1"/>
    </xf>
    <xf numFmtId="0" fontId="0" fillId="21" borderId="62" xfId="0" applyFill="1" applyBorder="1" applyAlignment="1">
      <alignment horizontal="center"/>
    </xf>
    <xf numFmtId="0" fontId="0" fillId="21" borderId="63" xfId="0" applyFill="1" applyBorder="1" applyAlignment="1">
      <alignment horizontal="center"/>
    </xf>
    <xf numFmtId="0" fontId="0" fillId="21" borderId="37" xfId="0" applyFill="1" applyBorder="1" applyAlignment="1">
      <alignment horizontal="center"/>
    </xf>
    <xf numFmtId="0" fontId="27" fillId="16" borderId="0" xfId="0" applyFont="1" applyFill="1" applyBorder="1" applyAlignment="1">
      <alignment horizontal="center"/>
    </xf>
    <xf numFmtId="0" fontId="0" fillId="20" borderId="52" xfId="0" applyFill="1" applyBorder="1" applyAlignment="1">
      <alignment horizontal="center"/>
    </xf>
    <xf numFmtId="0" fontId="0" fillId="0" borderId="44" xfId="0" applyBorder="1" applyAlignment="1">
      <alignment horizontal="center"/>
    </xf>
    <xf numFmtId="0" fontId="8" fillId="22" borderId="59" xfId="0" applyFont="1" applyFill="1" applyBorder="1" applyAlignment="1">
      <alignment horizontal="center" vertical="center" wrapText="1"/>
    </xf>
    <xf numFmtId="0" fontId="8" fillId="22" borderId="40" xfId="0" applyFont="1" applyFill="1" applyBorder="1" applyAlignment="1">
      <alignment horizontal="center" vertical="center" wrapText="1"/>
    </xf>
    <xf numFmtId="0" fontId="20" fillId="16" borderId="0" xfId="0" applyFont="1" applyFill="1" applyBorder="1" applyAlignment="1">
      <alignment horizontal="center" vertical="top" wrapText="1"/>
    </xf>
    <xf numFmtId="0" fontId="8" fillId="16" borderId="41" xfId="0" applyFont="1" applyFill="1" applyBorder="1" applyAlignment="1">
      <alignment horizontal="center"/>
    </xf>
    <xf numFmtId="0" fontId="8" fillId="16" borderId="52" xfId="0" applyFont="1" applyFill="1" applyBorder="1" applyAlignment="1">
      <alignment horizontal="center"/>
    </xf>
    <xf numFmtId="0" fontId="0" fillId="20" borderId="41" xfId="0" applyFill="1" applyBorder="1" applyAlignment="1">
      <alignment horizontal="center"/>
    </xf>
    <xf numFmtId="0" fontId="0" fillId="21" borderId="41" xfId="0" applyFill="1" applyBorder="1" applyAlignment="1">
      <alignment horizontal="center"/>
    </xf>
    <xf numFmtId="0" fontId="0" fillId="21" borderId="59" xfId="0" applyFill="1" applyBorder="1" applyAlignment="1">
      <alignment horizontal="center"/>
    </xf>
    <xf numFmtId="0" fontId="0" fillId="21" borderId="46" xfId="0" applyFill="1" applyBorder="1" applyAlignment="1">
      <alignment horizontal="center"/>
    </xf>
    <xf numFmtId="0" fontId="0" fillId="21" borderId="40" xfId="0" applyFill="1" applyBorder="1" applyAlignment="1">
      <alignment horizontal="center"/>
    </xf>
    <xf numFmtId="0" fontId="27" fillId="23" borderId="47" xfId="0" applyFont="1" applyFill="1" applyBorder="1" applyAlignment="1">
      <alignment horizontal="center"/>
    </xf>
    <xf numFmtId="0" fontId="27" fillId="24" borderId="47" xfId="0" applyFont="1" applyFill="1" applyBorder="1" applyAlignment="1">
      <alignment horizontal="center"/>
    </xf>
    <xf numFmtId="0" fontId="8" fillId="0" borderId="56" xfId="0" applyFont="1" applyBorder="1" applyAlignment="1">
      <alignment vertical="center" wrapText="1"/>
    </xf>
    <xf numFmtId="0" fontId="8" fillId="0" borderId="20" xfId="0" applyFont="1" applyBorder="1" applyAlignment="1">
      <alignment vertical="center" wrapText="1"/>
    </xf>
    <xf numFmtId="0" fontId="8" fillId="0" borderId="31" xfId="0" applyFont="1" applyBorder="1" applyAlignment="1">
      <alignment vertical="center" wrapText="1"/>
    </xf>
    <xf numFmtId="0" fontId="0" fillId="16" borderId="41" xfId="0" applyFill="1" applyBorder="1" applyAlignment="1">
      <alignment vertical="center" wrapText="1"/>
    </xf>
    <xf numFmtId="0" fontId="0" fillId="16" borderId="35" xfId="0" applyFill="1" applyBorder="1" applyAlignment="1">
      <alignment vertical="center" wrapText="1"/>
    </xf>
    <xf numFmtId="164" fontId="0" fillId="0" borderId="42" xfId="1" applyNumberFormat="1" applyFont="1" applyBorder="1" applyAlignment="1">
      <alignment horizontal="center"/>
    </xf>
    <xf numFmtId="164" fontId="0" fillId="0" borderId="36" xfId="1" applyNumberFormat="1" applyFont="1" applyBorder="1" applyAlignment="1">
      <alignment horizontal="center"/>
    </xf>
    <xf numFmtId="0" fontId="8" fillId="0" borderId="23" xfId="0" applyFont="1" applyBorder="1" applyAlignment="1">
      <alignment horizontal="left" vertical="center" wrapText="1"/>
    </xf>
    <xf numFmtId="0" fontId="0" fillId="16" borderId="38" xfId="0" applyFill="1" applyBorder="1" applyAlignment="1">
      <alignment horizontal="left" vertical="center" wrapText="1"/>
    </xf>
    <xf numFmtId="0" fontId="0" fillId="16" borderId="52" xfId="0" applyFill="1" applyBorder="1" applyAlignment="1">
      <alignment horizontal="left" vertical="center" wrapText="1"/>
    </xf>
    <xf numFmtId="170" fontId="0" fillId="16" borderId="50" xfId="1" applyNumberFormat="1" applyFont="1" applyFill="1" applyBorder="1" applyAlignment="1">
      <alignment vertical="center" wrapText="1"/>
    </xf>
    <xf numFmtId="170" fontId="0" fillId="16" borderId="53" xfId="1" applyNumberFormat="1" applyFont="1" applyFill="1" applyBorder="1" applyAlignment="1">
      <alignment vertical="center" wrapText="1"/>
    </xf>
    <xf numFmtId="164" fontId="0" fillId="16" borderId="57" xfId="1" applyNumberFormat="1" applyFont="1" applyFill="1" applyBorder="1" applyAlignment="1">
      <alignment vertical="center" wrapText="1"/>
    </xf>
    <xf numFmtId="164" fontId="0" fillId="16" borderId="58" xfId="1" applyNumberFormat="1" applyFont="1" applyFill="1" applyBorder="1" applyAlignment="1">
      <alignment vertical="center" wrapText="1"/>
    </xf>
    <xf numFmtId="0" fontId="0" fillId="16" borderId="44" xfId="0" applyFill="1" applyBorder="1" applyAlignment="1">
      <alignment horizontal="center" vertical="center" wrapText="1"/>
    </xf>
    <xf numFmtId="0" fontId="0" fillId="16" borderId="41" xfId="0" applyFill="1" applyBorder="1" applyAlignment="1">
      <alignment horizontal="center" vertical="center" wrapText="1"/>
    </xf>
    <xf numFmtId="170" fontId="0" fillId="0" borderId="44" xfId="1" applyNumberFormat="1" applyFont="1" applyBorder="1" applyAlignment="1">
      <alignment horizontal="center"/>
    </xf>
    <xf numFmtId="164" fontId="0" fillId="0" borderId="45" xfId="1" applyNumberFormat="1" applyFont="1" applyBorder="1" applyAlignment="1">
      <alignment horizontal="center"/>
    </xf>
    <xf numFmtId="0" fontId="8" fillId="3" borderId="31" xfId="0" applyFont="1" applyFill="1" applyBorder="1" applyAlignment="1">
      <alignment horizontal="center"/>
    </xf>
    <xf numFmtId="0" fontId="8" fillId="3" borderId="51" xfId="0" applyFont="1" applyFill="1" applyBorder="1" applyAlignment="1">
      <alignment horizontal="center"/>
    </xf>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23" xfId="0" applyFont="1" applyBorder="1" applyAlignment="1">
      <alignment vertical="top" wrapText="1"/>
    </xf>
    <xf numFmtId="0" fontId="0" fillId="16" borderId="41" xfId="0" applyFill="1" applyBorder="1" applyAlignment="1">
      <alignment vertical="top" wrapText="1"/>
    </xf>
    <xf numFmtId="0" fontId="0" fillId="16" borderId="52" xfId="0" applyFill="1" applyBorder="1" applyAlignment="1">
      <alignment vertical="top" wrapText="1"/>
    </xf>
    <xf numFmtId="170" fontId="0" fillId="0" borderId="52" xfId="1" applyNumberFormat="1" applyFont="1" applyBorder="1" applyAlignment="1">
      <alignment horizontal="center"/>
    </xf>
    <xf numFmtId="168" fontId="0" fillId="0" borderId="50" xfId="0" applyNumberFormat="1" applyBorder="1" applyAlignment="1">
      <alignment horizontal="center"/>
    </xf>
    <xf numFmtId="168" fontId="0" fillId="0" borderId="53" xfId="0" applyNumberFormat="1" applyBorder="1" applyAlignment="1">
      <alignment horizontal="center"/>
    </xf>
    <xf numFmtId="168" fontId="0" fillId="0" borderId="51" xfId="0" applyNumberFormat="1" applyBorder="1" applyAlignment="1">
      <alignment horizontal="center"/>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170" fontId="0" fillId="0" borderId="55" xfId="1" applyNumberFormat="1" applyFont="1" applyBorder="1" applyAlignment="1">
      <alignment horizontal="center"/>
    </xf>
    <xf numFmtId="0" fontId="8" fillId="0" borderId="19" xfId="0" applyFont="1" applyBorder="1" applyAlignment="1">
      <alignment vertical="top" wrapText="1"/>
    </xf>
    <xf numFmtId="0" fontId="0" fillId="16" borderId="38" xfId="0" applyFill="1" applyBorder="1" applyAlignment="1">
      <alignment vertical="top" wrapText="1"/>
    </xf>
    <xf numFmtId="0" fontId="0" fillId="16" borderId="35" xfId="0" applyFill="1" applyBorder="1" applyAlignment="1">
      <alignment vertical="top" wrapText="1"/>
    </xf>
    <xf numFmtId="0" fontId="8" fillId="0" borderId="20" xfId="0" applyFont="1" applyBorder="1" applyAlignment="1">
      <alignment vertical="top" wrapText="1"/>
    </xf>
    <xf numFmtId="0" fontId="8" fillId="0" borderId="31" xfId="0" applyFont="1" applyBorder="1" applyAlignment="1">
      <alignment vertical="top" wrapText="1"/>
    </xf>
    <xf numFmtId="3" fontId="0" fillId="16" borderId="50" xfId="0" applyNumberFormat="1" applyFill="1" applyBorder="1" applyAlignment="1">
      <alignment horizontal="center"/>
    </xf>
    <xf numFmtId="0" fontId="0" fillId="16" borderId="53" xfId="0" applyFill="1" applyBorder="1" applyAlignment="1">
      <alignment horizontal="center"/>
    </xf>
    <xf numFmtId="0" fontId="0" fillId="16" borderId="51" xfId="0" applyFill="1" applyBorder="1" applyAlignment="1">
      <alignment horizontal="center"/>
    </xf>
    <xf numFmtId="2" fontId="0" fillId="16" borderId="50" xfId="0" applyNumberFormat="1" applyFill="1" applyBorder="1" applyAlignment="1">
      <alignment horizontal="center"/>
    </xf>
    <xf numFmtId="2" fontId="0" fillId="16" borderId="53" xfId="0" applyNumberFormat="1" applyFill="1" applyBorder="1" applyAlignment="1">
      <alignment horizontal="center"/>
    </xf>
    <xf numFmtId="2" fontId="0" fillId="16" borderId="51" xfId="0" applyNumberFormat="1" applyFill="1" applyBorder="1" applyAlignment="1">
      <alignment horizontal="center"/>
    </xf>
    <xf numFmtId="0" fontId="8" fillId="3" borderId="59"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0" fillId="0" borderId="0" xfId="0" applyAlignment="1">
      <alignment horizontal="center" vertical="center" wrapText="1"/>
    </xf>
    <xf numFmtId="0" fontId="8" fillId="16" borderId="17" xfId="0" applyFont="1" applyFill="1" applyBorder="1" applyAlignment="1">
      <alignment horizontal="center"/>
    </xf>
    <xf numFmtId="0" fontId="8" fillId="0" borderId="23" xfId="0" applyFont="1" applyBorder="1" applyAlignment="1">
      <alignment horizontal="center" vertical="center" wrapText="1"/>
    </xf>
    <xf numFmtId="0" fontId="0" fillId="21" borderId="64" xfId="0" applyFill="1" applyBorder="1" applyAlignment="1">
      <alignment horizontal="center"/>
    </xf>
    <xf numFmtId="2" fontId="0" fillId="0" borderId="44" xfId="0" applyNumberFormat="1" applyBorder="1" applyAlignment="1">
      <alignment horizontal="center"/>
    </xf>
    <xf numFmtId="2" fontId="0" fillId="0" borderId="42" xfId="1" applyNumberFormat="1" applyFont="1" applyBorder="1" applyAlignment="1">
      <alignment horizontal="right"/>
    </xf>
    <xf numFmtId="0" fontId="0" fillId="0" borderId="52" xfId="0" applyBorder="1" applyAlignment="1">
      <alignment vertical="center" wrapText="1"/>
    </xf>
    <xf numFmtId="0" fontId="0" fillId="0" borderId="53" xfId="0" applyBorder="1" applyAlignment="1">
      <alignment vertical="center" wrapText="1"/>
    </xf>
    <xf numFmtId="0" fontId="0" fillId="0" borderId="44" xfId="0" applyBorder="1" applyAlignment="1">
      <alignment vertical="center" wrapText="1"/>
    </xf>
    <xf numFmtId="0" fontId="8" fillId="3" borderId="59" xfId="0" applyFont="1" applyFill="1" applyBorder="1" applyAlignment="1">
      <alignment horizontal="center" vertical="top" wrapText="1"/>
    </xf>
    <xf numFmtId="0" fontId="8" fillId="3" borderId="40" xfId="0" applyFont="1" applyFill="1" applyBorder="1" applyAlignment="1">
      <alignment horizontal="center" vertical="top" wrapText="1"/>
    </xf>
    <xf numFmtId="0" fontId="0" fillId="0" borderId="35" xfId="0" applyBorder="1" applyAlignment="1">
      <alignment horizontal="left" vertical="center" wrapText="1"/>
    </xf>
    <xf numFmtId="2" fontId="0" fillId="0" borderId="42" xfId="1" applyNumberFormat="1" applyFont="1" applyBorder="1" applyAlignment="1"/>
    <xf numFmtId="2" fontId="0" fillId="0" borderId="36" xfId="1" applyNumberFormat="1" applyFont="1" applyBorder="1" applyAlignment="1"/>
    <xf numFmtId="0" fontId="8" fillId="0" borderId="53" xfId="0" applyFont="1" applyBorder="1" applyAlignment="1">
      <alignment horizontal="left" vertical="center" wrapText="1"/>
    </xf>
    <xf numFmtId="0" fontId="8" fillId="0" borderId="44" xfId="0" applyFont="1" applyBorder="1" applyAlignment="1">
      <alignment horizontal="left" vertical="center" wrapText="1"/>
    </xf>
    <xf numFmtId="2" fontId="0" fillId="0" borderId="55" xfId="1" applyNumberFormat="1" applyFont="1" applyBorder="1" applyAlignment="1">
      <alignment horizontal="right"/>
    </xf>
    <xf numFmtId="2" fontId="0" fillId="0" borderId="45" xfId="1" applyNumberFormat="1" applyFont="1" applyBorder="1" applyAlignment="1">
      <alignment horizontal="right"/>
    </xf>
    <xf numFmtId="3" fontId="0" fillId="0" borderId="52" xfId="0" applyNumberFormat="1" applyBorder="1" applyAlignment="1">
      <alignment horizontal="center" vertical="center" wrapText="1"/>
    </xf>
    <xf numFmtId="0" fontId="0" fillId="0" borderId="53" xfId="0" applyBorder="1" applyAlignment="1">
      <alignment horizontal="center" vertical="center" wrapText="1"/>
    </xf>
    <xf numFmtId="0" fontId="0" fillId="0" borderId="44" xfId="0" applyBorder="1" applyAlignment="1">
      <alignment horizontal="center" vertical="center" wrapText="1"/>
    </xf>
    <xf numFmtId="2" fontId="0" fillId="0" borderId="52" xfId="0" applyNumberFormat="1" applyBorder="1" applyAlignment="1">
      <alignment horizontal="center" vertical="center" wrapText="1"/>
    </xf>
    <xf numFmtId="2" fontId="0" fillId="0" borderId="53" xfId="0" applyNumberFormat="1" applyBorder="1" applyAlignment="1">
      <alignment horizontal="center" vertical="center" wrapText="1"/>
    </xf>
    <xf numFmtId="2" fontId="0" fillId="0" borderId="44" xfId="0" applyNumberFormat="1" applyBorder="1" applyAlignment="1">
      <alignment horizontal="center" vertical="center" wrapText="1"/>
    </xf>
  </cellXfs>
  <cellStyles count="8">
    <cellStyle name="Millares" xfId="1" builtinId="3"/>
    <cellStyle name="Millares [0]" xfId="7" builtinId="6"/>
    <cellStyle name="Millares 2" xfId="3"/>
    <cellStyle name="Moneda" xfId="6" builtinId="4"/>
    <cellStyle name="Normal" xfId="0" builtinId="0"/>
    <cellStyle name="Normal 2" xfId="5"/>
    <cellStyle name="Normal_Hoja1" xfId="4"/>
    <cellStyle name="Porcentaje" xfId="2" builtinId="5"/>
  </cellStyles>
  <dxfs count="0"/>
  <tableStyles count="0" defaultTableStyle="TableStyleMedium9" defaultPivotStyle="PivotStyleLight16"/>
  <colors>
    <mruColors>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400" b="1" i="0" u="none" strike="noStrike" baseline="0">
                <a:solidFill>
                  <a:sysClr val="windowText" lastClr="000000"/>
                </a:solidFill>
                <a:effectLst/>
              </a:rPr>
              <a:t>Indicadores de Eficacia y Eficiencia</a:t>
            </a:r>
            <a:endParaRPr lang="es-CO">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percentStacked"/>
        <c:varyColors val="0"/>
        <c:ser>
          <c:idx val="0"/>
          <c:order val="0"/>
          <c:spPr>
            <a:solidFill>
              <a:schemeClr val="accent1"/>
            </a:solidFill>
            <a:ln>
              <a:noFill/>
            </a:ln>
            <a:effectLst/>
            <a:sp3d/>
          </c:spPr>
          <c:invertIfNegative val="0"/>
          <c:dPt>
            <c:idx val="1"/>
            <c:invertIfNegative val="0"/>
            <c:bubble3D val="0"/>
            <c:spPr>
              <a:solidFill>
                <a:srgbClr val="FF0000"/>
              </a:solidFill>
              <a:ln>
                <a:noFill/>
              </a:ln>
              <a:effectLst/>
              <a:sp3d/>
            </c:spPr>
            <c:extLst>
              <c:ext xmlns:c16="http://schemas.microsoft.com/office/drawing/2014/chart" uri="{C3380CC4-5D6E-409C-BE32-E72D297353CC}">
                <c16:uniqueId val="{00000002-A6DE-4965-A016-053C755E2D9A}"/>
              </c:ext>
            </c:extLst>
          </c:dPt>
          <c:dPt>
            <c:idx val="2"/>
            <c:invertIfNegative val="0"/>
            <c:bubble3D val="0"/>
            <c:spPr>
              <a:solidFill>
                <a:srgbClr val="00B050"/>
              </a:solidFill>
              <a:ln>
                <a:noFill/>
              </a:ln>
              <a:effectLst/>
              <a:sp3d/>
            </c:spPr>
            <c:extLst>
              <c:ext xmlns:c16="http://schemas.microsoft.com/office/drawing/2014/chart" uri="{C3380CC4-5D6E-409C-BE32-E72D297353CC}">
                <c16:uniqueId val="{00000003-A6DE-4965-A016-053C755E2D9A}"/>
              </c:ext>
            </c:extLst>
          </c:dPt>
          <c:dLbls>
            <c:dLbl>
              <c:idx val="0"/>
              <c:layout>
                <c:manualLayout>
                  <c:x val="3.8676844783715011E-2"/>
                  <c:y val="-0.3932584269662921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DE-4965-A016-053C755E2D9A}"/>
                </c:ext>
              </c:extLst>
            </c:dLbl>
            <c:dLbl>
              <c:idx val="1"/>
              <c:layout>
                <c:manualLayout>
                  <c:x val="5.4961832061068555E-2"/>
                  <c:y val="-0.4007490636704119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DE-4965-A016-053C755E2D9A}"/>
                </c:ext>
              </c:extLst>
            </c:dLbl>
            <c:dLbl>
              <c:idx val="2"/>
              <c:tx>
                <c:rich>
                  <a:bodyPr/>
                  <a:lstStyle/>
                  <a:p>
                    <a:fld id="{B2005FB8-5023-4379-95E3-499F61DEC7EC}" type="VALUE">
                      <a:rPr lang="en-US"/>
                      <a:pPr/>
                      <a:t>[VALOR]</a:t>
                    </a:fld>
                    <a:endParaRPr lang="es-MX"/>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A6DE-4965-A016-053C755E2D9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graficos!$A$3:$A$5</c:f>
              <c:strCache>
                <c:ptCount val="3"/>
                <c:pt idx="0">
                  <c:v>E Meta Física</c:v>
                </c:pt>
                <c:pt idx="1">
                  <c:v>E Meta Financiera</c:v>
                </c:pt>
                <c:pt idx="2">
                  <c:v>Eficiencia</c:v>
                </c:pt>
              </c:strCache>
            </c:strRef>
          </c:cat>
          <c:val>
            <c:numRef>
              <c:f>graficos!$B$3:$B$5</c:f>
              <c:numCache>
                <c:formatCode>0%</c:formatCode>
                <c:ptCount val="3"/>
                <c:pt idx="0" formatCode="0.00%">
                  <c:v>0.97899999999999998</c:v>
                </c:pt>
                <c:pt idx="1">
                  <c:v>0.95</c:v>
                </c:pt>
                <c:pt idx="2">
                  <c:v>1.0088852631578948</c:v>
                </c:pt>
              </c:numCache>
            </c:numRef>
          </c:val>
          <c:extLst>
            <c:ext xmlns:c16="http://schemas.microsoft.com/office/drawing/2014/chart" uri="{C3380CC4-5D6E-409C-BE32-E72D297353CC}">
              <c16:uniqueId val="{00000000-A6DE-4965-A016-053C755E2D9A}"/>
            </c:ext>
          </c:extLst>
        </c:ser>
        <c:dLbls>
          <c:showLegendKey val="0"/>
          <c:showVal val="0"/>
          <c:showCatName val="0"/>
          <c:showSerName val="0"/>
          <c:showPercent val="0"/>
          <c:showBubbleSize val="0"/>
        </c:dLbls>
        <c:gapWidth val="150"/>
        <c:shape val="box"/>
        <c:axId val="268449936"/>
        <c:axId val="269359232"/>
        <c:axId val="0"/>
      </c:bar3DChart>
      <c:catAx>
        <c:axId val="26844993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s-MX"/>
          </a:p>
        </c:txPr>
        <c:crossAx val="269359232"/>
        <c:crosses val="autoZero"/>
        <c:auto val="1"/>
        <c:lblAlgn val="ctr"/>
        <c:lblOffset val="100"/>
        <c:noMultiLvlLbl val="0"/>
      </c:catAx>
      <c:valAx>
        <c:axId val="2693592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8449936"/>
        <c:crosses val="autoZero"/>
        <c:crossBetween val="between"/>
      </c:valAx>
      <c:spPr>
        <a:noFill/>
        <a:ln>
          <a:noFill/>
        </a:ln>
        <a:effectLst/>
      </c:spPr>
    </c:plotArea>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solidFill>
                  <a:sysClr val="windowText" lastClr="000000"/>
                </a:solidFill>
              </a:rPr>
              <a:t>Avance</a:t>
            </a:r>
            <a:r>
              <a:rPr lang="es-CO" b="1" baseline="0">
                <a:solidFill>
                  <a:sysClr val="windowText" lastClr="000000"/>
                </a:solidFill>
              </a:rPr>
              <a:t> físico/financiero Programa1</a:t>
            </a:r>
            <a:endParaRPr lang="es-CO"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v>Fisico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Hoja2!$A$3:$A$9</c:f>
              <c:strCache>
                <c:ptCount val="7"/>
                <c:pt idx="0">
                  <c:v>1.1 </c:v>
                </c:pt>
                <c:pt idx="1">
                  <c:v>1.2 </c:v>
                </c:pt>
                <c:pt idx="2">
                  <c:v>1.3 </c:v>
                </c:pt>
                <c:pt idx="3">
                  <c:v>1.4 </c:v>
                </c:pt>
                <c:pt idx="4">
                  <c:v>1.5 </c:v>
                </c:pt>
                <c:pt idx="5">
                  <c:v>1.6. </c:v>
                </c:pt>
                <c:pt idx="6">
                  <c:v>1.7 </c:v>
                </c:pt>
              </c:strCache>
            </c:strRef>
          </c:cat>
          <c:val>
            <c:numRef>
              <c:f>Hoja2!$B$3:$B$9</c:f>
              <c:numCache>
                <c:formatCode>0%</c:formatCode>
                <c:ptCount val="7"/>
                <c:pt idx="0">
                  <c:v>0.8</c:v>
                </c:pt>
                <c:pt idx="1">
                  <c:v>0.2</c:v>
                </c:pt>
                <c:pt idx="2">
                  <c:v>0.7</c:v>
                </c:pt>
                <c:pt idx="3">
                  <c:v>1</c:v>
                </c:pt>
                <c:pt idx="4" formatCode="0.00%">
                  <c:v>0.93300000000000005</c:v>
                </c:pt>
                <c:pt idx="5">
                  <c:v>1</c:v>
                </c:pt>
                <c:pt idx="6">
                  <c:v>1</c:v>
                </c:pt>
              </c:numCache>
            </c:numRef>
          </c:val>
          <c:extLst>
            <c:ext xmlns:c16="http://schemas.microsoft.com/office/drawing/2014/chart" uri="{C3380CC4-5D6E-409C-BE32-E72D297353CC}">
              <c16:uniqueId val="{00000000-E30E-40CE-93B1-82498B393901}"/>
            </c:ext>
          </c:extLst>
        </c:ser>
        <c:ser>
          <c:idx val="1"/>
          <c:order val="1"/>
          <c:tx>
            <c:v>Financiero</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Hoja2!$A$3:$A$9</c:f>
              <c:strCache>
                <c:ptCount val="7"/>
                <c:pt idx="0">
                  <c:v>1.1 </c:v>
                </c:pt>
                <c:pt idx="1">
                  <c:v>1.2 </c:v>
                </c:pt>
                <c:pt idx="2">
                  <c:v>1.3 </c:v>
                </c:pt>
                <c:pt idx="3">
                  <c:v>1.4 </c:v>
                </c:pt>
                <c:pt idx="4">
                  <c:v>1.5 </c:v>
                </c:pt>
                <c:pt idx="5">
                  <c:v>1.6. </c:v>
                </c:pt>
                <c:pt idx="6">
                  <c:v>1.7 </c:v>
                </c:pt>
              </c:strCache>
            </c:strRef>
          </c:cat>
          <c:val>
            <c:numRef>
              <c:f>Hoja2!$C$3:$C$9</c:f>
              <c:numCache>
                <c:formatCode>0%</c:formatCode>
                <c:ptCount val="7"/>
                <c:pt idx="0">
                  <c:v>0.98</c:v>
                </c:pt>
                <c:pt idx="1">
                  <c:v>1</c:v>
                </c:pt>
                <c:pt idx="2">
                  <c:v>1</c:v>
                </c:pt>
                <c:pt idx="3">
                  <c:v>0</c:v>
                </c:pt>
                <c:pt idx="4">
                  <c:v>0.99</c:v>
                </c:pt>
                <c:pt idx="5" formatCode="General">
                  <c:v>0</c:v>
                </c:pt>
                <c:pt idx="6">
                  <c:v>0.9</c:v>
                </c:pt>
              </c:numCache>
            </c:numRef>
          </c:val>
          <c:extLst>
            <c:ext xmlns:c16="http://schemas.microsoft.com/office/drawing/2014/chart" uri="{C3380CC4-5D6E-409C-BE32-E72D297353CC}">
              <c16:uniqueId val="{00000001-E30E-40CE-93B1-82498B393901}"/>
            </c:ext>
          </c:extLst>
        </c:ser>
        <c:dLbls>
          <c:showLegendKey val="0"/>
          <c:showVal val="0"/>
          <c:showCatName val="0"/>
          <c:showSerName val="0"/>
          <c:showPercent val="0"/>
          <c:showBubbleSize val="0"/>
        </c:dLbls>
        <c:gapWidth val="219"/>
        <c:overlap val="-27"/>
        <c:axId val="269358448"/>
        <c:axId val="269358056"/>
      </c:barChart>
      <c:catAx>
        <c:axId val="269358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MX"/>
          </a:p>
        </c:txPr>
        <c:crossAx val="269358056"/>
        <c:crosses val="autoZero"/>
        <c:auto val="1"/>
        <c:lblAlgn val="ctr"/>
        <c:lblOffset val="100"/>
        <c:noMultiLvlLbl val="0"/>
      </c:catAx>
      <c:valAx>
        <c:axId val="269358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93584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MX"/>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CO" b="1">
                <a:solidFill>
                  <a:schemeClr val="tx1"/>
                </a:solidFill>
              </a:rPr>
              <a:t>Avance físico/financiero Programa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clustered"/>
        <c:varyColors val="0"/>
        <c:ser>
          <c:idx val="0"/>
          <c:order val="0"/>
          <c:tx>
            <c:strRef>
              <c:f>Hoja2!$A$23</c:f>
              <c:strCache>
                <c:ptCount val="1"/>
                <c:pt idx="0">
                  <c:v>2.1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Hoja2!$B$23:$C$23</c:f>
              <c:numCache>
                <c:formatCode>0%</c:formatCode>
                <c:ptCount val="2"/>
                <c:pt idx="0">
                  <c:v>1</c:v>
                </c:pt>
                <c:pt idx="1">
                  <c:v>0.15</c:v>
                </c:pt>
              </c:numCache>
            </c:numRef>
          </c:val>
          <c:extLst>
            <c:ext xmlns:c16="http://schemas.microsoft.com/office/drawing/2014/chart" uri="{C3380CC4-5D6E-409C-BE32-E72D297353CC}">
              <c16:uniqueId val="{00000000-937B-4CA3-9287-9C46963D9E69}"/>
            </c:ext>
          </c:extLst>
        </c:ser>
        <c:ser>
          <c:idx val="1"/>
          <c:order val="1"/>
          <c:tx>
            <c:strRef>
              <c:f>Hoja2!$A$24</c:f>
              <c:strCache>
                <c:ptCount val="1"/>
                <c:pt idx="0">
                  <c:v>2.2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Hoja2!$B$24:$C$24</c:f>
              <c:numCache>
                <c:formatCode>0%</c:formatCode>
                <c:ptCount val="2"/>
                <c:pt idx="0" formatCode="0.00%">
                  <c:v>1</c:v>
                </c:pt>
                <c:pt idx="1">
                  <c:v>0.98</c:v>
                </c:pt>
              </c:numCache>
            </c:numRef>
          </c:val>
          <c:extLst>
            <c:ext xmlns:c16="http://schemas.microsoft.com/office/drawing/2014/chart" uri="{C3380CC4-5D6E-409C-BE32-E72D297353CC}">
              <c16:uniqueId val="{00000001-937B-4CA3-9287-9C46963D9E69}"/>
            </c:ext>
          </c:extLst>
        </c:ser>
        <c:dLbls>
          <c:showLegendKey val="0"/>
          <c:showVal val="0"/>
          <c:showCatName val="0"/>
          <c:showSerName val="0"/>
          <c:showPercent val="0"/>
          <c:showBubbleSize val="0"/>
        </c:dLbls>
        <c:gapWidth val="219"/>
        <c:overlap val="-27"/>
        <c:axId val="269360016"/>
        <c:axId val="268500520"/>
      </c:barChart>
      <c:catAx>
        <c:axId val="269360016"/>
        <c:scaling>
          <c:orientation val="minMax"/>
        </c:scaling>
        <c:delete val="1"/>
        <c:axPos val="b"/>
        <c:numFmt formatCode="General" sourceLinked="1"/>
        <c:majorTickMark val="none"/>
        <c:minorTickMark val="none"/>
        <c:tickLblPos val="nextTo"/>
        <c:crossAx val="268500520"/>
        <c:crosses val="autoZero"/>
        <c:auto val="1"/>
        <c:lblAlgn val="ctr"/>
        <c:lblOffset val="100"/>
        <c:noMultiLvlLbl val="0"/>
      </c:catAx>
      <c:valAx>
        <c:axId val="2685005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9360016"/>
        <c:crosses val="autoZero"/>
        <c:crossBetween val="between"/>
      </c:valAx>
      <c:spPr>
        <a:noFill/>
        <a:ln>
          <a:noFill/>
        </a:ln>
        <a:effectLst/>
      </c:spPr>
    </c:plotArea>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a:t>
            </a:r>
            <a:r>
              <a:rPr lang="es-CO" baseline="0"/>
              <a:t> físico/financiero Programa 7</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v>Fisico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Hoja2!$A$35:$A$38</c:f>
              <c:strCache>
                <c:ptCount val="2"/>
                <c:pt idx="0">
                  <c:v>7.1</c:v>
                </c:pt>
                <c:pt idx="1">
                  <c:v>7.2 </c:v>
                </c:pt>
              </c:strCache>
            </c:strRef>
          </c:cat>
          <c:val>
            <c:numRef>
              <c:f>Hoja2!$B$35:$B$38</c:f>
              <c:numCache>
                <c:formatCode>0%</c:formatCode>
                <c:ptCount val="4"/>
                <c:pt idx="0">
                  <c:v>0.96</c:v>
                </c:pt>
                <c:pt idx="1">
                  <c:v>1</c:v>
                </c:pt>
              </c:numCache>
            </c:numRef>
          </c:val>
          <c:extLst>
            <c:ext xmlns:c16="http://schemas.microsoft.com/office/drawing/2014/chart" uri="{C3380CC4-5D6E-409C-BE32-E72D297353CC}">
              <c16:uniqueId val="{00000000-1717-437A-8547-5A2E958B98BD}"/>
            </c:ext>
          </c:extLst>
        </c:ser>
        <c:ser>
          <c:idx val="1"/>
          <c:order val="1"/>
          <c:tx>
            <c:v>Financiero</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Hoja2!$A$35:$A$38</c:f>
              <c:strCache>
                <c:ptCount val="2"/>
                <c:pt idx="0">
                  <c:v>7.1</c:v>
                </c:pt>
                <c:pt idx="1">
                  <c:v>7.2 </c:v>
                </c:pt>
              </c:strCache>
            </c:strRef>
          </c:cat>
          <c:val>
            <c:numRef>
              <c:f>Hoja2!$C$35:$C$38</c:f>
              <c:numCache>
                <c:formatCode>0%</c:formatCode>
                <c:ptCount val="4"/>
                <c:pt idx="0">
                  <c:v>0.94</c:v>
                </c:pt>
                <c:pt idx="1">
                  <c:v>0.62</c:v>
                </c:pt>
              </c:numCache>
            </c:numRef>
          </c:val>
          <c:extLst>
            <c:ext xmlns:c16="http://schemas.microsoft.com/office/drawing/2014/chart" uri="{C3380CC4-5D6E-409C-BE32-E72D297353CC}">
              <c16:uniqueId val="{00000001-1717-437A-8547-5A2E958B98BD}"/>
            </c:ext>
          </c:extLst>
        </c:ser>
        <c:dLbls>
          <c:showLegendKey val="0"/>
          <c:showVal val="0"/>
          <c:showCatName val="0"/>
          <c:showSerName val="0"/>
          <c:showPercent val="0"/>
          <c:showBubbleSize val="0"/>
        </c:dLbls>
        <c:gapWidth val="219"/>
        <c:overlap val="-27"/>
        <c:axId val="220989640"/>
        <c:axId val="267308200"/>
      </c:barChart>
      <c:catAx>
        <c:axId val="220989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7308200"/>
        <c:crosses val="autoZero"/>
        <c:auto val="1"/>
        <c:lblAlgn val="ctr"/>
        <c:lblOffset val="100"/>
        <c:noMultiLvlLbl val="0"/>
      </c:catAx>
      <c:valAx>
        <c:axId val="267308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0989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CO" b="1">
                <a:solidFill>
                  <a:schemeClr val="tx1"/>
                </a:solidFill>
              </a:rPr>
              <a:t>Avance físico/financiero 2017</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1"/>
            <c:invertIfNegative val="0"/>
            <c:bubble3D val="0"/>
            <c:spPr>
              <a:solidFill>
                <a:srgbClr val="FF0000"/>
              </a:solidFill>
              <a:ln>
                <a:noFill/>
              </a:ln>
              <a:effectLst/>
              <a:sp3d/>
            </c:spPr>
            <c:extLst>
              <c:ext xmlns:c16="http://schemas.microsoft.com/office/drawing/2014/chart" uri="{C3380CC4-5D6E-409C-BE32-E72D297353CC}">
                <c16:uniqueId val="{00000002-7562-4838-9F92-60AA1ACEF247}"/>
              </c:ext>
            </c:extLst>
          </c:dPt>
          <c:dLbls>
            <c:dLbl>
              <c:idx val="0"/>
              <c:layout>
                <c:manualLayout>
                  <c:x val="2.7777777777777776E-2"/>
                  <c:y val="-5.5555555555555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62-4838-9F92-60AA1ACEF247}"/>
                </c:ext>
              </c:extLst>
            </c:dLbl>
            <c:dLbl>
              <c:idx val="1"/>
              <c:layout>
                <c:manualLayout>
                  <c:x val="7.2222331583552069E-2"/>
                  <c:y val="-4.8610928842228063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solidFill>
                      <a:latin typeface="+mn-lt"/>
                      <a:ea typeface="+mn-ea"/>
                      <a:cs typeface="+mn-cs"/>
                    </a:defRPr>
                  </a:pPr>
                  <a:endParaRPr lang="es-MX"/>
                </a:p>
              </c:txPr>
              <c:showLegendKey val="0"/>
              <c:showVal val="1"/>
              <c:showCatName val="0"/>
              <c:showSerName val="0"/>
              <c:showPercent val="0"/>
              <c:showBubbleSize val="0"/>
              <c:extLst>
                <c:ext xmlns:c15="http://schemas.microsoft.com/office/drawing/2012/chart" uri="{CE6537A1-D6FC-4f65-9D91-7224C49458BB}">
                  <c15:layout>
                    <c:manualLayout>
                      <c:w val="0.12098622047244094"/>
                      <c:h val="0.11567147856517936"/>
                    </c:manualLayout>
                  </c15:layout>
                </c:ext>
                <c:ext xmlns:c16="http://schemas.microsoft.com/office/drawing/2014/chart" uri="{C3380CC4-5D6E-409C-BE32-E72D297353CC}">
                  <c16:uniqueId val="{00000002-7562-4838-9F92-60AA1ACEF24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Hoja2!$B$50:$C$50</c:f>
              <c:numCache>
                <c:formatCode>0%</c:formatCode>
                <c:ptCount val="2"/>
                <c:pt idx="0" formatCode="0.00%">
                  <c:v>0.86399999999999999</c:v>
                </c:pt>
                <c:pt idx="1">
                  <c:v>0.91</c:v>
                </c:pt>
              </c:numCache>
            </c:numRef>
          </c:val>
          <c:extLst>
            <c:ext xmlns:c16="http://schemas.microsoft.com/office/drawing/2014/chart" uri="{C3380CC4-5D6E-409C-BE32-E72D297353CC}">
              <c16:uniqueId val="{00000000-7562-4838-9F92-60AA1ACEF247}"/>
            </c:ext>
          </c:extLst>
        </c:ser>
        <c:dLbls>
          <c:showLegendKey val="0"/>
          <c:showVal val="0"/>
          <c:showCatName val="0"/>
          <c:showSerName val="0"/>
          <c:showPercent val="0"/>
          <c:showBubbleSize val="0"/>
        </c:dLbls>
        <c:gapWidth val="150"/>
        <c:shape val="box"/>
        <c:axId val="267309376"/>
        <c:axId val="267309768"/>
        <c:axId val="0"/>
      </c:bar3DChart>
      <c:catAx>
        <c:axId val="267309376"/>
        <c:scaling>
          <c:orientation val="minMax"/>
        </c:scaling>
        <c:delete val="1"/>
        <c:axPos val="b"/>
        <c:majorTickMark val="none"/>
        <c:minorTickMark val="none"/>
        <c:tickLblPos val="nextTo"/>
        <c:crossAx val="267309768"/>
        <c:crosses val="autoZero"/>
        <c:auto val="1"/>
        <c:lblAlgn val="ctr"/>
        <c:lblOffset val="100"/>
        <c:noMultiLvlLbl val="0"/>
      </c:catAx>
      <c:valAx>
        <c:axId val="2673097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7309376"/>
        <c:crosses val="autoZero"/>
        <c:crossBetween val="between"/>
      </c:valAx>
      <c:spPr>
        <a:noFill/>
        <a:ln>
          <a:noFill/>
        </a:ln>
        <a:effectLst/>
      </c:spPr>
    </c:plotArea>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Hoja2!$B$83</c:f>
              <c:strCache>
                <c:ptCount val="1"/>
                <c:pt idx="0">
                  <c:v>Meta fis 2016</c:v>
                </c:pt>
              </c:strCache>
            </c:strRef>
          </c:tx>
          <c:spPr>
            <a:solidFill>
              <a:schemeClr val="accent1"/>
            </a:solidFill>
            <a:ln>
              <a:noFill/>
            </a:ln>
            <a:effectLst/>
          </c:spPr>
          <c:invertIfNegative val="0"/>
          <c:cat>
            <c:strRef>
              <c:f>Hoja2!$A$84:$A$87</c:f>
              <c:strCache>
                <c:ptCount val="4"/>
                <c:pt idx="0">
                  <c:v>4.1 </c:v>
                </c:pt>
                <c:pt idx="1">
                  <c:v>4.2 </c:v>
                </c:pt>
                <c:pt idx="2">
                  <c:v>4.3</c:v>
                </c:pt>
                <c:pt idx="3">
                  <c:v>4.4 </c:v>
                </c:pt>
              </c:strCache>
            </c:strRef>
          </c:cat>
          <c:val>
            <c:numRef>
              <c:f>Hoja2!$B$84:$B$87</c:f>
              <c:numCache>
                <c:formatCode>0.00%</c:formatCode>
                <c:ptCount val="4"/>
                <c:pt idx="0" formatCode="0%">
                  <c:v>1</c:v>
                </c:pt>
                <c:pt idx="1">
                  <c:v>0.98599999999999999</c:v>
                </c:pt>
                <c:pt idx="2">
                  <c:v>0.68700000000000006</c:v>
                </c:pt>
                <c:pt idx="3" formatCode="0%">
                  <c:v>1</c:v>
                </c:pt>
              </c:numCache>
            </c:numRef>
          </c:val>
          <c:extLst>
            <c:ext xmlns:c16="http://schemas.microsoft.com/office/drawing/2014/chart" uri="{C3380CC4-5D6E-409C-BE32-E72D297353CC}">
              <c16:uniqueId val="{00000000-18C8-4F6C-A2E5-CF41384C9E04}"/>
            </c:ext>
          </c:extLst>
        </c:ser>
        <c:ser>
          <c:idx val="1"/>
          <c:order val="1"/>
          <c:tx>
            <c:strRef>
              <c:f>Hoja2!$C$83</c:f>
              <c:strCache>
                <c:ptCount val="1"/>
                <c:pt idx="0">
                  <c:v>Meta fin 2016</c:v>
                </c:pt>
              </c:strCache>
            </c:strRef>
          </c:tx>
          <c:spPr>
            <a:solidFill>
              <a:schemeClr val="accent2"/>
            </a:solidFill>
            <a:ln>
              <a:noFill/>
            </a:ln>
            <a:effectLst/>
          </c:spPr>
          <c:invertIfNegative val="0"/>
          <c:cat>
            <c:strRef>
              <c:f>Hoja2!$A$84:$A$87</c:f>
              <c:strCache>
                <c:ptCount val="4"/>
                <c:pt idx="0">
                  <c:v>4.1 </c:v>
                </c:pt>
                <c:pt idx="1">
                  <c:v>4.2 </c:v>
                </c:pt>
                <c:pt idx="2">
                  <c:v>4.3</c:v>
                </c:pt>
                <c:pt idx="3">
                  <c:v>4.4 </c:v>
                </c:pt>
              </c:strCache>
            </c:strRef>
          </c:cat>
          <c:val>
            <c:numRef>
              <c:f>Hoja2!$C$84:$C$87</c:f>
              <c:numCache>
                <c:formatCode>0%</c:formatCode>
                <c:ptCount val="4"/>
                <c:pt idx="0">
                  <c:v>0.33</c:v>
                </c:pt>
                <c:pt idx="1">
                  <c:v>0.87</c:v>
                </c:pt>
                <c:pt idx="2">
                  <c:v>0.89</c:v>
                </c:pt>
                <c:pt idx="3">
                  <c:v>1</c:v>
                </c:pt>
              </c:numCache>
            </c:numRef>
          </c:val>
          <c:extLst>
            <c:ext xmlns:c16="http://schemas.microsoft.com/office/drawing/2014/chart" uri="{C3380CC4-5D6E-409C-BE32-E72D297353CC}">
              <c16:uniqueId val="{00000001-18C8-4F6C-A2E5-CF41384C9E04}"/>
            </c:ext>
          </c:extLst>
        </c:ser>
        <c:dLbls>
          <c:showLegendKey val="0"/>
          <c:showVal val="0"/>
          <c:showCatName val="0"/>
          <c:showSerName val="0"/>
          <c:showPercent val="0"/>
          <c:showBubbleSize val="0"/>
        </c:dLbls>
        <c:gapWidth val="219"/>
        <c:overlap val="-27"/>
        <c:axId val="267310552"/>
        <c:axId val="267310944"/>
      </c:barChart>
      <c:catAx>
        <c:axId val="267310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7310944"/>
        <c:crosses val="autoZero"/>
        <c:auto val="1"/>
        <c:lblAlgn val="ctr"/>
        <c:lblOffset val="100"/>
        <c:noMultiLvlLbl val="0"/>
      </c:catAx>
      <c:valAx>
        <c:axId val="267310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7310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Avance</a:t>
            </a:r>
            <a:r>
              <a:rPr lang="es-CO" b="1" baseline="0"/>
              <a:t> físico/financiero Programa 4</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Hoja2!$B$83</c:f>
              <c:strCache>
                <c:ptCount val="1"/>
                <c:pt idx="0">
                  <c:v>Meta fis 2016</c:v>
                </c:pt>
              </c:strCache>
            </c:strRef>
          </c:tx>
          <c:spPr>
            <a:solidFill>
              <a:schemeClr val="accent1"/>
            </a:solidFill>
            <a:ln>
              <a:noFill/>
            </a:ln>
            <a:effectLst/>
          </c:spPr>
          <c:invertIfNegative val="0"/>
          <c:cat>
            <c:strRef>
              <c:f>Hoja2!$A$84:$A$87</c:f>
              <c:strCache>
                <c:ptCount val="4"/>
                <c:pt idx="0">
                  <c:v>4.1 </c:v>
                </c:pt>
                <c:pt idx="1">
                  <c:v>4.2 </c:v>
                </c:pt>
                <c:pt idx="2">
                  <c:v>4.3</c:v>
                </c:pt>
                <c:pt idx="3">
                  <c:v>4.4 </c:v>
                </c:pt>
              </c:strCache>
            </c:strRef>
          </c:cat>
          <c:val>
            <c:numRef>
              <c:f>Hoja2!$B$84:$B$87</c:f>
              <c:numCache>
                <c:formatCode>0.00%</c:formatCode>
                <c:ptCount val="4"/>
                <c:pt idx="0" formatCode="0%">
                  <c:v>1</c:v>
                </c:pt>
                <c:pt idx="1">
                  <c:v>0.98599999999999999</c:v>
                </c:pt>
                <c:pt idx="2">
                  <c:v>0.68700000000000006</c:v>
                </c:pt>
                <c:pt idx="3" formatCode="0%">
                  <c:v>1</c:v>
                </c:pt>
              </c:numCache>
            </c:numRef>
          </c:val>
          <c:extLst>
            <c:ext xmlns:c16="http://schemas.microsoft.com/office/drawing/2014/chart" uri="{C3380CC4-5D6E-409C-BE32-E72D297353CC}">
              <c16:uniqueId val="{00000000-6005-4466-BD0E-6A439C771E71}"/>
            </c:ext>
          </c:extLst>
        </c:ser>
        <c:ser>
          <c:idx val="1"/>
          <c:order val="1"/>
          <c:tx>
            <c:strRef>
              <c:f>Hoja2!$C$83</c:f>
              <c:strCache>
                <c:ptCount val="1"/>
                <c:pt idx="0">
                  <c:v>Meta fin 2016</c:v>
                </c:pt>
              </c:strCache>
            </c:strRef>
          </c:tx>
          <c:spPr>
            <a:solidFill>
              <a:schemeClr val="accent2"/>
            </a:solidFill>
            <a:ln>
              <a:noFill/>
            </a:ln>
            <a:effectLst/>
          </c:spPr>
          <c:invertIfNegative val="0"/>
          <c:cat>
            <c:strRef>
              <c:f>Hoja2!$A$84:$A$87</c:f>
              <c:strCache>
                <c:ptCount val="4"/>
                <c:pt idx="0">
                  <c:v>4.1 </c:v>
                </c:pt>
                <c:pt idx="1">
                  <c:v>4.2 </c:v>
                </c:pt>
                <c:pt idx="2">
                  <c:v>4.3</c:v>
                </c:pt>
                <c:pt idx="3">
                  <c:v>4.4 </c:v>
                </c:pt>
              </c:strCache>
            </c:strRef>
          </c:cat>
          <c:val>
            <c:numRef>
              <c:f>Hoja2!$C$84:$C$87</c:f>
              <c:numCache>
                <c:formatCode>0%</c:formatCode>
                <c:ptCount val="4"/>
                <c:pt idx="0">
                  <c:v>0.33</c:v>
                </c:pt>
                <c:pt idx="1">
                  <c:v>0.87</c:v>
                </c:pt>
                <c:pt idx="2">
                  <c:v>0.89</c:v>
                </c:pt>
                <c:pt idx="3">
                  <c:v>1</c:v>
                </c:pt>
              </c:numCache>
            </c:numRef>
          </c:val>
          <c:extLst>
            <c:ext xmlns:c16="http://schemas.microsoft.com/office/drawing/2014/chart" uri="{C3380CC4-5D6E-409C-BE32-E72D297353CC}">
              <c16:uniqueId val="{00000001-6005-4466-BD0E-6A439C771E71}"/>
            </c:ext>
          </c:extLst>
        </c:ser>
        <c:dLbls>
          <c:showLegendKey val="0"/>
          <c:showVal val="0"/>
          <c:showCatName val="0"/>
          <c:showSerName val="0"/>
          <c:showPercent val="0"/>
          <c:showBubbleSize val="0"/>
        </c:dLbls>
        <c:gapWidth val="219"/>
        <c:overlap val="-27"/>
        <c:axId val="267311728"/>
        <c:axId val="266553008"/>
      </c:barChart>
      <c:catAx>
        <c:axId val="267311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6553008"/>
        <c:crosses val="autoZero"/>
        <c:auto val="1"/>
        <c:lblAlgn val="ctr"/>
        <c:lblOffset val="100"/>
        <c:noMultiLvlLbl val="0"/>
      </c:catAx>
      <c:valAx>
        <c:axId val="266553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731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Avance físico/financiero Programa 5</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Hoja2!$A$97</c:f>
              <c:strCache>
                <c:ptCount val="1"/>
                <c:pt idx="0">
                  <c:v>5.1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Hoja2!$B$96:$C$96</c:f>
              <c:strCache>
                <c:ptCount val="2"/>
                <c:pt idx="0">
                  <c:v>Meta fis 2017</c:v>
                </c:pt>
                <c:pt idx="1">
                  <c:v>Meta fin 2017</c:v>
                </c:pt>
              </c:strCache>
            </c:strRef>
          </c:cat>
          <c:val>
            <c:numRef>
              <c:f>Hoja2!$B$97:$C$97</c:f>
              <c:numCache>
                <c:formatCode>0%</c:formatCode>
                <c:ptCount val="2"/>
                <c:pt idx="0" formatCode="0.00%">
                  <c:v>0.77800000000000002</c:v>
                </c:pt>
                <c:pt idx="1">
                  <c:v>0.79</c:v>
                </c:pt>
              </c:numCache>
            </c:numRef>
          </c:val>
          <c:extLst>
            <c:ext xmlns:c16="http://schemas.microsoft.com/office/drawing/2014/chart" uri="{C3380CC4-5D6E-409C-BE32-E72D297353CC}">
              <c16:uniqueId val="{00000000-16E5-4A27-8533-6458643EEABC}"/>
            </c:ext>
          </c:extLst>
        </c:ser>
        <c:ser>
          <c:idx val="1"/>
          <c:order val="1"/>
          <c:tx>
            <c:strRef>
              <c:f>Hoja2!$A$98</c:f>
              <c:strCache>
                <c:ptCount val="1"/>
                <c:pt idx="0">
                  <c:v>5.2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Hoja2!$B$96:$C$96</c:f>
              <c:strCache>
                <c:ptCount val="2"/>
                <c:pt idx="0">
                  <c:v>Meta fis 2017</c:v>
                </c:pt>
                <c:pt idx="1">
                  <c:v>Meta fin 2017</c:v>
                </c:pt>
              </c:strCache>
            </c:strRef>
          </c:cat>
          <c:val>
            <c:numRef>
              <c:f>Hoja2!$B$98:$C$98</c:f>
              <c:numCache>
                <c:formatCode>0%</c:formatCode>
                <c:ptCount val="2"/>
                <c:pt idx="0">
                  <c:v>1</c:v>
                </c:pt>
                <c:pt idx="1">
                  <c:v>0.33</c:v>
                </c:pt>
              </c:numCache>
            </c:numRef>
          </c:val>
          <c:extLst>
            <c:ext xmlns:c16="http://schemas.microsoft.com/office/drawing/2014/chart" uri="{C3380CC4-5D6E-409C-BE32-E72D297353CC}">
              <c16:uniqueId val="{00000001-16E5-4A27-8533-6458643EEABC}"/>
            </c:ext>
          </c:extLst>
        </c:ser>
        <c:dLbls>
          <c:showLegendKey val="0"/>
          <c:showVal val="0"/>
          <c:showCatName val="0"/>
          <c:showSerName val="0"/>
          <c:showPercent val="0"/>
          <c:showBubbleSize val="0"/>
        </c:dLbls>
        <c:gapWidth val="219"/>
        <c:overlap val="-27"/>
        <c:axId val="267308984"/>
        <c:axId val="266553792"/>
      </c:barChart>
      <c:catAx>
        <c:axId val="267308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6553792"/>
        <c:crosses val="autoZero"/>
        <c:auto val="1"/>
        <c:lblAlgn val="ctr"/>
        <c:lblOffset val="100"/>
        <c:noMultiLvlLbl val="0"/>
      </c:catAx>
      <c:valAx>
        <c:axId val="26655379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7308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effectLst/>
              </a:rPr>
              <a:t>Avance físico/financiero Programa 6</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Hoja2!$B$111</c:f>
              <c:strCache>
                <c:ptCount val="1"/>
                <c:pt idx="0">
                  <c:v>Meta fis 2017</c:v>
                </c:pt>
              </c:strCache>
            </c:strRef>
          </c:tx>
          <c:spPr>
            <a:solidFill>
              <a:schemeClr val="accent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439-4DF0-880B-1064B507E0D7}"/>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439-4DF0-880B-1064B507E0D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Hoja2!$A$112:$A$113</c:f>
              <c:strCache>
                <c:ptCount val="2"/>
                <c:pt idx="0">
                  <c:v>6.1 </c:v>
                </c:pt>
                <c:pt idx="1">
                  <c:v>6.3</c:v>
                </c:pt>
              </c:strCache>
            </c:strRef>
          </c:cat>
          <c:val>
            <c:numRef>
              <c:f>Hoja2!$B$112:$B$113</c:f>
              <c:numCache>
                <c:formatCode>0.00%</c:formatCode>
                <c:ptCount val="2"/>
                <c:pt idx="0">
                  <c:v>0.86799999999999999</c:v>
                </c:pt>
                <c:pt idx="1">
                  <c:v>0.94399999999999995</c:v>
                </c:pt>
              </c:numCache>
            </c:numRef>
          </c:val>
          <c:extLst>
            <c:ext xmlns:c16="http://schemas.microsoft.com/office/drawing/2014/chart" uri="{C3380CC4-5D6E-409C-BE32-E72D297353CC}">
              <c16:uniqueId val="{00000000-7439-4DF0-880B-1064B507E0D7}"/>
            </c:ext>
          </c:extLst>
        </c:ser>
        <c:ser>
          <c:idx val="1"/>
          <c:order val="1"/>
          <c:tx>
            <c:strRef>
              <c:f>Hoja2!$C$111</c:f>
              <c:strCache>
                <c:ptCount val="1"/>
                <c:pt idx="0">
                  <c:v>Meta fin 2017</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Hoja2!$A$112:$A$113</c:f>
              <c:strCache>
                <c:ptCount val="2"/>
                <c:pt idx="0">
                  <c:v>6.1 </c:v>
                </c:pt>
                <c:pt idx="1">
                  <c:v>6.3</c:v>
                </c:pt>
              </c:strCache>
            </c:strRef>
          </c:cat>
          <c:val>
            <c:numRef>
              <c:f>Hoja2!$C$112:$C$113</c:f>
              <c:numCache>
                <c:formatCode>0%</c:formatCode>
                <c:ptCount val="2"/>
                <c:pt idx="0">
                  <c:v>0.7</c:v>
                </c:pt>
                <c:pt idx="1">
                  <c:v>0.98</c:v>
                </c:pt>
              </c:numCache>
            </c:numRef>
          </c:val>
          <c:extLst>
            <c:ext xmlns:c16="http://schemas.microsoft.com/office/drawing/2014/chart" uri="{C3380CC4-5D6E-409C-BE32-E72D297353CC}">
              <c16:uniqueId val="{00000001-7439-4DF0-880B-1064B507E0D7}"/>
            </c:ext>
          </c:extLst>
        </c:ser>
        <c:dLbls>
          <c:showLegendKey val="0"/>
          <c:showVal val="0"/>
          <c:showCatName val="0"/>
          <c:showSerName val="0"/>
          <c:showPercent val="0"/>
          <c:showBubbleSize val="0"/>
        </c:dLbls>
        <c:gapWidth val="219"/>
        <c:overlap val="-27"/>
        <c:axId val="266554576"/>
        <c:axId val="266554968"/>
      </c:barChart>
      <c:catAx>
        <c:axId val="266554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6554968"/>
        <c:crosses val="autoZero"/>
        <c:auto val="1"/>
        <c:lblAlgn val="ctr"/>
        <c:lblOffset val="100"/>
        <c:noMultiLvlLbl val="0"/>
      </c:catAx>
      <c:valAx>
        <c:axId val="2665549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6554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solidFill>
                  <a:sysClr val="windowText" lastClr="000000"/>
                </a:solidFill>
              </a:rPr>
              <a:t>Avance de legalización de usuarios de aguas superficiales y subterráneas en el departamento del Cesar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1"/>
            <c:invertIfNegative val="0"/>
            <c:bubble3D val="0"/>
            <c:spPr>
              <a:solidFill>
                <a:srgbClr val="FF0000"/>
              </a:solidFill>
              <a:ln>
                <a:noFill/>
              </a:ln>
              <a:effectLst/>
              <a:sp3d/>
            </c:spPr>
            <c:extLst>
              <c:ext xmlns:c16="http://schemas.microsoft.com/office/drawing/2014/chart" uri="{C3380CC4-5D6E-409C-BE32-E72D297353CC}">
                <c16:uniqueId val="{00000001-842A-46D2-AA50-1A7E5EC63864}"/>
              </c:ext>
            </c:extLst>
          </c:dPt>
          <c:dPt>
            <c:idx val="2"/>
            <c:invertIfNegative val="0"/>
            <c:bubble3D val="0"/>
            <c:spPr>
              <a:solidFill>
                <a:srgbClr val="00B050"/>
              </a:solidFill>
              <a:ln>
                <a:noFill/>
              </a:ln>
              <a:effectLst/>
              <a:sp3d/>
            </c:spPr>
            <c:extLst>
              <c:ext xmlns:c16="http://schemas.microsoft.com/office/drawing/2014/chart" uri="{C3380CC4-5D6E-409C-BE32-E72D297353CC}">
                <c16:uniqueId val="{00000003-842A-46D2-AA50-1A7E5EC63864}"/>
              </c:ext>
            </c:extLst>
          </c:dPt>
          <c:dLbls>
            <c:dLbl>
              <c:idx val="0"/>
              <c:layout>
                <c:manualLayout>
                  <c:x val="0"/>
                  <c:y val="-3.70370370370370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42A-46D2-AA50-1A7E5EC63864}"/>
                </c:ext>
              </c:extLst>
            </c:dLbl>
            <c:dLbl>
              <c:idx val="1"/>
              <c:layout>
                <c:manualLayout>
                  <c:x val="0"/>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2A-46D2-AA50-1A7E5EC63864}"/>
                </c:ext>
              </c:extLst>
            </c:dLbl>
            <c:dLbl>
              <c:idx val="2"/>
              <c:layout>
                <c:manualLayout>
                  <c:x val="0"/>
                  <c:y val="-1.8518518518518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2A-46D2-AA50-1A7E5EC6386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Hoja1!$C$7:$G$7</c:f>
              <c:numCache>
                <c:formatCode>General</c:formatCode>
                <c:ptCount val="3"/>
                <c:pt idx="0">
                  <c:v>2013</c:v>
                </c:pt>
                <c:pt idx="1">
                  <c:v>2014</c:v>
                </c:pt>
                <c:pt idx="2">
                  <c:v>2015</c:v>
                </c:pt>
              </c:numCache>
            </c:numRef>
          </c:cat>
          <c:val>
            <c:numRef>
              <c:f>Hoja1!$C$3:$G$3</c:f>
              <c:numCache>
                <c:formatCode>0.00%</c:formatCode>
                <c:ptCount val="3"/>
                <c:pt idx="0" formatCode="0%">
                  <c:v>0.48</c:v>
                </c:pt>
                <c:pt idx="1">
                  <c:v>0.52500000000000002</c:v>
                </c:pt>
                <c:pt idx="2" formatCode="0%">
                  <c:v>0.7</c:v>
                </c:pt>
              </c:numCache>
            </c:numRef>
          </c:val>
          <c:extLst>
            <c:ext xmlns:c16="http://schemas.microsoft.com/office/drawing/2014/chart" uri="{C3380CC4-5D6E-409C-BE32-E72D297353CC}">
              <c16:uniqueId val="{00000005-842A-46D2-AA50-1A7E5EC63864}"/>
            </c:ext>
          </c:extLst>
        </c:ser>
        <c:dLbls>
          <c:showLegendKey val="0"/>
          <c:showVal val="0"/>
          <c:showCatName val="0"/>
          <c:showSerName val="0"/>
          <c:showPercent val="0"/>
          <c:showBubbleSize val="0"/>
        </c:dLbls>
        <c:gapWidth val="150"/>
        <c:shape val="box"/>
        <c:axId val="266555752"/>
        <c:axId val="266556144"/>
        <c:axId val="0"/>
      </c:bar3DChart>
      <c:catAx>
        <c:axId val="266555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MX"/>
          </a:p>
        </c:txPr>
        <c:crossAx val="266556144"/>
        <c:crosses val="autoZero"/>
        <c:auto val="1"/>
        <c:lblAlgn val="ctr"/>
        <c:lblOffset val="100"/>
        <c:noMultiLvlLbl val="0"/>
      </c:catAx>
      <c:valAx>
        <c:axId val="266556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665557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DC84-4240-8D72-8DF49E3E2994}"/>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DC84-4240-8D72-8DF49E3E2994}"/>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DC84-4240-8D72-8DF49E3E2994}"/>
              </c:ext>
            </c:extLst>
          </c:dPt>
          <c:cat>
            <c:strRef>
              <c:f>Hoja1!$R$4:$R$6</c:f>
              <c:strCache>
                <c:ptCount val="3"/>
                <c:pt idx="0">
                  <c:v>MAMÍFEROS</c:v>
                </c:pt>
                <c:pt idx="1">
                  <c:v>AVES</c:v>
                </c:pt>
                <c:pt idx="2">
                  <c:v>REPTILES</c:v>
                </c:pt>
              </c:strCache>
            </c:strRef>
          </c:cat>
          <c:val>
            <c:numRef>
              <c:f>Hoja1!$S$4:$S$6</c:f>
              <c:numCache>
                <c:formatCode>General</c:formatCode>
                <c:ptCount val="3"/>
                <c:pt idx="0">
                  <c:v>59</c:v>
                </c:pt>
                <c:pt idx="1">
                  <c:v>56</c:v>
                </c:pt>
                <c:pt idx="2">
                  <c:v>867</c:v>
                </c:pt>
              </c:numCache>
            </c:numRef>
          </c:val>
          <c:extLst>
            <c:ext xmlns:c16="http://schemas.microsoft.com/office/drawing/2014/chart" uri="{C3380CC4-5D6E-409C-BE32-E72D297353CC}">
              <c16:uniqueId val="{00000006-DC84-4240-8D72-8DF49E3E2994}"/>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571741032371027E-2"/>
          <c:y val="5.1400554097404488E-2"/>
          <c:w val="0.7234433739260856"/>
          <c:h val="0.74924358413531644"/>
        </c:manualLayout>
      </c:layout>
      <c:barChart>
        <c:barDir val="col"/>
        <c:grouping val="clustered"/>
        <c:varyColors val="0"/>
        <c:ser>
          <c:idx val="0"/>
          <c:order val="0"/>
          <c:tx>
            <c:v>% EJECUCIÓN FÍSICA</c:v>
          </c:tx>
          <c:invertIfNegative val="0"/>
          <c:cat>
            <c:strRef>
              <c:f>Gráficos!$C$6:$C$18</c:f>
              <c:strCache>
                <c:ptCount val="13"/>
                <c:pt idx="0">
                  <c:v>1.1.1</c:v>
                </c:pt>
                <c:pt idx="1">
                  <c:v>1.1.2</c:v>
                </c:pt>
                <c:pt idx="2">
                  <c:v>1.1.3</c:v>
                </c:pt>
                <c:pt idx="3">
                  <c:v>1.1.4</c:v>
                </c:pt>
                <c:pt idx="4">
                  <c:v>1.1.5</c:v>
                </c:pt>
                <c:pt idx="5">
                  <c:v>1.2.1.</c:v>
                </c:pt>
                <c:pt idx="6">
                  <c:v>1.3.1</c:v>
                </c:pt>
                <c:pt idx="7">
                  <c:v>1.3.2</c:v>
                </c:pt>
                <c:pt idx="9">
                  <c:v>1.3.3.</c:v>
                </c:pt>
                <c:pt idx="10">
                  <c:v>1.3.4.</c:v>
                </c:pt>
                <c:pt idx="11">
                  <c:v>1.3.5.</c:v>
                </c:pt>
                <c:pt idx="12">
                  <c:v>1.3.6</c:v>
                </c:pt>
              </c:strCache>
            </c:strRef>
          </c:cat>
          <c:val>
            <c:numRef>
              <c:f>Gráficos!$E$6:$E$18</c:f>
              <c:numCache>
                <c:formatCode>General</c:formatCode>
                <c:ptCount val="13"/>
                <c:pt idx="0">
                  <c:v>0</c:v>
                </c:pt>
                <c:pt idx="1">
                  <c:v>0</c:v>
                </c:pt>
                <c:pt idx="2">
                  <c:v>100</c:v>
                </c:pt>
                <c:pt idx="3">
                  <c:v>0</c:v>
                </c:pt>
                <c:pt idx="4" formatCode="0">
                  <c:v>100</c:v>
                </c:pt>
                <c:pt idx="5">
                  <c:v>100</c:v>
                </c:pt>
                <c:pt idx="6">
                  <c:v>100</c:v>
                </c:pt>
                <c:pt idx="7">
                  <c:v>100</c:v>
                </c:pt>
                <c:pt idx="8">
                  <c:v>0</c:v>
                </c:pt>
                <c:pt idx="9">
                  <c:v>100</c:v>
                </c:pt>
                <c:pt idx="10">
                  <c:v>0</c:v>
                </c:pt>
                <c:pt idx="11">
                  <c:v>0</c:v>
                </c:pt>
                <c:pt idx="12">
                  <c:v>100</c:v>
                </c:pt>
              </c:numCache>
            </c:numRef>
          </c:val>
          <c:extLst>
            <c:ext xmlns:c16="http://schemas.microsoft.com/office/drawing/2014/chart" uri="{C3380CC4-5D6E-409C-BE32-E72D297353CC}">
              <c16:uniqueId val="{00000000-2250-4BFF-BE87-0DED19674968}"/>
            </c:ext>
          </c:extLst>
        </c:ser>
        <c:ser>
          <c:idx val="1"/>
          <c:order val="1"/>
          <c:tx>
            <c:v>% EJECUCIÓN FINANCIERA</c:v>
          </c:tx>
          <c:invertIfNegative val="0"/>
          <c:cat>
            <c:strRef>
              <c:f>Gráficos!$C$6:$C$18</c:f>
              <c:strCache>
                <c:ptCount val="13"/>
                <c:pt idx="0">
                  <c:v>1.1.1</c:v>
                </c:pt>
                <c:pt idx="1">
                  <c:v>1.1.2</c:v>
                </c:pt>
                <c:pt idx="2">
                  <c:v>1.1.3</c:v>
                </c:pt>
                <c:pt idx="3">
                  <c:v>1.1.4</c:v>
                </c:pt>
                <c:pt idx="4">
                  <c:v>1.1.5</c:v>
                </c:pt>
                <c:pt idx="5">
                  <c:v>1.2.1.</c:v>
                </c:pt>
                <c:pt idx="6">
                  <c:v>1.3.1</c:v>
                </c:pt>
                <c:pt idx="7">
                  <c:v>1.3.2</c:v>
                </c:pt>
                <c:pt idx="9">
                  <c:v>1.3.3.</c:v>
                </c:pt>
                <c:pt idx="10">
                  <c:v>1.3.4.</c:v>
                </c:pt>
                <c:pt idx="11">
                  <c:v>1.3.5.</c:v>
                </c:pt>
                <c:pt idx="12">
                  <c:v>1.3.6</c:v>
                </c:pt>
              </c:strCache>
            </c:strRef>
          </c:cat>
          <c:val>
            <c:numRef>
              <c:f>Gráficos!$F$6:$F$18</c:f>
              <c:numCache>
                <c:formatCode>General</c:formatCode>
                <c:ptCount val="13"/>
                <c:pt idx="0">
                  <c:v>0</c:v>
                </c:pt>
                <c:pt idx="1">
                  <c:v>0</c:v>
                </c:pt>
                <c:pt idx="2" formatCode="0.00">
                  <c:v>5</c:v>
                </c:pt>
                <c:pt idx="3">
                  <c:v>0</c:v>
                </c:pt>
                <c:pt idx="4">
                  <c:v>0</c:v>
                </c:pt>
                <c:pt idx="5">
                  <c:v>0</c:v>
                </c:pt>
                <c:pt idx="6">
                  <c:v>0</c:v>
                </c:pt>
                <c:pt idx="7">
                  <c:v>0</c:v>
                </c:pt>
                <c:pt idx="9">
                  <c:v>0</c:v>
                </c:pt>
                <c:pt idx="10">
                  <c:v>0</c:v>
                </c:pt>
                <c:pt idx="11">
                  <c:v>0</c:v>
                </c:pt>
                <c:pt idx="12">
                  <c:v>0</c:v>
                </c:pt>
              </c:numCache>
            </c:numRef>
          </c:val>
          <c:extLst>
            <c:ext xmlns:c16="http://schemas.microsoft.com/office/drawing/2014/chart" uri="{C3380CC4-5D6E-409C-BE32-E72D297353CC}">
              <c16:uniqueId val="{00000001-2250-4BFF-BE87-0DED19674968}"/>
            </c:ext>
          </c:extLst>
        </c:ser>
        <c:dLbls>
          <c:showLegendKey val="0"/>
          <c:showVal val="0"/>
          <c:showCatName val="0"/>
          <c:showSerName val="0"/>
          <c:showPercent val="0"/>
          <c:showBubbleSize val="0"/>
        </c:dLbls>
        <c:gapWidth val="150"/>
        <c:axId val="268905848"/>
        <c:axId val="268907024"/>
      </c:barChart>
      <c:catAx>
        <c:axId val="268905848"/>
        <c:scaling>
          <c:orientation val="minMax"/>
        </c:scaling>
        <c:delete val="0"/>
        <c:axPos val="b"/>
        <c:numFmt formatCode="General" sourceLinked="0"/>
        <c:majorTickMark val="out"/>
        <c:minorTickMark val="none"/>
        <c:tickLblPos val="nextTo"/>
        <c:txPr>
          <a:bodyPr/>
          <a:lstStyle/>
          <a:p>
            <a:pPr>
              <a:defRPr lang="es-CO"/>
            </a:pPr>
            <a:endParaRPr lang="es-MX"/>
          </a:p>
        </c:txPr>
        <c:crossAx val="268907024"/>
        <c:crosses val="autoZero"/>
        <c:auto val="1"/>
        <c:lblAlgn val="ctr"/>
        <c:lblOffset val="100"/>
        <c:noMultiLvlLbl val="0"/>
      </c:catAx>
      <c:valAx>
        <c:axId val="268907024"/>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8905848"/>
        <c:crosses val="autoZero"/>
        <c:crossBetween val="between"/>
      </c:valAx>
    </c:plotArea>
    <c:legend>
      <c:legendPos val="r"/>
      <c:layout>
        <c:manualLayout>
          <c:xMode val="edge"/>
          <c:yMode val="edge"/>
          <c:x val="0.81994473516899424"/>
          <c:y val="0.31906058617673388"/>
          <c:w val="0.16616634877162584"/>
          <c:h val="0.38965660542433134"/>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471776612671832E-2"/>
          <c:y val="2.9007087092030006E-2"/>
          <c:w val="0.75044751154237765"/>
          <c:h val="0.86508666001501766"/>
        </c:manualLayout>
      </c:layout>
      <c:barChart>
        <c:barDir val="col"/>
        <c:grouping val="clustered"/>
        <c:varyColors val="0"/>
        <c:ser>
          <c:idx val="0"/>
          <c:order val="0"/>
          <c:tx>
            <c:v>% EJECUCIÓN FÍSICA</c:v>
          </c:tx>
          <c:invertIfNegative val="0"/>
          <c:cat>
            <c:strRef>
              <c:f>Gráficos!$C$77:$C$94</c:f>
              <c:strCache>
                <c:ptCount val="18"/>
                <c:pt idx="0">
                  <c:v>3.1.1</c:v>
                </c:pt>
                <c:pt idx="1">
                  <c:v>3.2.1</c:v>
                </c:pt>
                <c:pt idx="2">
                  <c:v>3.3.1</c:v>
                </c:pt>
                <c:pt idx="3">
                  <c:v>3.3.2</c:v>
                </c:pt>
                <c:pt idx="4">
                  <c:v>3.3.3</c:v>
                </c:pt>
                <c:pt idx="5">
                  <c:v>3.3.4</c:v>
                </c:pt>
                <c:pt idx="6">
                  <c:v>3.4.1</c:v>
                </c:pt>
                <c:pt idx="7">
                  <c:v>3.4.2</c:v>
                </c:pt>
                <c:pt idx="9">
                  <c:v>3.4.3</c:v>
                </c:pt>
                <c:pt idx="11">
                  <c:v>3.5.1</c:v>
                </c:pt>
                <c:pt idx="12">
                  <c:v>3.6.1</c:v>
                </c:pt>
                <c:pt idx="14">
                  <c:v>3.6.3</c:v>
                </c:pt>
                <c:pt idx="16">
                  <c:v>3.6.5</c:v>
                </c:pt>
                <c:pt idx="17">
                  <c:v>3.6.7</c:v>
                </c:pt>
              </c:strCache>
            </c:strRef>
          </c:cat>
          <c:val>
            <c:numRef>
              <c:f>Gráficos!$E$77:$E$94</c:f>
              <c:numCache>
                <c:formatCode>General</c:formatCode>
                <c:ptCount val="18"/>
                <c:pt idx="0">
                  <c:v>0</c:v>
                </c:pt>
                <c:pt idx="1">
                  <c:v>0</c:v>
                </c:pt>
                <c:pt idx="2">
                  <c:v>0</c:v>
                </c:pt>
                <c:pt idx="3">
                  <c:v>0</c:v>
                </c:pt>
                <c:pt idx="4" formatCode="0">
                  <c:v>0</c:v>
                </c:pt>
                <c:pt idx="5">
                  <c:v>0</c:v>
                </c:pt>
                <c:pt idx="6">
                  <c:v>0</c:v>
                </c:pt>
                <c:pt idx="7">
                  <c:v>0</c:v>
                </c:pt>
                <c:pt idx="8">
                  <c:v>100</c:v>
                </c:pt>
                <c:pt idx="9">
                  <c:v>100</c:v>
                </c:pt>
                <c:pt idx="10">
                  <c:v>0</c:v>
                </c:pt>
                <c:pt idx="11" formatCode="0">
                  <c:v>0</c:v>
                </c:pt>
                <c:pt idx="12">
                  <c:v>0</c:v>
                </c:pt>
                <c:pt idx="13">
                  <c:v>0</c:v>
                </c:pt>
                <c:pt idx="14">
                  <c:v>100</c:v>
                </c:pt>
                <c:pt idx="15">
                  <c:v>100</c:v>
                </c:pt>
                <c:pt idx="16">
                  <c:v>100</c:v>
                </c:pt>
                <c:pt idx="17">
                  <c:v>0</c:v>
                </c:pt>
              </c:numCache>
            </c:numRef>
          </c:val>
          <c:extLst>
            <c:ext xmlns:c16="http://schemas.microsoft.com/office/drawing/2014/chart" uri="{C3380CC4-5D6E-409C-BE32-E72D297353CC}">
              <c16:uniqueId val="{00000000-17FA-4C0A-8080-B42EC4438242}"/>
            </c:ext>
          </c:extLst>
        </c:ser>
        <c:ser>
          <c:idx val="1"/>
          <c:order val="1"/>
          <c:tx>
            <c:v>% EJECUCIÓN FÍNANCIERA</c:v>
          </c:tx>
          <c:invertIfNegative val="0"/>
          <c:cat>
            <c:strRef>
              <c:f>Gráficos!$C$77:$C$94</c:f>
              <c:strCache>
                <c:ptCount val="18"/>
                <c:pt idx="0">
                  <c:v>3.1.1</c:v>
                </c:pt>
                <c:pt idx="1">
                  <c:v>3.2.1</c:v>
                </c:pt>
                <c:pt idx="2">
                  <c:v>3.3.1</c:v>
                </c:pt>
                <c:pt idx="3">
                  <c:v>3.3.2</c:v>
                </c:pt>
                <c:pt idx="4">
                  <c:v>3.3.3</c:v>
                </c:pt>
                <c:pt idx="5">
                  <c:v>3.3.4</c:v>
                </c:pt>
                <c:pt idx="6">
                  <c:v>3.4.1</c:v>
                </c:pt>
                <c:pt idx="7">
                  <c:v>3.4.2</c:v>
                </c:pt>
                <c:pt idx="9">
                  <c:v>3.4.3</c:v>
                </c:pt>
                <c:pt idx="11">
                  <c:v>3.5.1</c:v>
                </c:pt>
                <c:pt idx="12">
                  <c:v>3.6.1</c:v>
                </c:pt>
                <c:pt idx="14">
                  <c:v>3.6.3</c:v>
                </c:pt>
                <c:pt idx="16">
                  <c:v>3.6.5</c:v>
                </c:pt>
                <c:pt idx="17">
                  <c:v>3.6.7</c:v>
                </c:pt>
              </c:strCache>
            </c:strRef>
          </c:cat>
          <c:val>
            <c:numRef>
              <c:f>Gráficos!$F$77:$F$94</c:f>
              <c:numCache>
                <c:formatCode>General</c:formatCode>
                <c:ptCount val="18"/>
                <c:pt idx="0">
                  <c:v>0</c:v>
                </c:pt>
                <c:pt idx="1">
                  <c:v>0</c:v>
                </c:pt>
                <c:pt idx="2">
                  <c:v>0</c:v>
                </c:pt>
                <c:pt idx="3">
                  <c:v>0</c:v>
                </c:pt>
                <c:pt idx="4">
                  <c:v>0</c:v>
                </c:pt>
                <c:pt idx="5">
                  <c:v>0</c:v>
                </c:pt>
                <c:pt idx="6">
                  <c:v>0</c:v>
                </c:pt>
                <c:pt idx="7">
                  <c:v>0</c:v>
                </c:pt>
                <c:pt idx="9">
                  <c:v>0</c:v>
                </c:pt>
                <c:pt idx="11">
                  <c:v>0</c:v>
                </c:pt>
                <c:pt idx="12">
                  <c:v>0</c:v>
                </c:pt>
                <c:pt idx="14">
                  <c:v>0</c:v>
                </c:pt>
                <c:pt idx="16">
                  <c:v>0</c:v>
                </c:pt>
                <c:pt idx="17">
                  <c:v>0</c:v>
                </c:pt>
              </c:numCache>
            </c:numRef>
          </c:val>
          <c:extLst>
            <c:ext xmlns:c16="http://schemas.microsoft.com/office/drawing/2014/chart" uri="{C3380CC4-5D6E-409C-BE32-E72D297353CC}">
              <c16:uniqueId val="{00000001-17FA-4C0A-8080-B42EC4438242}"/>
            </c:ext>
          </c:extLst>
        </c:ser>
        <c:dLbls>
          <c:showLegendKey val="0"/>
          <c:showVal val="0"/>
          <c:showCatName val="0"/>
          <c:showSerName val="0"/>
          <c:showPercent val="0"/>
          <c:showBubbleSize val="0"/>
        </c:dLbls>
        <c:gapWidth val="150"/>
        <c:axId val="268907808"/>
        <c:axId val="268908200"/>
      </c:barChart>
      <c:catAx>
        <c:axId val="268907808"/>
        <c:scaling>
          <c:orientation val="minMax"/>
        </c:scaling>
        <c:delete val="0"/>
        <c:axPos val="b"/>
        <c:numFmt formatCode="General" sourceLinked="0"/>
        <c:majorTickMark val="out"/>
        <c:minorTickMark val="none"/>
        <c:tickLblPos val="nextTo"/>
        <c:txPr>
          <a:bodyPr/>
          <a:lstStyle/>
          <a:p>
            <a:pPr>
              <a:defRPr lang="es-CO"/>
            </a:pPr>
            <a:endParaRPr lang="es-MX"/>
          </a:p>
        </c:txPr>
        <c:crossAx val="268908200"/>
        <c:crosses val="autoZero"/>
        <c:auto val="1"/>
        <c:lblAlgn val="ctr"/>
        <c:lblOffset val="100"/>
        <c:noMultiLvlLbl val="0"/>
      </c:catAx>
      <c:valAx>
        <c:axId val="268908200"/>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8907808"/>
        <c:crosses val="autoZero"/>
        <c:crossBetween val="between"/>
      </c:valAx>
    </c:plotArea>
    <c:legend>
      <c:legendPos val="r"/>
      <c:layout>
        <c:manualLayout>
          <c:xMode val="edge"/>
          <c:yMode val="edge"/>
          <c:x val="0.823919288155046"/>
          <c:y val="0.45275553132618079"/>
          <c:w val="0.16365798706210721"/>
          <c:h val="0.17548133595285384"/>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86372016333912E-2"/>
          <c:y val="2.8872180574294692E-2"/>
          <c:w val="0.73862861896411292"/>
          <c:h val="0.84937965621296962"/>
        </c:manualLayout>
      </c:layout>
      <c:barChart>
        <c:barDir val="col"/>
        <c:grouping val="clustered"/>
        <c:varyColors val="0"/>
        <c:ser>
          <c:idx val="0"/>
          <c:order val="0"/>
          <c:tx>
            <c:v>% EJECUCIÓN FÍSICA</c:v>
          </c:tx>
          <c:invertIfNegative val="0"/>
          <c:cat>
            <c:strRef>
              <c:f>Gráficos!$C$113:$C$124</c:f>
              <c:strCache>
                <c:ptCount val="12"/>
                <c:pt idx="0">
                  <c:v>4.1.1</c:v>
                </c:pt>
                <c:pt idx="1">
                  <c:v>4.1.2</c:v>
                </c:pt>
                <c:pt idx="2">
                  <c:v>4.1.3</c:v>
                </c:pt>
                <c:pt idx="3">
                  <c:v>4.1.4</c:v>
                </c:pt>
                <c:pt idx="4">
                  <c:v>4.1.5</c:v>
                </c:pt>
                <c:pt idx="5">
                  <c:v>4.1.6</c:v>
                </c:pt>
                <c:pt idx="6">
                  <c:v>4.1.7</c:v>
                </c:pt>
                <c:pt idx="7">
                  <c:v>4.1.8</c:v>
                </c:pt>
                <c:pt idx="8">
                  <c:v>4.1.10</c:v>
                </c:pt>
                <c:pt idx="9">
                  <c:v>4.2.1</c:v>
                </c:pt>
                <c:pt idx="10">
                  <c:v>4.2.2</c:v>
                </c:pt>
                <c:pt idx="11">
                  <c:v>4.2.3</c:v>
                </c:pt>
              </c:strCache>
            </c:strRef>
          </c:cat>
          <c:val>
            <c:numRef>
              <c:f>Gráficos!$E$113:$E$124</c:f>
              <c:numCache>
                <c:formatCode>General</c:formatCode>
                <c:ptCount val="12"/>
                <c:pt idx="0">
                  <c:v>100</c:v>
                </c:pt>
                <c:pt idx="1">
                  <c:v>100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407-41B7-9226-41682EA5B94F}"/>
            </c:ext>
          </c:extLst>
        </c:ser>
        <c:ser>
          <c:idx val="1"/>
          <c:order val="1"/>
          <c:tx>
            <c:v>% EJECUCIÓN FÍNANCIERA</c:v>
          </c:tx>
          <c:invertIfNegative val="0"/>
          <c:cat>
            <c:strRef>
              <c:f>Gráficos!$C$113:$C$124</c:f>
              <c:strCache>
                <c:ptCount val="12"/>
                <c:pt idx="0">
                  <c:v>4.1.1</c:v>
                </c:pt>
                <c:pt idx="1">
                  <c:v>4.1.2</c:v>
                </c:pt>
                <c:pt idx="2">
                  <c:v>4.1.3</c:v>
                </c:pt>
                <c:pt idx="3">
                  <c:v>4.1.4</c:v>
                </c:pt>
                <c:pt idx="4">
                  <c:v>4.1.5</c:v>
                </c:pt>
                <c:pt idx="5">
                  <c:v>4.1.6</c:v>
                </c:pt>
                <c:pt idx="6">
                  <c:v>4.1.7</c:v>
                </c:pt>
                <c:pt idx="7">
                  <c:v>4.1.8</c:v>
                </c:pt>
                <c:pt idx="8">
                  <c:v>4.1.10</c:v>
                </c:pt>
                <c:pt idx="9">
                  <c:v>4.2.1</c:v>
                </c:pt>
                <c:pt idx="10">
                  <c:v>4.2.2</c:v>
                </c:pt>
                <c:pt idx="11">
                  <c:v>4.2.3</c:v>
                </c:pt>
              </c:strCache>
            </c:strRef>
          </c:cat>
          <c:val>
            <c:numRef>
              <c:f>Gráficos!$F$113:$F$124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407-41B7-9226-41682EA5B94F}"/>
            </c:ext>
          </c:extLst>
        </c:ser>
        <c:dLbls>
          <c:showLegendKey val="0"/>
          <c:showVal val="0"/>
          <c:showCatName val="0"/>
          <c:showSerName val="0"/>
          <c:showPercent val="0"/>
          <c:showBubbleSize val="0"/>
        </c:dLbls>
        <c:gapWidth val="150"/>
        <c:axId val="268908984"/>
        <c:axId val="264407976"/>
      </c:barChart>
      <c:catAx>
        <c:axId val="268908984"/>
        <c:scaling>
          <c:orientation val="minMax"/>
        </c:scaling>
        <c:delete val="0"/>
        <c:axPos val="b"/>
        <c:numFmt formatCode="General" sourceLinked="0"/>
        <c:majorTickMark val="out"/>
        <c:minorTickMark val="none"/>
        <c:tickLblPos val="nextTo"/>
        <c:txPr>
          <a:bodyPr/>
          <a:lstStyle/>
          <a:p>
            <a:pPr>
              <a:defRPr lang="es-CO"/>
            </a:pPr>
            <a:endParaRPr lang="es-MX"/>
          </a:p>
        </c:txPr>
        <c:crossAx val="264407976"/>
        <c:crosses val="autoZero"/>
        <c:auto val="1"/>
        <c:lblAlgn val="ctr"/>
        <c:lblOffset val="100"/>
        <c:noMultiLvlLbl val="0"/>
      </c:catAx>
      <c:valAx>
        <c:axId val="264407976"/>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8908984"/>
        <c:crosses val="autoZero"/>
        <c:crossBetween val="between"/>
      </c:valAx>
    </c:plotArea>
    <c:legend>
      <c:legendPos val="r"/>
      <c:layout>
        <c:manualLayout>
          <c:xMode val="edge"/>
          <c:yMode val="edge"/>
          <c:x val="0.79169361559251294"/>
          <c:y val="0.39316349223933772"/>
          <c:w val="0.19581355917475868"/>
          <c:h val="0.16686368408303356"/>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825678909260689E-2"/>
          <c:y val="2.4724764642265779E-2"/>
          <c:w val="0.75108158578741757"/>
          <c:h val="0.79078380266639881"/>
        </c:manualLayout>
      </c:layout>
      <c:barChart>
        <c:barDir val="col"/>
        <c:grouping val="clustered"/>
        <c:varyColors val="0"/>
        <c:ser>
          <c:idx val="0"/>
          <c:order val="0"/>
          <c:tx>
            <c:v>% EJECUCIÓN FÍSICA</c:v>
          </c:tx>
          <c:invertIfNegative val="0"/>
          <c:cat>
            <c:strRef>
              <c:f>Gráficos!$C$190:$C$207</c:f>
              <c:strCache>
                <c:ptCount val="18"/>
                <c:pt idx="0">
                  <c:v>6.1.1</c:v>
                </c:pt>
                <c:pt idx="1">
                  <c:v>6.1.2</c:v>
                </c:pt>
                <c:pt idx="10">
                  <c:v>6.1.3</c:v>
                </c:pt>
                <c:pt idx="11">
                  <c:v>6.1.4</c:v>
                </c:pt>
                <c:pt idx="12">
                  <c:v>6.1.5</c:v>
                </c:pt>
                <c:pt idx="13">
                  <c:v>6.1.6</c:v>
                </c:pt>
                <c:pt idx="14">
                  <c:v>6.1.7</c:v>
                </c:pt>
                <c:pt idx="17">
                  <c:v>6.1.8</c:v>
                </c:pt>
              </c:strCache>
            </c:strRef>
          </c:cat>
          <c:val>
            <c:numRef>
              <c:f>Gráficos!$E$190:$E$207</c:f>
              <c:numCache>
                <c:formatCode>General</c:formatCode>
                <c:ptCount val="18"/>
                <c:pt idx="0">
                  <c:v>0</c:v>
                </c:pt>
                <c:pt idx="1">
                  <c:v>0</c:v>
                </c:pt>
                <c:pt idx="2">
                  <c:v>0</c:v>
                </c:pt>
                <c:pt idx="3">
                  <c:v>0</c:v>
                </c:pt>
                <c:pt idx="4">
                  <c:v>0</c:v>
                </c:pt>
                <c:pt idx="5">
                  <c:v>0</c:v>
                </c:pt>
                <c:pt idx="6">
                  <c:v>100</c:v>
                </c:pt>
                <c:pt idx="7">
                  <c:v>0</c:v>
                </c:pt>
                <c:pt idx="8">
                  <c:v>0</c:v>
                </c:pt>
                <c:pt idx="9">
                  <c:v>0</c:v>
                </c:pt>
                <c:pt idx="10">
                  <c:v>100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0-849A-4F8C-BF69-F93518613640}"/>
            </c:ext>
          </c:extLst>
        </c:ser>
        <c:ser>
          <c:idx val="1"/>
          <c:order val="1"/>
          <c:tx>
            <c:v>% EJECUCIÓN FÍNANCIERA</c:v>
          </c:tx>
          <c:invertIfNegative val="0"/>
          <c:cat>
            <c:strRef>
              <c:f>Gráficos!$C$190:$C$207</c:f>
              <c:strCache>
                <c:ptCount val="18"/>
                <c:pt idx="0">
                  <c:v>6.1.1</c:v>
                </c:pt>
                <c:pt idx="1">
                  <c:v>6.1.2</c:v>
                </c:pt>
                <c:pt idx="10">
                  <c:v>6.1.3</c:v>
                </c:pt>
                <c:pt idx="11">
                  <c:v>6.1.4</c:v>
                </c:pt>
                <c:pt idx="12">
                  <c:v>6.1.5</c:v>
                </c:pt>
                <c:pt idx="13">
                  <c:v>6.1.6</c:v>
                </c:pt>
                <c:pt idx="14">
                  <c:v>6.1.7</c:v>
                </c:pt>
                <c:pt idx="17">
                  <c:v>6.1.8</c:v>
                </c:pt>
              </c:strCache>
            </c:strRef>
          </c:cat>
          <c:val>
            <c:numRef>
              <c:f>Gráficos!$F$190:$F$207</c:f>
              <c:numCache>
                <c:formatCode>_(* #,##0.000000_);_(* \(#,##0.000000\);_(* "-"??_);_(@_)</c:formatCode>
                <c:ptCount val="18"/>
                <c:pt idx="0">
                  <c:v>0</c:v>
                </c:pt>
                <c:pt idx="1">
                  <c:v>0</c:v>
                </c:pt>
                <c:pt idx="10">
                  <c:v>0</c:v>
                </c:pt>
                <c:pt idx="11">
                  <c:v>0</c:v>
                </c:pt>
                <c:pt idx="12">
                  <c:v>0</c:v>
                </c:pt>
                <c:pt idx="13">
                  <c:v>0</c:v>
                </c:pt>
                <c:pt idx="14">
                  <c:v>0</c:v>
                </c:pt>
                <c:pt idx="17">
                  <c:v>0</c:v>
                </c:pt>
              </c:numCache>
            </c:numRef>
          </c:val>
          <c:extLst>
            <c:ext xmlns:c16="http://schemas.microsoft.com/office/drawing/2014/chart" uri="{C3380CC4-5D6E-409C-BE32-E72D297353CC}">
              <c16:uniqueId val="{00000001-849A-4F8C-BF69-F93518613640}"/>
            </c:ext>
          </c:extLst>
        </c:ser>
        <c:dLbls>
          <c:showLegendKey val="0"/>
          <c:showVal val="0"/>
          <c:showCatName val="0"/>
          <c:showSerName val="0"/>
          <c:showPercent val="0"/>
          <c:showBubbleSize val="0"/>
        </c:dLbls>
        <c:gapWidth val="150"/>
        <c:axId val="264408760"/>
        <c:axId val="264409152"/>
      </c:barChart>
      <c:catAx>
        <c:axId val="264408760"/>
        <c:scaling>
          <c:orientation val="minMax"/>
        </c:scaling>
        <c:delete val="0"/>
        <c:axPos val="b"/>
        <c:numFmt formatCode="General" sourceLinked="0"/>
        <c:majorTickMark val="out"/>
        <c:minorTickMark val="none"/>
        <c:tickLblPos val="nextTo"/>
        <c:txPr>
          <a:bodyPr/>
          <a:lstStyle/>
          <a:p>
            <a:pPr>
              <a:defRPr lang="es-CO"/>
            </a:pPr>
            <a:endParaRPr lang="es-MX"/>
          </a:p>
        </c:txPr>
        <c:crossAx val="264409152"/>
        <c:crosses val="autoZero"/>
        <c:auto val="1"/>
        <c:lblAlgn val="ctr"/>
        <c:lblOffset val="100"/>
        <c:noMultiLvlLbl val="0"/>
      </c:catAx>
      <c:valAx>
        <c:axId val="264409152"/>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4408760"/>
        <c:crosses val="autoZero"/>
        <c:crossBetween val="between"/>
      </c:valAx>
    </c:plotArea>
    <c:legend>
      <c:legendPos val="r"/>
      <c:layout>
        <c:manualLayout>
          <c:xMode val="edge"/>
          <c:yMode val="edge"/>
          <c:x val="0.83804144141672265"/>
          <c:y val="0.45698817693894733"/>
          <c:w val="0.14950730963478298"/>
          <c:h val="0.15500239637661595"/>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919092980072681E-2"/>
          <c:y val="2.8042013101599556E-2"/>
          <c:w val="0.75448239166734921"/>
          <c:h val="0.85371047250921084"/>
        </c:manualLayout>
      </c:layout>
      <c:barChart>
        <c:barDir val="col"/>
        <c:grouping val="clustered"/>
        <c:varyColors val="0"/>
        <c:ser>
          <c:idx val="0"/>
          <c:order val="0"/>
          <c:tx>
            <c:v>% EJECUCIÓN FÍSICA</c:v>
          </c:tx>
          <c:invertIfNegative val="0"/>
          <c:cat>
            <c:strRef>
              <c:f>Gráficos!$C$227:$C$246</c:f>
              <c:strCache>
                <c:ptCount val="20"/>
                <c:pt idx="0">
                  <c:v>7.1.2</c:v>
                </c:pt>
                <c:pt idx="1">
                  <c:v>7.1.6</c:v>
                </c:pt>
                <c:pt idx="5">
                  <c:v>7.1.7</c:v>
                </c:pt>
                <c:pt idx="6">
                  <c:v>7.1.8</c:v>
                </c:pt>
                <c:pt idx="8">
                  <c:v>7.1.9</c:v>
                </c:pt>
                <c:pt idx="9">
                  <c:v>7.1.10</c:v>
                </c:pt>
                <c:pt idx="14">
                  <c:v>7.1.11</c:v>
                </c:pt>
                <c:pt idx="15">
                  <c:v>7.1.12</c:v>
                </c:pt>
                <c:pt idx="16">
                  <c:v>7.1.13</c:v>
                </c:pt>
                <c:pt idx="17">
                  <c:v>7.1.15</c:v>
                </c:pt>
                <c:pt idx="19">
                  <c:v>7.1.16</c:v>
                </c:pt>
              </c:strCache>
            </c:strRef>
          </c:cat>
          <c:val>
            <c:numRef>
              <c:f>Gráficos!$E$227:$E$246</c:f>
              <c:numCache>
                <c:formatCode>General</c:formatCode>
                <c:ptCount val="20"/>
                <c:pt idx="0">
                  <c:v>0</c:v>
                </c:pt>
                <c:pt idx="1">
                  <c:v>0</c:v>
                </c:pt>
                <c:pt idx="2">
                  <c:v>0</c:v>
                </c:pt>
                <c:pt idx="3">
                  <c:v>0</c:v>
                </c:pt>
                <c:pt idx="4">
                  <c:v>0</c:v>
                </c:pt>
                <c:pt idx="5">
                  <c:v>0</c:v>
                </c:pt>
                <c:pt idx="6">
                  <c:v>100</c:v>
                </c:pt>
                <c:pt idx="7">
                  <c:v>100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5E51-4D8D-A0E1-5B677127291B}"/>
            </c:ext>
          </c:extLst>
        </c:ser>
        <c:ser>
          <c:idx val="1"/>
          <c:order val="1"/>
          <c:tx>
            <c:v>% EJECUCIÓN FÍNANCIERA</c:v>
          </c:tx>
          <c:invertIfNegative val="0"/>
          <c:cat>
            <c:strRef>
              <c:f>Gráficos!$C$227:$C$246</c:f>
              <c:strCache>
                <c:ptCount val="20"/>
                <c:pt idx="0">
                  <c:v>7.1.2</c:v>
                </c:pt>
                <c:pt idx="1">
                  <c:v>7.1.6</c:v>
                </c:pt>
                <c:pt idx="5">
                  <c:v>7.1.7</c:v>
                </c:pt>
                <c:pt idx="6">
                  <c:v>7.1.8</c:v>
                </c:pt>
                <c:pt idx="8">
                  <c:v>7.1.9</c:v>
                </c:pt>
                <c:pt idx="9">
                  <c:v>7.1.10</c:v>
                </c:pt>
                <c:pt idx="14">
                  <c:v>7.1.11</c:v>
                </c:pt>
                <c:pt idx="15">
                  <c:v>7.1.12</c:v>
                </c:pt>
                <c:pt idx="16">
                  <c:v>7.1.13</c:v>
                </c:pt>
                <c:pt idx="17">
                  <c:v>7.1.15</c:v>
                </c:pt>
                <c:pt idx="19">
                  <c:v>7.1.16</c:v>
                </c:pt>
              </c:strCache>
            </c:strRef>
          </c:cat>
          <c:val>
            <c:numRef>
              <c:f>Gráficos!$F$227:$F$246</c:f>
              <c:numCache>
                <c:formatCode>0.00</c:formatCode>
                <c:ptCount val="20"/>
                <c:pt idx="0">
                  <c:v>0</c:v>
                </c:pt>
                <c:pt idx="1">
                  <c:v>0</c:v>
                </c:pt>
                <c:pt idx="5">
                  <c:v>0</c:v>
                </c:pt>
                <c:pt idx="6">
                  <c:v>0</c:v>
                </c:pt>
                <c:pt idx="8">
                  <c:v>0</c:v>
                </c:pt>
                <c:pt idx="9">
                  <c:v>0</c:v>
                </c:pt>
                <c:pt idx="14">
                  <c:v>0</c:v>
                </c:pt>
                <c:pt idx="15">
                  <c:v>0</c:v>
                </c:pt>
                <c:pt idx="16">
                  <c:v>0</c:v>
                </c:pt>
                <c:pt idx="17">
                  <c:v>0</c:v>
                </c:pt>
                <c:pt idx="19">
                  <c:v>0</c:v>
                </c:pt>
              </c:numCache>
            </c:numRef>
          </c:val>
          <c:extLst>
            <c:ext xmlns:c16="http://schemas.microsoft.com/office/drawing/2014/chart" uri="{C3380CC4-5D6E-409C-BE32-E72D297353CC}">
              <c16:uniqueId val="{00000001-5E51-4D8D-A0E1-5B677127291B}"/>
            </c:ext>
          </c:extLst>
        </c:ser>
        <c:dLbls>
          <c:showLegendKey val="0"/>
          <c:showVal val="0"/>
          <c:showCatName val="0"/>
          <c:showSerName val="0"/>
          <c:showPercent val="0"/>
          <c:showBubbleSize val="0"/>
        </c:dLbls>
        <c:gapWidth val="150"/>
        <c:axId val="264409936"/>
        <c:axId val="264410328"/>
      </c:barChart>
      <c:catAx>
        <c:axId val="264409936"/>
        <c:scaling>
          <c:orientation val="minMax"/>
        </c:scaling>
        <c:delete val="0"/>
        <c:axPos val="b"/>
        <c:numFmt formatCode="General" sourceLinked="0"/>
        <c:majorTickMark val="out"/>
        <c:minorTickMark val="none"/>
        <c:tickLblPos val="nextTo"/>
        <c:txPr>
          <a:bodyPr/>
          <a:lstStyle/>
          <a:p>
            <a:pPr>
              <a:defRPr lang="es-CO"/>
            </a:pPr>
            <a:endParaRPr lang="es-MX"/>
          </a:p>
        </c:txPr>
        <c:crossAx val="264410328"/>
        <c:crosses val="autoZero"/>
        <c:auto val="1"/>
        <c:lblAlgn val="ctr"/>
        <c:lblOffset val="100"/>
        <c:noMultiLvlLbl val="0"/>
      </c:catAx>
      <c:valAx>
        <c:axId val="264410328"/>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4409936"/>
        <c:crosses val="autoZero"/>
        <c:crossBetween val="between"/>
      </c:valAx>
    </c:plotArea>
    <c:legend>
      <c:legendPos val="r"/>
      <c:layout>
        <c:manualLayout>
          <c:xMode val="edge"/>
          <c:yMode val="edge"/>
          <c:x val="0.82076420076692658"/>
          <c:y val="0.45432726872082241"/>
          <c:w val="0.16673744148776506"/>
          <c:h val="0.15448861739125094"/>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552164637251283E-2"/>
          <c:y val="2.811362448665948E-2"/>
          <c:w val="0.75431990646323765"/>
          <c:h val="0.85001035802890801"/>
        </c:manualLayout>
      </c:layout>
      <c:barChart>
        <c:barDir val="col"/>
        <c:grouping val="clustered"/>
        <c:varyColors val="0"/>
        <c:ser>
          <c:idx val="0"/>
          <c:order val="0"/>
          <c:tx>
            <c:v>% EJECUCIÓN FÍSICA</c:v>
          </c:tx>
          <c:invertIfNegative val="0"/>
          <c:cat>
            <c:strRef>
              <c:f>Gráficos!$C$148:$C$182</c:f>
              <c:strCache>
                <c:ptCount val="31"/>
                <c:pt idx="0">
                  <c:v>5.1.1.1</c:v>
                </c:pt>
                <c:pt idx="1">
                  <c:v>5.1.1.2</c:v>
                </c:pt>
                <c:pt idx="2">
                  <c:v>5.1.1.3</c:v>
                </c:pt>
                <c:pt idx="3">
                  <c:v>5.1.4</c:v>
                </c:pt>
                <c:pt idx="4">
                  <c:v>5.1.5</c:v>
                </c:pt>
                <c:pt idx="5">
                  <c:v>5.2.1</c:v>
                </c:pt>
                <c:pt idx="8">
                  <c:v>5.3.1</c:v>
                </c:pt>
                <c:pt idx="9">
                  <c:v>5.3.2</c:v>
                </c:pt>
                <c:pt idx="11">
                  <c:v>5.3.3</c:v>
                </c:pt>
                <c:pt idx="12">
                  <c:v>5.3.4</c:v>
                </c:pt>
                <c:pt idx="15">
                  <c:v>5.4.1</c:v>
                </c:pt>
                <c:pt idx="19">
                  <c:v>5.4.2</c:v>
                </c:pt>
                <c:pt idx="20">
                  <c:v>5.5.1</c:v>
                </c:pt>
                <c:pt idx="21">
                  <c:v>5.5.2</c:v>
                </c:pt>
                <c:pt idx="22">
                  <c:v>5.5.3</c:v>
                </c:pt>
                <c:pt idx="23">
                  <c:v>5.5.6</c:v>
                </c:pt>
                <c:pt idx="25">
                  <c:v>5.5.7</c:v>
                </c:pt>
                <c:pt idx="26">
                  <c:v>5.6.1</c:v>
                </c:pt>
                <c:pt idx="27">
                  <c:v>5.6.2</c:v>
                </c:pt>
                <c:pt idx="30">
                  <c:v>5.7.1</c:v>
                </c:pt>
              </c:strCache>
            </c:strRef>
          </c:cat>
          <c:val>
            <c:numRef>
              <c:f>Gráficos!$E$148:$E$182</c:f>
              <c:numCache>
                <c:formatCode>General</c:formatCode>
                <c:ptCount val="35"/>
                <c:pt idx="2">
                  <c:v>100</c:v>
                </c:pt>
                <c:pt idx="3">
                  <c:v>0</c:v>
                </c:pt>
                <c:pt idx="4">
                  <c:v>0</c:v>
                </c:pt>
                <c:pt idx="5">
                  <c:v>0</c:v>
                </c:pt>
                <c:pt idx="6">
                  <c:v>0</c:v>
                </c:pt>
                <c:pt idx="7">
                  <c:v>0</c:v>
                </c:pt>
                <c:pt idx="8">
                  <c:v>100</c:v>
                </c:pt>
                <c:pt idx="9">
                  <c:v>0</c:v>
                </c:pt>
                <c:pt idx="10">
                  <c:v>0</c:v>
                </c:pt>
                <c:pt idx="11">
                  <c:v>0</c:v>
                </c:pt>
                <c:pt idx="12">
                  <c:v>0</c:v>
                </c:pt>
                <c:pt idx="13">
                  <c:v>0</c:v>
                </c:pt>
                <c:pt idx="14">
                  <c:v>0</c:v>
                </c:pt>
                <c:pt idx="15">
                  <c:v>100</c:v>
                </c:pt>
                <c:pt idx="16">
                  <c:v>0</c:v>
                </c:pt>
                <c:pt idx="17">
                  <c:v>100</c:v>
                </c:pt>
                <c:pt idx="18">
                  <c:v>100</c:v>
                </c:pt>
                <c:pt idx="19">
                  <c:v>0</c:v>
                </c:pt>
                <c:pt idx="20">
                  <c:v>100</c:v>
                </c:pt>
                <c:pt idx="21">
                  <c:v>0</c:v>
                </c:pt>
                <c:pt idx="22">
                  <c:v>100</c:v>
                </c:pt>
                <c:pt idx="23">
                  <c:v>0</c:v>
                </c:pt>
                <c:pt idx="24">
                  <c:v>0</c:v>
                </c:pt>
                <c:pt idx="25">
                  <c:v>0</c:v>
                </c:pt>
                <c:pt idx="26">
                  <c:v>100</c:v>
                </c:pt>
                <c:pt idx="27">
                  <c:v>0</c:v>
                </c:pt>
                <c:pt idx="28">
                  <c:v>0</c:v>
                </c:pt>
                <c:pt idx="29">
                  <c:v>0</c:v>
                </c:pt>
                <c:pt idx="30">
                  <c:v>0</c:v>
                </c:pt>
                <c:pt idx="31">
                  <c:v>100</c:v>
                </c:pt>
                <c:pt idx="32">
                  <c:v>100</c:v>
                </c:pt>
                <c:pt idx="33">
                  <c:v>0</c:v>
                </c:pt>
                <c:pt idx="34">
                  <c:v>0</c:v>
                </c:pt>
              </c:numCache>
            </c:numRef>
          </c:val>
          <c:extLst>
            <c:ext xmlns:c16="http://schemas.microsoft.com/office/drawing/2014/chart" uri="{C3380CC4-5D6E-409C-BE32-E72D297353CC}">
              <c16:uniqueId val="{00000000-D310-4D4F-A817-C131F2A7DD8A}"/>
            </c:ext>
          </c:extLst>
        </c:ser>
        <c:ser>
          <c:idx val="1"/>
          <c:order val="1"/>
          <c:tx>
            <c:v>% EJECUCIÓN FÍNANCIERA</c:v>
          </c:tx>
          <c:invertIfNegative val="0"/>
          <c:cat>
            <c:strRef>
              <c:f>Gráficos!$C$148:$C$182</c:f>
              <c:strCache>
                <c:ptCount val="31"/>
                <c:pt idx="0">
                  <c:v>5.1.1.1</c:v>
                </c:pt>
                <c:pt idx="1">
                  <c:v>5.1.1.2</c:v>
                </c:pt>
                <c:pt idx="2">
                  <c:v>5.1.1.3</c:v>
                </c:pt>
                <c:pt idx="3">
                  <c:v>5.1.4</c:v>
                </c:pt>
                <c:pt idx="4">
                  <c:v>5.1.5</c:v>
                </c:pt>
                <c:pt idx="5">
                  <c:v>5.2.1</c:v>
                </c:pt>
                <c:pt idx="8">
                  <c:v>5.3.1</c:v>
                </c:pt>
                <c:pt idx="9">
                  <c:v>5.3.2</c:v>
                </c:pt>
                <c:pt idx="11">
                  <c:v>5.3.3</c:v>
                </c:pt>
                <c:pt idx="12">
                  <c:v>5.3.4</c:v>
                </c:pt>
                <c:pt idx="15">
                  <c:v>5.4.1</c:v>
                </c:pt>
                <c:pt idx="19">
                  <c:v>5.4.2</c:v>
                </c:pt>
                <c:pt idx="20">
                  <c:v>5.5.1</c:v>
                </c:pt>
                <c:pt idx="21">
                  <c:v>5.5.2</c:v>
                </c:pt>
                <c:pt idx="22">
                  <c:v>5.5.3</c:v>
                </c:pt>
                <c:pt idx="23">
                  <c:v>5.5.6</c:v>
                </c:pt>
                <c:pt idx="25">
                  <c:v>5.5.7</c:v>
                </c:pt>
                <c:pt idx="26">
                  <c:v>5.6.1</c:v>
                </c:pt>
                <c:pt idx="27">
                  <c:v>5.6.2</c:v>
                </c:pt>
                <c:pt idx="30">
                  <c:v>5.7.1</c:v>
                </c:pt>
              </c:strCache>
            </c:strRef>
          </c:cat>
          <c:val>
            <c:numRef>
              <c:f>Gráficos!$F$148:$F$182</c:f>
              <c:numCache>
                <c:formatCode>General</c:formatCode>
                <c:ptCount val="35"/>
                <c:pt idx="2">
                  <c:v>0</c:v>
                </c:pt>
                <c:pt idx="3">
                  <c:v>0</c:v>
                </c:pt>
                <c:pt idx="4">
                  <c:v>0</c:v>
                </c:pt>
                <c:pt idx="5">
                  <c:v>0</c:v>
                </c:pt>
                <c:pt idx="8">
                  <c:v>0</c:v>
                </c:pt>
                <c:pt idx="9">
                  <c:v>0</c:v>
                </c:pt>
                <c:pt idx="11">
                  <c:v>0</c:v>
                </c:pt>
                <c:pt idx="12">
                  <c:v>0</c:v>
                </c:pt>
                <c:pt idx="15">
                  <c:v>0</c:v>
                </c:pt>
                <c:pt idx="19">
                  <c:v>0</c:v>
                </c:pt>
                <c:pt idx="20">
                  <c:v>0</c:v>
                </c:pt>
                <c:pt idx="21">
                  <c:v>0</c:v>
                </c:pt>
                <c:pt idx="22">
                  <c:v>0</c:v>
                </c:pt>
                <c:pt idx="23">
                  <c:v>0</c:v>
                </c:pt>
                <c:pt idx="25">
                  <c:v>0</c:v>
                </c:pt>
                <c:pt idx="26">
                  <c:v>0</c:v>
                </c:pt>
                <c:pt idx="27">
                  <c:v>0</c:v>
                </c:pt>
                <c:pt idx="30">
                  <c:v>0</c:v>
                </c:pt>
              </c:numCache>
            </c:numRef>
          </c:val>
          <c:extLst>
            <c:ext xmlns:c16="http://schemas.microsoft.com/office/drawing/2014/chart" uri="{C3380CC4-5D6E-409C-BE32-E72D297353CC}">
              <c16:uniqueId val="{00000001-D310-4D4F-A817-C131F2A7DD8A}"/>
            </c:ext>
          </c:extLst>
        </c:ser>
        <c:dLbls>
          <c:showLegendKey val="0"/>
          <c:showVal val="0"/>
          <c:showCatName val="0"/>
          <c:showSerName val="0"/>
          <c:showPercent val="0"/>
          <c:showBubbleSize val="0"/>
        </c:dLbls>
        <c:gapWidth val="150"/>
        <c:axId val="266467696"/>
        <c:axId val="266468088"/>
      </c:barChart>
      <c:catAx>
        <c:axId val="266467696"/>
        <c:scaling>
          <c:orientation val="minMax"/>
        </c:scaling>
        <c:delete val="0"/>
        <c:axPos val="b"/>
        <c:numFmt formatCode="General" sourceLinked="0"/>
        <c:majorTickMark val="out"/>
        <c:minorTickMark val="none"/>
        <c:tickLblPos val="nextTo"/>
        <c:txPr>
          <a:bodyPr/>
          <a:lstStyle/>
          <a:p>
            <a:pPr>
              <a:defRPr lang="es-CO"/>
            </a:pPr>
            <a:endParaRPr lang="es-MX"/>
          </a:p>
        </c:txPr>
        <c:crossAx val="266468088"/>
        <c:crosses val="autoZero"/>
        <c:auto val="1"/>
        <c:lblAlgn val="ctr"/>
        <c:lblOffset val="100"/>
        <c:noMultiLvlLbl val="0"/>
      </c:catAx>
      <c:valAx>
        <c:axId val="266468088"/>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6467696"/>
        <c:crosses val="autoZero"/>
        <c:crossBetween val="between"/>
      </c:valAx>
    </c:plotArea>
    <c:legend>
      <c:legendPos val="r"/>
      <c:layout>
        <c:manualLayout>
          <c:xMode val="edge"/>
          <c:yMode val="edge"/>
          <c:x val="0.8216539126416007"/>
          <c:y val="0.45421063345876617"/>
          <c:w val="0.1659097704406047"/>
          <c:h val="0.17260842682974731"/>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322285178411134E-2"/>
          <c:y val="2.8467999192408628E-2"/>
          <c:w val="0.7468227877468957"/>
          <c:h val="0.84811972541893799"/>
        </c:manualLayout>
      </c:layout>
      <c:barChart>
        <c:barDir val="col"/>
        <c:grouping val="clustered"/>
        <c:varyColors val="0"/>
        <c:ser>
          <c:idx val="0"/>
          <c:order val="0"/>
          <c:tx>
            <c:v>% EJECUCIÓN FÍSICA</c:v>
          </c:tx>
          <c:invertIfNegative val="0"/>
          <c:cat>
            <c:strRef>
              <c:f>Gráficos!$C$41:$C$73</c:f>
              <c:strCache>
                <c:ptCount val="32"/>
                <c:pt idx="0">
                  <c:v>2.1.1.1</c:v>
                </c:pt>
                <c:pt idx="1">
                  <c:v>2.1.1.2</c:v>
                </c:pt>
                <c:pt idx="2">
                  <c:v>2.1.1.3</c:v>
                </c:pt>
                <c:pt idx="3">
                  <c:v>2.1.1.4</c:v>
                </c:pt>
                <c:pt idx="4">
                  <c:v>2.1.2</c:v>
                </c:pt>
                <c:pt idx="5">
                  <c:v>2.1.2.1</c:v>
                </c:pt>
                <c:pt idx="6">
                  <c:v>2.1.2.2</c:v>
                </c:pt>
                <c:pt idx="7">
                  <c:v>2.1.2.3</c:v>
                </c:pt>
                <c:pt idx="8">
                  <c:v>2.1.2.5</c:v>
                </c:pt>
                <c:pt idx="9">
                  <c:v>2.1.3</c:v>
                </c:pt>
                <c:pt idx="10">
                  <c:v>2.1.4</c:v>
                </c:pt>
                <c:pt idx="11">
                  <c:v>2.2.1</c:v>
                </c:pt>
                <c:pt idx="12">
                  <c:v>2.2.2</c:v>
                </c:pt>
                <c:pt idx="13">
                  <c:v>2.2.3</c:v>
                </c:pt>
                <c:pt idx="14">
                  <c:v>2.2.5</c:v>
                </c:pt>
                <c:pt idx="15">
                  <c:v>2.3.1</c:v>
                </c:pt>
                <c:pt idx="16">
                  <c:v>2.3.2</c:v>
                </c:pt>
                <c:pt idx="17">
                  <c:v>2.3.3</c:v>
                </c:pt>
                <c:pt idx="18">
                  <c:v>2.4.1</c:v>
                </c:pt>
                <c:pt idx="19">
                  <c:v>2.5.1</c:v>
                </c:pt>
                <c:pt idx="20">
                  <c:v>2.5.2</c:v>
                </c:pt>
                <c:pt idx="21">
                  <c:v>2.5.3</c:v>
                </c:pt>
                <c:pt idx="22">
                  <c:v>2.5.4</c:v>
                </c:pt>
                <c:pt idx="23">
                  <c:v>2.6.1</c:v>
                </c:pt>
                <c:pt idx="24">
                  <c:v>2.7.1</c:v>
                </c:pt>
                <c:pt idx="26">
                  <c:v>2.7.2</c:v>
                </c:pt>
                <c:pt idx="28">
                  <c:v>2.7.3</c:v>
                </c:pt>
                <c:pt idx="29">
                  <c:v>2.7.4</c:v>
                </c:pt>
                <c:pt idx="30">
                  <c:v>2.8.1</c:v>
                </c:pt>
                <c:pt idx="31">
                  <c:v>2.9.3</c:v>
                </c:pt>
              </c:strCache>
            </c:strRef>
          </c:cat>
          <c:val>
            <c:numRef>
              <c:f>Gráficos!$E$41:$E$73</c:f>
              <c:numCache>
                <c:formatCode>General</c:formatCode>
                <c:ptCount val="33"/>
                <c:pt idx="0">
                  <c:v>100</c:v>
                </c:pt>
                <c:pt idx="1">
                  <c:v>0</c:v>
                </c:pt>
                <c:pt idx="2">
                  <c:v>0</c:v>
                </c:pt>
                <c:pt idx="3">
                  <c:v>0</c:v>
                </c:pt>
                <c:pt idx="4">
                  <c:v>0</c:v>
                </c:pt>
                <c:pt idx="5">
                  <c:v>0</c:v>
                </c:pt>
                <c:pt idx="6">
                  <c:v>0</c:v>
                </c:pt>
                <c:pt idx="7">
                  <c:v>0</c:v>
                </c:pt>
                <c:pt idx="8">
                  <c:v>0</c:v>
                </c:pt>
                <c:pt idx="9">
                  <c:v>0</c:v>
                </c:pt>
                <c:pt idx="10">
                  <c:v>0</c:v>
                </c:pt>
                <c:pt idx="11">
                  <c:v>100</c:v>
                </c:pt>
                <c:pt idx="12">
                  <c:v>0</c:v>
                </c:pt>
                <c:pt idx="13">
                  <c:v>100</c:v>
                </c:pt>
                <c:pt idx="14">
                  <c:v>0</c:v>
                </c:pt>
                <c:pt idx="15">
                  <c:v>0</c:v>
                </c:pt>
                <c:pt idx="16">
                  <c:v>0</c:v>
                </c:pt>
                <c:pt idx="17">
                  <c:v>0</c:v>
                </c:pt>
                <c:pt idx="18">
                  <c:v>0</c:v>
                </c:pt>
                <c:pt idx="19">
                  <c:v>0</c:v>
                </c:pt>
                <c:pt idx="20">
                  <c:v>0</c:v>
                </c:pt>
                <c:pt idx="21">
                  <c:v>0</c:v>
                </c:pt>
                <c:pt idx="22">
                  <c:v>0</c:v>
                </c:pt>
                <c:pt idx="23">
                  <c:v>0</c:v>
                </c:pt>
                <c:pt idx="24">
                  <c:v>100</c:v>
                </c:pt>
                <c:pt idx="25">
                  <c:v>100</c:v>
                </c:pt>
                <c:pt idx="26">
                  <c:v>0</c:v>
                </c:pt>
                <c:pt idx="27">
                  <c:v>0</c:v>
                </c:pt>
                <c:pt idx="28">
                  <c:v>0</c:v>
                </c:pt>
                <c:pt idx="29">
                  <c:v>0</c:v>
                </c:pt>
                <c:pt idx="30">
                  <c:v>0</c:v>
                </c:pt>
                <c:pt idx="31">
                  <c:v>0</c:v>
                </c:pt>
                <c:pt idx="32">
                  <c:v>100</c:v>
                </c:pt>
              </c:numCache>
            </c:numRef>
          </c:val>
          <c:extLst>
            <c:ext xmlns:c16="http://schemas.microsoft.com/office/drawing/2014/chart" uri="{C3380CC4-5D6E-409C-BE32-E72D297353CC}">
              <c16:uniqueId val="{00000000-11D4-4E47-82A3-0769A86A72D0}"/>
            </c:ext>
          </c:extLst>
        </c:ser>
        <c:ser>
          <c:idx val="1"/>
          <c:order val="1"/>
          <c:tx>
            <c:v>% EJECUCIÓN FÍNANCIERA</c:v>
          </c:tx>
          <c:invertIfNegative val="0"/>
          <c:cat>
            <c:strRef>
              <c:f>Gráficos!$C$41:$C$73</c:f>
              <c:strCache>
                <c:ptCount val="32"/>
                <c:pt idx="0">
                  <c:v>2.1.1.1</c:v>
                </c:pt>
                <c:pt idx="1">
                  <c:v>2.1.1.2</c:v>
                </c:pt>
                <c:pt idx="2">
                  <c:v>2.1.1.3</c:v>
                </c:pt>
                <c:pt idx="3">
                  <c:v>2.1.1.4</c:v>
                </c:pt>
                <c:pt idx="4">
                  <c:v>2.1.2</c:v>
                </c:pt>
                <c:pt idx="5">
                  <c:v>2.1.2.1</c:v>
                </c:pt>
                <c:pt idx="6">
                  <c:v>2.1.2.2</c:v>
                </c:pt>
                <c:pt idx="7">
                  <c:v>2.1.2.3</c:v>
                </c:pt>
                <c:pt idx="8">
                  <c:v>2.1.2.5</c:v>
                </c:pt>
                <c:pt idx="9">
                  <c:v>2.1.3</c:v>
                </c:pt>
                <c:pt idx="10">
                  <c:v>2.1.4</c:v>
                </c:pt>
                <c:pt idx="11">
                  <c:v>2.2.1</c:v>
                </c:pt>
                <c:pt idx="12">
                  <c:v>2.2.2</c:v>
                </c:pt>
                <c:pt idx="13">
                  <c:v>2.2.3</c:v>
                </c:pt>
                <c:pt idx="14">
                  <c:v>2.2.5</c:v>
                </c:pt>
                <c:pt idx="15">
                  <c:v>2.3.1</c:v>
                </c:pt>
                <c:pt idx="16">
                  <c:v>2.3.2</c:v>
                </c:pt>
                <c:pt idx="17">
                  <c:v>2.3.3</c:v>
                </c:pt>
                <c:pt idx="18">
                  <c:v>2.4.1</c:v>
                </c:pt>
                <c:pt idx="19">
                  <c:v>2.5.1</c:v>
                </c:pt>
                <c:pt idx="20">
                  <c:v>2.5.2</c:v>
                </c:pt>
                <c:pt idx="21">
                  <c:v>2.5.3</c:v>
                </c:pt>
                <c:pt idx="22">
                  <c:v>2.5.4</c:v>
                </c:pt>
                <c:pt idx="23">
                  <c:v>2.6.1</c:v>
                </c:pt>
                <c:pt idx="24">
                  <c:v>2.7.1</c:v>
                </c:pt>
                <c:pt idx="26">
                  <c:v>2.7.2</c:v>
                </c:pt>
                <c:pt idx="28">
                  <c:v>2.7.3</c:v>
                </c:pt>
                <c:pt idx="29">
                  <c:v>2.7.4</c:v>
                </c:pt>
                <c:pt idx="30">
                  <c:v>2.8.1</c:v>
                </c:pt>
                <c:pt idx="31">
                  <c:v>2.9.3</c:v>
                </c:pt>
              </c:strCache>
            </c:strRef>
          </c:cat>
          <c:val>
            <c:numRef>
              <c:f>Gráficos!$F$41:$F$73</c:f>
              <c:numCache>
                <c:formatCode>General</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6">
                  <c:v>0</c:v>
                </c:pt>
                <c:pt idx="28">
                  <c:v>0</c:v>
                </c:pt>
                <c:pt idx="29">
                  <c:v>0</c:v>
                </c:pt>
                <c:pt idx="30">
                  <c:v>0</c:v>
                </c:pt>
                <c:pt idx="31">
                  <c:v>0</c:v>
                </c:pt>
              </c:numCache>
            </c:numRef>
          </c:val>
          <c:extLst>
            <c:ext xmlns:c16="http://schemas.microsoft.com/office/drawing/2014/chart" uri="{C3380CC4-5D6E-409C-BE32-E72D297353CC}">
              <c16:uniqueId val="{00000001-11D4-4E47-82A3-0769A86A72D0}"/>
            </c:ext>
          </c:extLst>
        </c:ser>
        <c:dLbls>
          <c:showLegendKey val="0"/>
          <c:showVal val="0"/>
          <c:showCatName val="0"/>
          <c:showSerName val="0"/>
          <c:showPercent val="0"/>
          <c:showBubbleSize val="0"/>
        </c:dLbls>
        <c:gapWidth val="150"/>
        <c:axId val="266468872"/>
        <c:axId val="266469264"/>
      </c:barChart>
      <c:catAx>
        <c:axId val="266468872"/>
        <c:scaling>
          <c:orientation val="minMax"/>
        </c:scaling>
        <c:delete val="0"/>
        <c:axPos val="b"/>
        <c:numFmt formatCode="General" sourceLinked="0"/>
        <c:majorTickMark val="out"/>
        <c:minorTickMark val="none"/>
        <c:tickLblPos val="nextTo"/>
        <c:txPr>
          <a:bodyPr/>
          <a:lstStyle/>
          <a:p>
            <a:pPr>
              <a:defRPr lang="es-CO"/>
            </a:pPr>
            <a:endParaRPr lang="es-MX"/>
          </a:p>
        </c:txPr>
        <c:crossAx val="266469264"/>
        <c:crosses val="autoZero"/>
        <c:auto val="1"/>
        <c:lblAlgn val="ctr"/>
        <c:lblOffset val="100"/>
        <c:noMultiLvlLbl val="0"/>
      </c:catAx>
      <c:valAx>
        <c:axId val="266469264"/>
        <c:scaling>
          <c:orientation val="minMax"/>
        </c:scaling>
        <c:delete val="0"/>
        <c:axPos val="l"/>
        <c:majorGridlines/>
        <c:numFmt formatCode="General" sourceLinked="1"/>
        <c:majorTickMark val="out"/>
        <c:minorTickMark val="none"/>
        <c:tickLblPos val="nextTo"/>
        <c:txPr>
          <a:bodyPr/>
          <a:lstStyle/>
          <a:p>
            <a:pPr>
              <a:defRPr lang="es-CO"/>
            </a:pPr>
            <a:endParaRPr lang="es-MX"/>
          </a:p>
        </c:txPr>
        <c:crossAx val="266468872"/>
        <c:crosses val="autoZero"/>
        <c:crossBetween val="between"/>
      </c:valAx>
    </c:plotArea>
    <c:legend>
      <c:legendPos val="r"/>
      <c:layout>
        <c:manualLayout>
          <c:xMode val="edge"/>
          <c:yMode val="edge"/>
          <c:x val="0.81601259008080451"/>
          <c:y val="0.45363355542095679"/>
          <c:w val="0.17158996138568983"/>
          <c:h val="0.17734827377347578"/>
        </c:manualLayout>
      </c:layout>
      <c:overlay val="0"/>
      <c:txPr>
        <a:bodyPr/>
        <a:lstStyle/>
        <a:p>
          <a:pPr>
            <a:defRPr lang="es-CO"/>
          </a:pPr>
          <a:endParaRPr lang="es-MX"/>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1" Type="http://schemas.openxmlformats.org/officeDocument/2006/relationships/image" Target="NULL"/></Relationships>
</file>

<file path=xl/drawings/_rels/drawing10.xml.rels><?xml version="1.0" encoding="UTF-8" standalone="yes"?>
<Relationships xmlns="http://schemas.openxmlformats.org/package/2006/relationships"><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image" Target="NULL"/></Relationships>
</file>

<file path=xl/drawings/_rels/drawing12.xml.rels><?xml version="1.0" encoding="UTF-8" standalone="yes"?>
<Relationships xmlns="http://schemas.openxmlformats.org/package/2006/relationships"><Relationship Id="rId1" Type="http://schemas.openxmlformats.org/officeDocument/2006/relationships/image" Target="NULL"/></Relationships>
</file>

<file path=xl/drawings/_rels/drawing13.xml.rels><?xml version="1.0" encoding="UTF-8" standalone="yes"?>
<Relationships xmlns="http://schemas.openxmlformats.org/package/2006/relationships"><Relationship Id="rId1" Type="http://schemas.openxmlformats.org/officeDocument/2006/relationships/image" Target="NULL"/></Relationships>
</file>

<file path=xl/drawings/_rels/drawing14.xml.rels><?xml version="1.0" encoding="UTF-8" standalone="yes"?>
<Relationships xmlns="http://schemas.openxmlformats.org/package/2006/relationships"><Relationship Id="rId1" Type="http://schemas.openxmlformats.org/officeDocument/2006/relationships/image" Target="NULL"/></Relationships>
</file>

<file path=xl/drawings/_rels/drawing15.xml.rels><?xml version="1.0" encoding="UTF-8" standalone="yes"?>
<Relationships xmlns="http://schemas.openxmlformats.org/package/2006/relationships"><Relationship Id="rId3" Type="http://schemas.openxmlformats.org/officeDocument/2006/relationships/chart" Target="../charts/chart14.xml"/><Relationship Id="rId7" Type="http://schemas.openxmlformats.org/officeDocument/2006/relationships/chart" Target="../charts/chart18.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63500</xdr:rowOff>
    </xdr:from>
    <xdr:to>
      <xdr:col>1</xdr:col>
      <xdr:colOff>625674</xdr:colOff>
      <xdr:row>1</xdr:row>
      <xdr:rowOff>95250</xdr:rowOff>
    </xdr:to>
    <xdr:pic>
      <xdr:nvPicPr>
        <xdr:cNvPr id="2" name="1 Imagen" descr="ESCUDO-transp-lema-blanco.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63500"/>
          <a:ext cx="4880174" cy="5238750"/>
        </a:xfrm>
        <a:prstGeom prst="rect">
          <a:avLst/>
        </a:prstGeom>
        <a:noFill/>
        <a:ln w="9525">
          <a:noFill/>
          <a:miter lim="800000"/>
          <a:headEnd/>
          <a:tailEnd/>
        </a:ln>
      </xdr:spPr>
    </xdr:pic>
    <xdr:clientData/>
  </xdr:twoCellAnchor>
  <xdr:twoCellAnchor>
    <xdr:from>
      <xdr:col>1</xdr:col>
      <xdr:colOff>1657102</xdr:colOff>
      <xdr:row>0</xdr:row>
      <xdr:rowOff>415925</xdr:rowOff>
    </xdr:from>
    <xdr:to>
      <xdr:col>5</xdr:col>
      <xdr:colOff>1905000</xdr:colOff>
      <xdr:row>0</xdr:row>
      <xdr:rowOff>3524250</xdr:rowOff>
    </xdr:to>
    <xdr:sp macro="" textlink="">
      <xdr:nvSpPr>
        <xdr:cNvPr id="3" name="3 CuadroTexto">
          <a:extLst>
            <a:ext uri="{FF2B5EF4-FFF2-40B4-BE49-F238E27FC236}">
              <a16:creationId xmlns:a16="http://schemas.microsoft.com/office/drawing/2014/main" id="{00000000-0008-0000-0200-000003000000}"/>
            </a:ext>
          </a:extLst>
        </xdr:cNvPr>
        <xdr:cNvSpPr txBox="1"/>
      </xdr:nvSpPr>
      <xdr:spPr bwMode="auto">
        <a:xfrm>
          <a:off x="5911602" y="415925"/>
          <a:ext cx="11392148" cy="3108325"/>
        </a:xfrm>
        <a:prstGeom prst="rect">
          <a:avLst/>
        </a:prstGeom>
        <a:noFill/>
        <a:ln>
          <a:noFill/>
        </a:ln>
        <a:effectLst/>
      </xdr:spPr>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4400" b="1" i="0" u="none" strike="noStrike" kern="0" cap="none" spc="0" normalizeH="0" baseline="0" noProof="0">
              <a:ln>
                <a:noFill/>
              </a:ln>
              <a:solidFill>
                <a:sysClr val="window" lastClr="FFFFFF"/>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4400" b="0" i="0" u="none" strike="noStrike" kern="0" cap="none" spc="0" normalizeH="0" baseline="0" noProof="0">
              <a:ln>
                <a:noFill/>
              </a:ln>
              <a:solidFill>
                <a:sysClr val="window" lastClr="FFFFFF"/>
              </a:solidFill>
              <a:effectLst/>
              <a:uLnTx/>
              <a:uFillTx/>
              <a:latin typeface="Arial Narrow" pitchFamily="34" charset="0"/>
              <a:ea typeface="+mn-ea"/>
              <a:cs typeface="+mn-cs"/>
            </a:rPr>
            <a:t>Dirección General de Ordenamiento Ambiental Territorial y Coordinación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4400" b="0" i="0" u="none" strike="noStrike" kern="0" cap="none" spc="0" normalizeH="0" baseline="0" noProof="0">
              <a:ln>
                <a:noFill/>
              </a:ln>
              <a:solidFill>
                <a:sysClr val="window" lastClr="FFFFFF"/>
              </a:solidFill>
              <a:effectLst/>
              <a:uLnTx/>
              <a:uFillTx/>
              <a:latin typeface="Arial Narrow" pitchFamily="34" charset="0"/>
              <a:ea typeface="+mn-ea"/>
              <a:cs typeface="+mn-cs"/>
            </a:rPr>
            <a:t>República de Colombia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209550</xdr:colOff>
      <xdr:row>0</xdr:row>
      <xdr:rowOff>1631157</xdr:rowOff>
    </xdr:to>
    <xdr:pic>
      <xdr:nvPicPr>
        <xdr:cNvPr id="4" name="1 Imagen" descr="ESCUDO-transp-lema-blanco.pn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1"/>
          <a:ext cx="1209675" cy="1631156"/>
        </a:xfrm>
        <a:prstGeom prst="rect">
          <a:avLst/>
        </a:prstGeom>
        <a:noFill/>
        <a:ln w="9525">
          <a:noFill/>
          <a:miter lim="800000"/>
          <a:headEnd/>
          <a:tailEnd/>
        </a:ln>
      </xdr:spPr>
    </xdr:pic>
    <xdr:clientData/>
  </xdr:twoCellAnchor>
  <xdr:twoCellAnchor>
    <xdr:from>
      <xdr:col>1</xdr:col>
      <xdr:colOff>257175</xdr:colOff>
      <xdr:row>0</xdr:row>
      <xdr:rowOff>381000</xdr:rowOff>
    </xdr:from>
    <xdr:to>
      <xdr:col>3</xdr:col>
      <xdr:colOff>216694</xdr:colOff>
      <xdr:row>0</xdr:row>
      <xdr:rowOff>1152525</xdr:rowOff>
    </xdr:to>
    <xdr:sp macro="" textlink="">
      <xdr:nvSpPr>
        <xdr:cNvPr id="5" name="5 CuadroTexto">
          <a:extLst>
            <a:ext uri="{FF2B5EF4-FFF2-40B4-BE49-F238E27FC236}">
              <a16:creationId xmlns:a16="http://schemas.microsoft.com/office/drawing/2014/main" id="{00000000-0008-0000-0300-000005000000}"/>
            </a:ext>
          </a:extLst>
        </xdr:cNvPr>
        <xdr:cNvSpPr txBox="1"/>
      </xdr:nvSpPr>
      <xdr:spPr bwMode="auto">
        <a:xfrm>
          <a:off x="1257300" y="381000"/>
          <a:ext cx="4876800" cy="771525"/>
        </a:xfrm>
        <a:prstGeom prst="rect">
          <a:avLst/>
        </a:prstGeom>
        <a:noFill/>
        <a:ln>
          <a:noFill/>
        </a:ln>
        <a:effectLst/>
      </xdr:spPr>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sysClr val="window" lastClr="FFFFFF"/>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 lastClr="FFFFFF"/>
              </a:solidFill>
              <a:effectLst/>
              <a:uLnTx/>
              <a:uFillTx/>
              <a:latin typeface="Arial Narrow" pitchFamily="34" charset="0"/>
              <a:ea typeface="+mn-ea"/>
              <a:cs typeface="+mn-cs"/>
            </a:rPr>
            <a:t>Dirección General de Ordenamiento Ambiental Territorial y Coordinación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sysClr val="window" lastClr="FFFFFF"/>
              </a:solidFill>
              <a:effectLst/>
              <a:uLnTx/>
              <a:uFillTx/>
              <a:latin typeface="Arial Narrow" pitchFamily="34" charset="0"/>
              <a:ea typeface="+mn-ea"/>
              <a:cs typeface="+mn-cs"/>
            </a:rPr>
            <a:t>República de Colombia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1800225</xdr:rowOff>
    </xdr:to>
    <xdr:pic>
      <xdr:nvPicPr>
        <xdr:cNvPr id="4" name="1 Imagen" descr="ESCUDO-transp-lema-blanco.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1209675" cy="1800225"/>
        </a:xfrm>
        <a:prstGeom prst="rect">
          <a:avLst/>
        </a:prstGeom>
        <a:noFill/>
        <a:ln w="9525">
          <a:noFill/>
          <a:miter lim="800000"/>
          <a:headEnd/>
          <a:tailEnd/>
        </a:ln>
      </xdr:spPr>
    </xdr:pic>
    <xdr:clientData/>
  </xdr:twoCellAnchor>
  <xdr:twoCellAnchor>
    <xdr:from>
      <xdr:col>0</xdr:col>
      <xdr:colOff>1371600</xdr:colOff>
      <xdr:row>0</xdr:row>
      <xdr:rowOff>381000</xdr:rowOff>
    </xdr:from>
    <xdr:to>
      <xdr:col>5</xdr:col>
      <xdr:colOff>323850</xdr:colOff>
      <xdr:row>2</xdr:row>
      <xdr:rowOff>19050</xdr:rowOff>
    </xdr:to>
    <xdr:sp macro="" textlink="">
      <xdr:nvSpPr>
        <xdr:cNvPr id="5" name="5 CuadroTexto">
          <a:extLst>
            <a:ext uri="{FF2B5EF4-FFF2-40B4-BE49-F238E27FC236}">
              <a16:creationId xmlns:a16="http://schemas.microsoft.com/office/drawing/2014/main" id="{00000000-0008-0000-0400-000005000000}"/>
            </a:ext>
          </a:extLst>
        </xdr:cNvPr>
        <xdr:cNvSpPr txBox="1"/>
      </xdr:nvSpPr>
      <xdr:spPr bwMode="auto">
        <a:xfrm>
          <a:off x="1371600" y="381000"/>
          <a:ext cx="5753100" cy="771525"/>
        </a:xfrm>
        <a:prstGeom prst="rect">
          <a:avLst/>
        </a:prstGeom>
        <a:noFill/>
        <a:ln>
          <a:noFill/>
        </a:ln>
        <a:effectLst/>
      </xdr:spPr>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sysClr val="window" lastClr="FFFFFF"/>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 lastClr="FFFFFF"/>
              </a:solidFill>
              <a:effectLst/>
              <a:uLnTx/>
              <a:uFillTx/>
              <a:latin typeface="Arial Narrow" pitchFamily="34" charset="0"/>
              <a:ea typeface="+mn-ea"/>
              <a:cs typeface="+mn-cs"/>
            </a:rPr>
            <a:t>Dirección General de Ordenamiento Ambiental Territorial y Coordinación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sysClr val="window" lastClr="FFFFFF"/>
              </a:solidFill>
              <a:effectLst/>
              <a:uLnTx/>
              <a:uFillTx/>
              <a:latin typeface="Arial Narrow" pitchFamily="34" charset="0"/>
              <a:ea typeface="+mn-ea"/>
              <a:cs typeface="+mn-cs"/>
            </a:rPr>
            <a:t>República de Colombia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123824</xdr:colOff>
      <xdr:row>14</xdr:row>
      <xdr:rowOff>9525</xdr:rowOff>
    </xdr:from>
    <xdr:to>
      <xdr:col>15</xdr:col>
      <xdr:colOff>266699</xdr:colOff>
      <xdr:row>31</xdr:row>
      <xdr:rowOff>161925</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222250</xdr:colOff>
      <xdr:row>2</xdr:row>
      <xdr:rowOff>141816</xdr:rowOff>
    </xdr:from>
    <xdr:to>
      <xdr:col>12</xdr:col>
      <xdr:colOff>222250</xdr:colOff>
      <xdr:row>16</xdr:row>
      <xdr:rowOff>143932</xdr:rowOff>
    </xdr:to>
    <xdr:graphicFrame macro="">
      <xdr:nvGraphicFramePr>
        <xdr:cNvPr id="4" name="Gráfico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216957</xdr:colOff>
      <xdr:row>18</xdr:row>
      <xdr:rowOff>14817</xdr:rowOff>
    </xdr:from>
    <xdr:to>
      <xdr:col>12</xdr:col>
      <xdr:colOff>216957</xdr:colOff>
      <xdr:row>32</xdr:row>
      <xdr:rowOff>59267</xdr:rowOff>
    </xdr:to>
    <xdr:graphicFrame macro="">
      <xdr:nvGraphicFramePr>
        <xdr:cNvPr id="5" name="Gráfico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185208</xdr:colOff>
      <xdr:row>33</xdr:row>
      <xdr:rowOff>25400</xdr:rowOff>
    </xdr:from>
    <xdr:to>
      <xdr:col>12</xdr:col>
      <xdr:colOff>185208</xdr:colOff>
      <xdr:row>47</xdr:row>
      <xdr:rowOff>48684</xdr:rowOff>
    </xdr:to>
    <xdr:graphicFrame macro="">
      <xdr:nvGraphicFramePr>
        <xdr:cNvPr id="6" name="Gráfico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460374</xdr:colOff>
      <xdr:row>48</xdr:row>
      <xdr:rowOff>173567</xdr:rowOff>
    </xdr:from>
    <xdr:to>
      <xdr:col>13</xdr:col>
      <xdr:colOff>460374</xdr:colOff>
      <xdr:row>59</xdr:row>
      <xdr:rowOff>175683</xdr:rowOff>
    </xdr:to>
    <xdr:graphicFrame macro="">
      <xdr:nvGraphicFramePr>
        <xdr:cNvPr id="9" name="Gráfico 8">
          <a:extLst>
            <a:ext uri="{FF2B5EF4-FFF2-40B4-BE49-F238E27FC236}">
              <a16:creationId xmlns:a16="http://schemas.microsoft.com/office/drawing/2014/main"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322791</xdr:colOff>
      <xdr:row>86</xdr:row>
      <xdr:rowOff>305858</xdr:rowOff>
    </xdr:from>
    <xdr:to>
      <xdr:col>11</xdr:col>
      <xdr:colOff>322791</xdr:colOff>
      <xdr:row>86</xdr:row>
      <xdr:rowOff>3049058</xdr:rowOff>
    </xdr:to>
    <xdr:graphicFrame macro="">
      <xdr:nvGraphicFramePr>
        <xdr:cNvPr id="2" name="Gráfico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322791</xdr:colOff>
      <xdr:row>82</xdr:row>
      <xdr:rowOff>104774</xdr:rowOff>
    </xdr:from>
    <xdr:to>
      <xdr:col>11</xdr:col>
      <xdr:colOff>322791</xdr:colOff>
      <xdr:row>91</xdr:row>
      <xdr:rowOff>170391</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322791</xdr:colOff>
      <xdr:row>94</xdr:row>
      <xdr:rowOff>104775</xdr:rowOff>
    </xdr:from>
    <xdr:to>
      <xdr:col>11</xdr:col>
      <xdr:colOff>322791</xdr:colOff>
      <xdr:row>104</xdr:row>
      <xdr:rowOff>32808</xdr:rowOff>
    </xdr:to>
    <xdr:graphicFrame macro="">
      <xdr:nvGraphicFramePr>
        <xdr:cNvPr id="7" name="Gráfico 6">
          <a:extLst>
            <a:ext uri="{FF2B5EF4-FFF2-40B4-BE49-F238E27FC236}">
              <a16:creationId xmlns:a16="http://schemas.microsoft.com/office/drawing/2014/main" i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33337</xdr:colOff>
      <xdr:row>110</xdr:row>
      <xdr:rowOff>647700</xdr:rowOff>
    </xdr:from>
    <xdr:to>
      <xdr:col>11</xdr:col>
      <xdr:colOff>33337</xdr:colOff>
      <xdr:row>123</xdr:row>
      <xdr:rowOff>123825</xdr:rowOff>
    </xdr:to>
    <xdr:graphicFrame macro="">
      <xdr:nvGraphicFramePr>
        <xdr:cNvPr id="10" name="Gráfico 9">
          <a:extLst>
            <a:ext uri="{FF2B5EF4-FFF2-40B4-BE49-F238E27FC236}">
              <a16:creationId xmlns:a16="http://schemas.microsoft.com/office/drawing/2014/main"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371475</xdr:colOff>
      <xdr:row>11</xdr:row>
      <xdr:rowOff>14287</xdr:rowOff>
    </xdr:from>
    <xdr:to>
      <xdr:col>16</xdr:col>
      <xdr:colOff>371475</xdr:colOff>
      <xdr:row>25</xdr:row>
      <xdr:rowOff>90487</xdr:rowOff>
    </xdr:to>
    <xdr:graphicFrame macro="">
      <xdr:nvGraphicFramePr>
        <xdr:cNvPr id="2" name="Gráfico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457200</xdr:colOff>
      <xdr:row>14</xdr:row>
      <xdr:rowOff>157162</xdr:rowOff>
    </xdr:from>
    <xdr:to>
      <xdr:col>21</xdr:col>
      <xdr:colOff>238125</xdr:colOff>
      <xdr:row>29</xdr:row>
      <xdr:rowOff>23812</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723900</xdr:colOff>
      <xdr:row>7</xdr:row>
      <xdr:rowOff>0</xdr:rowOff>
    </xdr:from>
    <xdr:to>
      <xdr:col>3</xdr:col>
      <xdr:colOff>104775</xdr:colOff>
      <xdr:row>7</xdr:row>
      <xdr:rowOff>0</xdr:rowOff>
    </xdr:to>
    <xdr:sp macro="" textlink="">
      <xdr:nvSpPr>
        <xdr:cNvPr id="1026" name="Text Box 2">
          <a:extLst>
            <a:ext uri="{FF2B5EF4-FFF2-40B4-BE49-F238E27FC236}">
              <a16:creationId xmlns:a16="http://schemas.microsoft.com/office/drawing/2014/main" id="{00000000-0008-0000-0C00-000002040000}"/>
            </a:ext>
          </a:extLst>
        </xdr:cNvPr>
        <xdr:cNvSpPr txBox="1">
          <a:spLocks noChangeArrowheads="1"/>
        </xdr:cNvSpPr>
      </xdr:nvSpPr>
      <xdr:spPr bwMode="auto">
        <a:xfrm>
          <a:off x="7096125" y="1685925"/>
          <a:ext cx="142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s-CO" sz="1000" b="0" i="0" u="none" strike="noStrike" baseline="0">
              <a:solidFill>
                <a:srgbClr val="000000"/>
              </a:solidFill>
              <a:latin typeface="Arial"/>
              <a:cs typeface="Arial"/>
            </a:rPr>
            <a:t>(1)</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162265</xdr:colOff>
      <xdr:row>1</xdr:row>
      <xdr:rowOff>266700</xdr:rowOff>
    </xdr:to>
    <xdr:pic>
      <xdr:nvPicPr>
        <xdr:cNvPr id="2" name="Imagen 6" descr="PaginaInterna">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61938"/>
          <a:ext cx="1364796" cy="2667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9526</xdr:colOff>
      <xdr:row>1</xdr:row>
      <xdr:rowOff>1</xdr:rowOff>
    </xdr:from>
    <xdr:to>
      <xdr:col>1</xdr:col>
      <xdr:colOff>1</xdr:colOff>
      <xdr:row>1</xdr:row>
      <xdr:rowOff>419101</xdr:rowOff>
    </xdr:to>
    <xdr:pic>
      <xdr:nvPicPr>
        <xdr:cNvPr id="2" name="Imagen 6" descr="PaginaInterna">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6" y="200026"/>
          <a:ext cx="1028700" cy="4191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257175</xdr:rowOff>
    </xdr:from>
    <xdr:to>
      <xdr:col>1</xdr:col>
      <xdr:colOff>114300</xdr:colOff>
      <xdr:row>1</xdr:row>
      <xdr:rowOff>403226</xdr:rowOff>
    </xdr:to>
    <xdr:pic>
      <xdr:nvPicPr>
        <xdr:cNvPr id="2" name="Imagen 6" descr="PaginaInterna">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257175"/>
          <a:ext cx="1247775" cy="479426"/>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1</xdr:row>
      <xdr:rowOff>0</xdr:rowOff>
    </xdr:from>
    <xdr:to>
      <xdr:col>1</xdr:col>
      <xdr:colOff>114300</xdr:colOff>
      <xdr:row>1</xdr:row>
      <xdr:rowOff>447675</xdr:rowOff>
    </xdr:to>
    <xdr:pic>
      <xdr:nvPicPr>
        <xdr:cNvPr id="2" name="Imagen 6" descr="PaginaInterna">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266700"/>
          <a:ext cx="1247775" cy="44767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123825</xdr:colOff>
      <xdr:row>0</xdr:row>
      <xdr:rowOff>285750</xdr:rowOff>
    </xdr:from>
    <xdr:to>
      <xdr:col>1</xdr:col>
      <xdr:colOff>180975</xdr:colOff>
      <xdr:row>1</xdr:row>
      <xdr:rowOff>200026</xdr:rowOff>
    </xdr:to>
    <xdr:pic>
      <xdr:nvPicPr>
        <xdr:cNvPr id="2" name="Imagen 6" descr="PaginaInterna">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3825" y="285750"/>
          <a:ext cx="1247775" cy="428626"/>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304800</xdr:colOff>
      <xdr:row>1</xdr:row>
      <xdr:rowOff>9524</xdr:rowOff>
    </xdr:from>
    <xdr:to>
      <xdr:col>1</xdr:col>
      <xdr:colOff>361950</xdr:colOff>
      <xdr:row>1</xdr:row>
      <xdr:rowOff>403225</xdr:rowOff>
    </xdr:to>
    <xdr:pic>
      <xdr:nvPicPr>
        <xdr:cNvPr id="2" name="Imagen 6" descr="PaginaInterna">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4800" y="304799"/>
          <a:ext cx="1247775" cy="393701"/>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95250</xdr:colOff>
      <xdr:row>0</xdr:row>
      <xdr:rowOff>228599</xdr:rowOff>
    </xdr:from>
    <xdr:to>
      <xdr:col>1</xdr:col>
      <xdr:colOff>152400</xdr:colOff>
      <xdr:row>1</xdr:row>
      <xdr:rowOff>260350</xdr:rowOff>
    </xdr:to>
    <xdr:pic>
      <xdr:nvPicPr>
        <xdr:cNvPr id="2" name="Imagen 6" descr="PaginaInterna">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0" y="228599"/>
          <a:ext cx="1162050" cy="269876"/>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141194</xdr:colOff>
      <xdr:row>0</xdr:row>
      <xdr:rowOff>168088</xdr:rowOff>
    </xdr:from>
    <xdr:to>
      <xdr:col>15</xdr:col>
      <xdr:colOff>179294</xdr:colOff>
      <xdr:row>25</xdr:row>
      <xdr:rowOff>72278</xdr:rowOff>
    </xdr:to>
    <xdr:graphicFrame macro="">
      <xdr:nvGraphicFramePr>
        <xdr:cNvPr id="4" name="3 Gráfico">
          <a:extLst>
            <a:ext uri="{FF2B5EF4-FFF2-40B4-BE49-F238E27FC236}">
              <a16:creationId xmlns:a16="http://schemas.microsoft.com/office/drawing/2014/main" id="{00000000-0008-0000-1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107755</xdr:colOff>
      <xdr:row>75</xdr:row>
      <xdr:rowOff>103256</xdr:rowOff>
    </xdr:from>
    <xdr:to>
      <xdr:col>16</xdr:col>
      <xdr:colOff>89646</xdr:colOff>
      <xdr:row>97</xdr:row>
      <xdr:rowOff>11206</xdr:rowOff>
    </xdr:to>
    <xdr:graphicFrame macro="">
      <xdr:nvGraphicFramePr>
        <xdr:cNvPr id="17" name="16 Gráfico">
          <a:extLst>
            <a:ext uri="{FF2B5EF4-FFF2-40B4-BE49-F238E27FC236}">
              <a16:creationId xmlns:a16="http://schemas.microsoft.com/office/drawing/2014/main" id="{00000000-0008-0000-14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119762</xdr:colOff>
      <xdr:row>101</xdr:row>
      <xdr:rowOff>58130</xdr:rowOff>
    </xdr:from>
    <xdr:to>
      <xdr:col>15</xdr:col>
      <xdr:colOff>123263</xdr:colOff>
      <xdr:row>125</xdr:row>
      <xdr:rowOff>179293</xdr:rowOff>
    </xdr:to>
    <xdr:graphicFrame macro="">
      <xdr:nvGraphicFramePr>
        <xdr:cNvPr id="19" name="18 Gráfico">
          <a:extLst>
            <a:ext uri="{FF2B5EF4-FFF2-40B4-BE49-F238E27FC236}">
              <a16:creationId xmlns:a16="http://schemas.microsoft.com/office/drawing/2014/main" id="{00000000-0008-0000-14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88190</xdr:colOff>
      <xdr:row>187</xdr:row>
      <xdr:rowOff>140365</xdr:rowOff>
    </xdr:from>
    <xdr:to>
      <xdr:col>15</xdr:col>
      <xdr:colOff>112058</xdr:colOff>
      <xdr:row>215</xdr:row>
      <xdr:rowOff>145676</xdr:rowOff>
    </xdr:to>
    <xdr:graphicFrame macro="">
      <xdr:nvGraphicFramePr>
        <xdr:cNvPr id="21" name="20 Gráfico">
          <a:extLst>
            <a:ext uri="{FF2B5EF4-FFF2-40B4-BE49-F238E27FC236}">
              <a16:creationId xmlns:a16="http://schemas.microsoft.com/office/drawing/2014/main" id="{00000000-0008-0000-14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122463</xdr:colOff>
      <xdr:row>226</xdr:row>
      <xdr:rowOff>0</xdr:rowOff>
    </xdr:from>
    <xdr:to>
      <xdr:col>15</xdr:col>
      <xdr:colOff>123264</xdr:colOff>
      <xdr:row>245</xdr:row>
      <xdr:rowOff>100853</xdr:rowOff>
    </xdr:to>
    <xdr:graphicFrame macro="">
      <xdr:nvGraphicFramePr>
        <xdr:cNvPr id="22" name="21 Gráfico">
          <a:extLst>
            <a:ext uri="{FF2B5EF4-FFF2-40B4-BE49-F238E27FC236}">
              <a16:creationId xmlns:a16="http://schemas.microsoft.com/office/drawing/2014/main" id="{00000000-0008-0000-14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125665</xdr:colOff>
      <xdr:row>146</xdr:row>
      <xdr:rowOff>172891</xdr:rowOff>
    </xdr:from>
    <xdr:to>
      <xdr:col>17</xdr:col>
      <xdr:colOff>33616</xdr:colOff>
      <xdr:row>167</xdr:row>
      <xdr:rowOff>44824</xdr:rowOff>
    </xdr:to>
    <xdr:graphicFrame macro="">
      <xdr:nvGraphicFramePr>
        <xdr:cNvPr id="23" name="22 Gráfico">
          <a:extLst>
            <a:ext uri="{FF2B5EF4-FFF2-40B4-BE49-F238E27FC236}">
              <a16:creationId xmlns:a16="http://schemas.microsoft.com/office/drawing/2014/main" id="{00000000-0008-0000-14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95250</xdr:colOff>
      <xdr:row>40</xdr:row>
      <xdr:rowOff>11206</xdr:rowOff>
    </xdr:from>
    <xdr:to>
      <xdr:col>15</xdr:col>
      <xdr:colOff>145676</xdr:colOff>
      <xdr:row>64</xdr:row>
      <xdr:rowOff>11206</xdr:rowOff>
    </xdr:to>
    <xdr:graphicFrame macro="">
      <xdr:nvGraphicFramePr>
        <xdr:cNvPr id="24" name="23 Gráfico">
          <a:extLst>
            <a:ext uri="{FF2B5EF4-FFF2-40B4-BE49-F238E27FC236}">
              <a16:creationId xmlns:a16="http://schemas.microsoft.com/office/drawing/2014/main" id="{00000000-0008-0000-14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varo%20Gutierres/Documents/PLANEACION%202020/INFORMES%20DE%20GESTI&#211;N%202020/Informe%20de%20Gesti&#243;n%20II%20Sem%202020/Anexo%201.%20Matriz%20de%20seguimiento%20del%20PAI%20-%20MADS%20-%20PRUE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R_HERNAN/17.2%20INFORME%20AVANCE%20PA%20-%20(CORTE%2030%20JUNIO%202013)/matrices_ejecuci&#243;n_31-1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7 ESTRUCTURA PROGRAMÁTICA"/>
      <sheetName val="TABLA 7a EJEMPLO PONDERACIONES"/>
      <sheetName val="ANEXO 1. MATRIZ DE SEGUIMIENTO"/>
      <sheetName val="ANEXO 5-1 INGRESOS"/>
      <sheetName val="Anexo 5-2 Gastos"/>
      <sheetName val="graficos"/>
      <sheetName val="Hoja2"/>
      <sheetName val="GASTOS RCC"/>
      <sheetName val="Hoja1"/>
      <sheetName val="Avance Metas RAE 2014"/>
      <sheetName val="Avance Metas RCC 2014"/>
      <sheetName val="Hoja3"/>
      <sheetName val="ANEXO 3. SIGOB"/>
      <sheetName val="P1"/>
      <sheetName val="P2"/>
      <sheetName val="P3"/>
      <sheetName val="P4"/>
      <sheetName val="P5"/>
      <sheetName val="P6"/>
      <sheetName val="P7"/>
      <sheetName val="Gráficos"/>
    </sheetNames>
    <sheetDataSet>
      <sheetData sheetId="0">
        <row r="180">
          <cell r="E180">
            <v>1</v>
          </cell>
        </row>
        <row r="181">
          <cell r="E181">
            <v>2</v>
          </cell>
        </row>
        <row r="182">
          <cell r="E182">
            <v>100</v>
          </cell>
        </row>
        <row r="183">
          <cell r="E183">
            <v>20</v>
          </cell>
        </row>
        <row r="184">
          <cell r="E184">
            <v>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1.PAT"/>
      <sheetName val="2.CCURNRB"/>
      <sheetName val="3.GIRH"/>
      <sheetName val="4.PPPCS"/>
      <sheetName val="5. CIAGAPRNMADC"/>
      <sheetName val="6. CUNCAC"/>
      <sheetName val="7.MFICARC"/>
      <sheetName val="GRÁ-PROYECTOS"/>
      <sheetName val="GRÁ-PROGRAMAS"/>
    </sheetNames>
    <sheetDataSet>
      <sheetData sheetId="0" refreshError="1">
        <row r="4">
          <cell r="C4" t="str">
            <v>1.1: Declaración de Áreas protegidas y zonas de Reserva Natural en la Jurisdicciòn de CORPOCESAR.</v>
          </cell>
          <cell r="F4" t="str">
            <v>1.1.1: Declaración de áreas protegidas Serrania de Perija.</v>
          </cell>
        </row>
        <row r="5">
          <cell r="F5" t="str">
            <v>1.1.2: Ejecuciòn de los Planes de Manejo de las áreas Protegidas de Perijá u otras áreas.</v>
          </cell>
        </row>
        <row r="6">
          <cell r="F6" t="str">
            <v xml:space="preserve">1.1.3 Ejecuciòn de acciones del PMA </v>
          </cell>
        </row>
        <row r="7">
          <cell r="F7" t="str">
            <v>1.1.4 Apoyo profesional y técnico</v>
          </cell>
        </row>
        <row r="8">
          <cell r="F8" t="str">
            <v>1.1.5 Contratación</v>
          </cell>
        </row>
        <row r="10">
          <cell r="C10" t="str">
            <v>1.2: Implementación del Plan de Ordenación Forestal del Departamento del Cesar.</v>
          </cell>
          <cell r="F10" t="str">
            <v>1.2.1 Implementación del  plan de ordenación forestal en el Departamento del Cesar. (caracterización de ambientes terrestres: bosques secos, bosques semihúmedos, enclaves xerofíticos y urbanos), y otras acciones dentro del marco del Plan</v>
          </cell>
        </row>
        <row r="12">
          <cell r="C12" t="str">
            <v>1.3. Implementación de la Política de Gestión Ambiental Urbana - PGAU- en el área de jurisdicción de Corpocesar</v>
          </cell>
          <cell r="F12" t="str">
            <v>1.3.1 Consolidación de la línea base ambiental urbano- regional</v>
          </cell>
        </row>
        <row r="13">
          <cell r="F13" t="str">
            <v>1.3.2 Formulación, adopción e implementación de un plan de monitoreo y seguimiento del estado de los recursos naturales renovables urbano-regionales</v>
          </cell>
        </row>
        <row r="15">
          <cell r="F15" t="str">
            <v>1.3.3 Promoción y apoyo a proyecto  municipales dirigidos a disminuir la generación de residuos de alto impacto en las áreas urbanas</v>
          </cell>
        </row>
        <row r="16">
          <cell r="F16" t="str">
            <v xml:space="preserve">1.3.4 Promoción y apoyo técnico a los municipios para la implementación de proyectos pilotos de PML en sectores productivos de áreas urbanas.     </v>
          </cell>
        </row>
        <row r="17">
          <cell r="F17" t="str">
            <v>1.3.5 Promoción de la conservación, preservación y recuperación de los elementos naturales del espacio público a través de la definición de directrices ambientales para el manejo del espacio público.</v>
          </cell>
        </row>
        <row r="18">
          <cell r="F18" t="str">
            <v xml:space="preserve">1.3.6 Investigación y estudios sobre dinámicas urbanas regionales para la concertación de estrategias con los E.T </v>
          </cell>
        </row>
        <row r="21">
          <cell r="C21" t="str">
            <v>2. 1. Fortalecimiento del conocimiento científico ambiental con visión ancestral indígena y ejecución de acciones prioritarias de mitigación y mejoramiento ambiental en la ecorregión estratégica Sierra Nevada de Santa Marta.</v>
          </cell>
        </row>
        <row r="22">
          <cell r="F22" t="str">
            <v>2.1.1.1 Apoyo a la consolidación del Cordón Ambiental y Saneamiento de resguardos en la SNSM, mediante acciones debidamente concertadas con los indígenas.</v>
          </cell>
        </row>
        <row r="23">
          <cell r="F23" t="str">
            <v>2.1.1.2 Apoyo a proyectos productivos sostenibles - agroforestales, agrícolas y/o pecuarios.</v>
          </cell>
        </row>
        <row r="24">
          <cell r="F24" t="str">
            <v>2.1.1.3 Apoyo a proyectos de producción limpia.</v>
          </cell>
        </row>
        <row r="25">
          <cell r="F25" t="str">
            <v>2.1.1.4 Conocimiento y conservación de sitios sagrados - Educación ambiental .</v>
          </cell>
        </row>
        <row r="26">
          <cell r="F26" t="str">
            <v>2.1.2 Ejecución de acciones prioritarias de mitigación y mejoramiento ambiental en la ecorregión Sierra Nevada de Santa Marta.</v>
          </cell>
        </row>
        <row r="27">
          <cell r="F27" t="str">
            <v>2.1.2.1 Establecimiento del programa de manejo de residuos solidos en zona indigena.</v>
          </cell>
        </row>
        <row r="28">
          <cell r="F28" t="str">
            <v>2.1.2.2 Establecimiento del programa de abastecimiento de agua para zona indigena</v>
          </cell>
        </row>
        <row r="29">
          <cell r="F29" t="str">
            <v>2.1.2.3 Construcción de Sistemas de Tratamiento de Aguas Residuales en zona indígena.</v>
          </cell>
        </row>
        <row r="31">
          <cell r="F31" t="str">
            <v xml:space="preserve">2.1.2.5 Programa de Acciones para la mitigación de impactos ambientales en la Cuenca Hidrográfica del río Guatapurí, municipio de Valledupar. </v>
          </cell>
        </row>
        <row r="32">
          <cell r="F32" t="str">
            <v>2.1.3 Apoyo al trabajo conjunto de la formulación del plan de desarrollo sostenible de la Sierra Nevada de Santa Marta,</v>
          </cell>
        </row>
        <row r="33">
          <cell r="F33" t="str">
            <v>2.1.4 Delimitación de zonas amortiguadoras del parque Sierra Nevada.</v>
          </cell>
        </row>
        <row r="35">
          <cell r="C35" t="str">
            <v>2.2 Ejecución del plan de manejo ambiental y acciones prioritarias de mitigación y mejoramiento de la ecorregión estratégica Complejo Cenagoso de Zapatosa y humedales menores.</v>
          </cell>
          <cell r="F35" t="str">
            <v>2.2.1 Ejecución de seguimiento, control y vigilancia a través de operativos</v>
          </cell>
        </row>
        <row r="36">
          <cell r="F36" t="str">
            <v>2.2.2 Educación ambiental para la conservación y restauración de la Ciénaga</v>
          </cell>
        </row>
        <row r="37">
          <cell r="F37" t="str">
            <v>2.2.3 Control de la Contaminación en la ciénaga a través de la implementación de estrategias para mitigación y otras estrategias de manejo y mitigación ambiental.</v>
          </cell>
        </row>
        <row r="39">
          <cell r="F39" t="str">
            <v xml:space="preserve">2.2.5 Caracterización de ciénagas (bioecológica en áreas seleccionadas) y monitoreo y seguimiento al estado de poblaciones y ambientes  cenagosos.  </v>
          </cell>
        </row>
        <row r="41">
          <cell r="C41" t="str">
            <v>2.3: Ejecución del plan de manejo ambiental de páramos,  sub-páramo y alta montaña en la Serranía de Perijá.</v>
          </cell>
          <cell r="F41" t="str">
            <v xml:space="preserve">2.3.1. Educación ambiental para la conservación y restauración del ecosistema de paramos. </v>
          </cell>
        </row>
        <row r="42">
          <cell r="F42" t="str">
            <v>2.3.2 Aislamiento de áreas.</v>
          </cell>
        </row>
        <row r="43">
          <cell r="F43" t="str">
            <v>2.3.3 Acciones de Manejo y Mitigación Ambiental en zonas de páramos.</v>
          </cell>
        </row>
        <row r="45">
          <cell r="C45" t="str">
            <v xml:space="preserve">2.4 Implementación del Plan de Manejo de la Especie Faunística Oso de Anteojos u Oso Andino, en el Departamento del Cesar, en el marco del Programa Nacional de Conservación del Oso Andino. </v>
          </cell>
          <cell r="F45" t="str">
            <v xml:space="preserve">2.4.1 Implementación del Plan de Manejo de la Especie Faunística Oso de Anteojos u Oso Andino, en zonas indígenas de los municipios de Agustín Codazzi, Becerril y La Paz, y en áreas estratégicas del municipio de Manaure, en el Departamento del Cesar, en el marco del Programa Nacional de Conservación del Oso Andino. </v>
          </cell>
        </row>
        <row r="47">
          <cell r="C47" t="str">
            <v>2.5 Ejecución del plan de manejo ambiental Bosque el Aguil en el municipio de Aguachica.</v>
          </cell>
          <cell r="F47" t="str">
            <v xml:space="preserve">2.5.1 Educación ambiental para la conservación y restauración del ecosistema del bosque El Aguil.. </v>
          </cell>
        </row>
        <row r="48">
          <cell r="F48" t="str">
            <v>2.5.2 Aislamiento de áreas.</v>
          </cell>
        </row>
        <row r="49">
          <cell r="F49" t="str">
            <v>2.5.3 Implementación de estrategias para el control y mitigación de la contaminación, y otras estrategias de manejo y mitigación ambiental.</v>
          </cell>
        </row>
        <row r="50">
          <cell r="F50" t="str">
            <v>2.5.4 Articulación del PMA a la politica de Gestión Ambiental urbana.</v>
          </cell>
        </row>
        <row r="52">
          <cell r="C52" t="str">
            <v>2.6. Promoción y apoyo a la implementación de proyectos productivos sostenibles en los Valles del Río Cesar y Río Magdalena.</v>
          </cell>
          <cell r="F52" t="str">
            <v>2.6.1 Apoyo a proyectos de agroforesteria y/o patios productivos</v>
          </cell>
        </row>
        <row r="54">
          <cell r="C54" t="str">
            <v>2.7. Acciones para el uso, manejo y disposición de especimenes de fauna y flora silvestre en el departamento del Cesar</v>
          </cell>
          <cell r="F54" t="str">
            <v>2.7.1 Control del trafico ilegal de especies</v>
          </cell>
        </row>
        <row r="56">
          <cell r="F56" t="str">
            <v>2.7.2 Construcción y puesta en marcha del Centro de Atención, valoración y rehabilitación de fauna silvestre en el Departamento del Cesar.</v>
          </cell>
        </row>
        <row r="58">
          <cell r="F58" t="str">
            <v>2.7.3 Interventoría para la construcción del Centro de Atención, Valoración y Rehabilitación de Fauna Silvestre en el Departamento del Cesar.</v>
          </cell>
        </row>
        <row r="59">
          <cell r="F59" t="str">
            <v>2.7.4 Formulación e implementación de planes de conservación de especies amenazadas: aves migratorias de la biodiversidad colombiana, cóndor andino, babilla, caimán, mamíferos acuáticos (Manatí y Nutria), icotea,  felinos.</v>
          </cell>
        </row>
        <row r="61">
          <cell r="C61" t="str">
            <v>2.8. Establecimiento del plan de manejo sobre áreas en proceso de desertificación y sequia.</v>
          </cell>
          <cell r="F61" t="str">
            <v>2.8.1 Formulación e implementación del plan de acción regional de lucha contra la desertificación y sequía en el departamento del cesar con enfasis en la región del Río Cesar..</v>
          </cell>
        </row>
        <row r="65">
          <cell r="F65" t="str">
            <v xml:space="preserve">2.9.3 Establecimiento de viveros y producción de arboles. </v>
          </cell>
        </row>
        <row r="68">
          <cell r="C68" t="str">
            <v>3.1 Aprovechamiento y protección integral de aguas subterráneas en el Departamento Del Cesar.</v>
          </cell>
          <cell r="F68" t="str">
            <v>3.1.1 Realizar el inventario de puntos de aprovechamiento de aguas subterráneas, pozos, aljibes y manantiales (incluye adquisición de equipos de monitoreo).</v>
          </cell>
        </row>
        <row r="70">
          <cell r="C70" t="str">
            <v>3.2 Evaluación de la capacidad de transporte de sedimento y del potencial de explotación de material de arrastre en corrientes de aguas superficiales en el Departamento del Cesar.</v>
          </cell>
          <cell r="F70" t="str">
            <v>3.2.1 Elaborar los estudios de hidrosedimentología en corrientes de aguas superficiales en el Departamento del Cesar.</v>
          </cell>
        </row>
        <row r="72">
          <cell r="C72" t="str">
            <v>3.3 Elaboración el mapa de riesgo en el Departamento del Cesar</v>
          </cell>
          <cell r="F72" t="str">
            <v>3.3.1 Elaboración del mapa de riesgo por inundaciones.</v>
          </cell>
        </row>
        <row r="73">
          <cell r="F73" t="str">
            <v>3.3.2 Elaboración del mapa de riesgo por eventos geotécnicos.</v>
          </cell>
        </row>
        <row r="74">
          <cell r="F74" t="str">
            <v xml:space="preserve">3.3.3 Socialización del conocimiento del riesgo (Torcoroma, Chiriaimo, Honda, San Alberto, Badillo y Guatapurí) </v>
          </cell>
        </row>
        <row r="75">
          <cell r="F75" t="str">
            <v xml:space="preserve">3.3.4 Concertación e Implementación  de Acciones de mitigación en el marco de la Gestión integral del riesgo. </v>
          </cell>
        </row>
        <row r="77">
          <cell r="C77" t="str">
            <v>3.4 Formulación e implementación de planes de ordenación y manejo de cuencas en el Departamento del Cesar.</v>
          </cell>
          <cell r="F77" t="str">
            <v>3.4.1 Ejecución de Fases para la formulación de los POMCAS priorizados</v>
          </cell>
        </row>
        <row r="78">
          <cell r="F78" t="str">
            <v>3.4.2 Gestión para la priorización de nuevas  cuencas según caracterización ambIental del  PDA</v>
          </cell>
        </row>
        <row r="80">
          <cell r="F80" t="str">
            <v xml:space="preserve">3.4.3 Ejecución del proceso de formulación de  POMCAS en cuencas   priorizados mendiante Res/2004 y en  nuevas cuencas ).  </v>
          </cell>
        </row>
        <row r="84">
          <cell r="C84" t="str">
            <v>3.5 Formulación de planes de ordenación de cuencas compartidas.</v>
          </cell>
          <cell r="F84" t="str">
            <v xml:space="preserve">3.5.1 Concertación  de Acciones para la formulación de POMCAS en cuencas compartidas, previamente priorizadas. </v>
          </cell>
        </row>
        <row r="86">
          <cell r="C86" t="str">
            <v>3.6 Reglamentación del Recurso hídrico en el Departamento del Cesar.</v>
          </cell>
          <cell r="F86" t="str">
            <v>3.6.1 Reglamentación de las corrientes hídricas priorizadas.</v>
          </cell>
        </row>
        <row r="90">
          <cell r="F90" t="str">
            <v>3.6.3 Facturación por concepto de uso del agua.</v>
          </cell>
        </row>
        <row r="92">
          <cell r="F92" t="str">
            <v xml:space="preserve">3.6.5 Implementación y seguimiento  a las tasas de reducción de cargas contaminantes adoptadas por el Consejo Directivo </v>
          </cell>
        </row>
        <row r="94">
          <cell r="F94" t="str">
            <v>3.6.7 Establecimiento y ejecución de estrategias  de Manejo Ambiental en el Arroyo El Salao, municipio de San Diego.</v>
          </cell>
        </row>
        <row r="96">
          <cell r="C96" t="str">
            <v>4.1 Promoción de procesos productivos competitivos y sostenibles</v>
          </cell>
          <cell r="F96" t="str">
            <v>4.1.1 Diseño y Construcción de un proyecto piloto demostrativo de arquitectura bioclimática.</v>
          </cell>
        </row>
        <row r="97">
          <cell r="F97" t="str">
            <v>4.1.2 Interventoría para la construcción de un proyecto piloto demostrativo de arquitectura bioclimática.</v>
          </cell>
        </row>
        <row r="98">
          <cell r="F98" t="str">
            <v xml:space="preserve">4.1.3 Seguimiento y evaluación de resultados alcanzados con los convenios vigentes </v>
          </cell>
        </row>
        <row r="99">
          <cell r="F99" t="str">
            <v>4.1.4 Establecimiento del programa de protección de la capa de ozono.</v>
          </cell>
        </row>
        <row r="100">
          <cell r="F100" t="str">
            <v>4.1.5 Establecimiento del programa de Cambio Climático.</v>
          </cell>
        </row>
        <row r="101">
          <cell r="F101" t="str">
            <v>4.1.6 Establecimiento del programa de Medidas Sanitarias y Fitosanitarias (MSF).</v>
          </cell>
        </row>
        <row r="102">
          <cell r="F102" t="str">
            <v>4.1.7 Promoción de proyectos de mercados verdes en el Departamento del Cesar.</v>
          </cell>
        </row>
        <row r="103">
          <cell r="F103" t="str">
            <v>4.1.8 Apoyo al aprovechamiento de residuos solidos bajo los programas de mercados verdes y aplicación de Tecnologías limpias en el municipio de Valledupar y en el resto del Departamento del Cesar</v>
          </cell>
        </row>
        <row r="104">
          <cell r="F104" t="str">
            <v xml:space="preserve">4.1.10 Control de Deforestación y captura de CO2 en diferentes áreas bajo la figura de conservación a través de servicios ambientales.   </v>
          </cell>
        </row>
        <row r="106">
          <cell r="C106" t="str">
            <v xml:space="preserve">4.2 Formulación e implementación de una  POLITICA pública REGIONAL  de PML.  </v>
          </cell>
          <cell r="F106" t="str">
            <v xml:space="preserve">4.2.1 Diseño y adopción de la  política pública  local  de PML.   (objetivo, estrategias, acciones y metas)  </v>
          </cell>
        </row>
        <row r="107">
          <cell r="F107" t="str">
            <v xml:space="preserve">4.2.2 Conformación de un equipo multidisciplinario  de trabajo para el desarrollo de la politica o  Programa de PML según  sectores  productivos y estratégicos vinculados.  </v>
          </cell>
        </row>
        <row r="108">
          <cell r="F108" t="str">
            <v xml:space="preserve">4.2.3 Formulación e implementación del Proyecto de gestión integral de RESPEL como estrategia de PML    </v>
          </cell>
        </row>
        <row r="111">
          <cell r="C111" t="str">
            <v>5.1 Control de la contaminación por emisiones atmosfericas en el Departamento del Cesar.</v>
          </cell>
        </row>
        <row r="113">
          <cell r="F113" t="str">
            <v>5.1.1.3 Adquisición de vehículo y estación móvil para el control de emisiones de gases de automotores.</v>
          </cell>
        </row>
        <row r="118">
          <cell r="F118" t="str">
            <v>5.1.4 Ampliación y operación de la red de monitoreo del aire en la zona minera del Departamento del Cesar.</v>
          </cell>
        </row>
        <row r="119">
          <cell r="F119" t="str">
            <v>5.1.5 Realización estudio epidemiológico en la zona carbonífera del Cesar.</v>
          </cell>
        </row>
        <row r="121">
          <cell r="C121" t="str">
            <v>5.2. Registro, control ambiental y monitoreo de la calidad del aire en la zona minera del carbón del Departamento del Cesar.</v>
          </cell>
          <cell r="F121" t="str">
            <v>5.2.1 Acciones de control, monitoreo y manejo ambiental en la zona minera según acuerdos de la Jagua. Operación Red de Monitoreo de la Calidad del Aire en la Zona Carbonífera del Cesar.</v>
          </cell>
        </row>
        <row r="125">
          <cell r="C125" t="str">
            <v>5.3. Control de la contaminación por vertimientos hacia los cuerpos de agua del Departamento del Cesar.</v>
          </cell>
          <cell r="F125" t="str">
            <v xml:space="preserve">5.3.1 Control y seguimiento a los PSMV aprobados  </v>
          </cell>
        </row>
        <row r="126">
          <cell r="F126" t="str">
            <v xml:space="preserve">5.3.2 Formulación,  diseño e implementaión de una  red de monitoreo  de aguas residuales domésticas  e  industirales </v>
          </cell>
        </row>
        <row r="128">
          <cell r="F128" t="str">
            <v>5.3.3 Caracterización e Impacto Ambiental por vertimientos en la cuenca media y baja del Río Cesar.</v>
          </cell>
        </row>
        <row r="129">
          <cell r="F129" t="str">
            <v>5.3.4 Implementación y operación del laboratorio de aguas</v>
          </cell>
        </row>
        <row r="133">
          <cell r="C133" t="str">
            <v>5.4. Apoyo a la gestión de los sistemas de agua potable y saneamiento básico en el Departamento del Cesar.</v>
          </cell>
          <cell r="F133" t="str">
            <v>5.4.1 Gestión y manejo de residuos solidos en el Departamento del Cesar.</v>
          </cell>
          <cell r="L133">
            <v>13</v>
          </cell>
        </row>
        <row r="137">
          <cell r="F137" t="str">
            <v>5.4.2. Gestión y manejo de aguas residuales en el Departamento del Cesar</v>
          </cell>
        </row>
        <row r="141">
          <cell r="C141" t="str">
            <v>5.5. Prevención y mitigación del Riesgo y desastres naturales en la jurisdicción de Corpocesar.</v>
          </cell>
          <cell r="F141" t="str">
            <v>5.5.1 Prevención y atención de incendios forestales a través de contratos o convenios de cooperación técnica y financiera.</v>
          </cell>
        </row>
        <row r="142">
          <cell r="F142" t="str">
            <v xml:space="preserve">5.5.2 Formulación y adopción de las determinantes ambientales del área de jurisdicción de Corpocesar, para el Ordenamiento Territorial. </v>
          </cell>
        </row>
        <row r="143">
          <cell r="F143" t="str">
            <v>5.5.3 Diseño y/o Construcción de obras de control de erosión e inundaciones.</v>
          </cell>
        </row>
        <row r="146">
          <cell r="F146" t="str">
            <v xml:space="preserve">5.5.6.  Formulación  e implementación del Plan de Gestión Integral del Riesgo - GIR- </v>
          </cell>
        </row>
        <row r="148">
          <cell r="F148" t="str">
            <v>5.5.7.  Estrategia de apoyo para solucionar la problemática del ataque del comején y las hormigas a la Arborización de Valledupar y otras Zonas del Departamento del Cesar.</v>
          </cell>
        </row>
        <row r="150">
          <cell r="C150" t="str">
            <v>5.6. Fortalecimiento del control ambiental a través de los procesos misionales en la jurisdicción de Corpocesar.</v>
          </cell>
          <cell r="F150" t="str">
            <v>5.6.1 Evaluación y Seguimiento a los instrumentos ambientales que otorga Corpocesar, y atención de quejas por infracciones ambientales.</v>
          </cell>
        </row>
        <row r="152">
          <cell r="F152" t="str">
            <v xml:space="preserve">5.6.2 Implementación de la ventanilla integral de trámites ambientales en línea, en el marco de las politicas de GOBIERNO EN LINEA, mediante la ejecución de FASES del proceso. Orientado por el MAVDT.  </v>
          </cell>
        </row>
        <row r="156">
          <cell r="C156" t="str">
            <v xml:space="preserve">5.7. Fortalecimiento del componente ambiental del  Plan Departamental de  Agua del Cesar  a través de la  vinculación de la CAR a todos los  procesos ambientales del PDA. </v>
          </cell>
          <cell r="F156" t="str">
            <v xml:space="preserve">5.7.1 Gestión de vinculación y operación  de acciones interinsitucionales.    </v>
          </cell>
        </row>
        <row r="162">
          <cell r="C162" t="str">
            <v>6.1. Construcción de una nueva cultura ambiental colectiva en el Departamento del Cesar.</v>
          </cell>
          <cell r="F162" t="str">
            <v>6.1.1 Establecimiento y operación de la Red Interna de Multiplicadores Ambientales.</v>
          </cell>
        </row>
        <row r="163">
          <cell r="F163" t="str">
            <v>6.1.2 Desarrollo y fortalecimiento de las comunicaciones (periodico ambiental, programa mision revive, programa en radio, revistas, boletín oficial, divulgación y pautas) como estratégia de formación de cultura ambiental en la región.</v>
          </cell>
        </row>
        <row r="172">
          <cell r="F172" t="str">
            <v>6.1.3 Implementación del programa pedagógico a los proyectos corporativos PROCEDAS Y PRAES.</v>
          </cell>
        </row>
        <row r="173">
          <cell r="F173" t="str">
            <v>6.1.4 Impulso a la formación y dinamización de promotores ambientales</v>
          </cell>
        </row>
        <row r="174">
          <cell r="F174" t="str">
            <v>6.1.5 Impulso a la formación de veedores ambientales para forlatecer los sistemas de veedurias.</v>
          </cell>
        </row>
        <row r="175">
          <cell r="F175" t="str">
            <v>6.1.6 Conmemoraciones,  exaltaciones ambientales y formación de periodistas y comunicadores regionales para el fortalecimiento de la cultura ambiental.</v>
          </cell>
        </row>
        <row r="176">
          <cell r="F176" t="str">
            <v xml:space="preserve">6.1.7 Fortalecimiento del proceso de educación y comunicación del riesgo  </v>
          </cell>
        </row>
        <row r="179">
          <cell r="F179" t="str">
            <v>6.1.8 Educación ambiental para la conservación de sitios turísticos o ecosistemas sensibles.</v>
          </cell>
        </row>
        <row r="181">
          <cell r="C181" t="str">
            <v>7.1. Mejoramiento institucional a través de acciones de fortalecimiento que permitan aumentar la productividad y la prestación de servicios.</v>
          </cell>
        </row>
        <row r="182">
          <cell r="F182" t="str">
            <v>7.1.2 Apoyo profesional y técnico para la gestión misional de la Oficina de Control Interno</v>
          </cell>
        </row>
        <row r="186">
          <cell r="F186" t="str">
            <v>7.1.6 Bienestar social de los funcionarios, capacitación, recreación y salud ocupacional</v>
          </cell>
        </row>
        <row r="190">
          <cell r="F190" t="str">
            <v>7.1.7 Adecuación, construcción, adquisición y/o mejoramiento de la infraestructura de la entidad.</v>
          </cell>
        </row>
        <row r="193">
          <cell r="F193" t="str">
            <v xml:space="preserve">7.1.8 Dotación y modernización de elementos y soportes fisicos de los espacios de trabajo según requerimientos y recursos disponibles. </v>
          </cell>
        </row>
        <row r="195">
          <cell r="F195" t="str">
            <v>7.1.9 Fortalecimiento del SINA a través de la cooperación institucional con ASOCARS, Unidad de Enlace SNSM y SIRAP Caribe.</v>
          </cell>
        </row>
        <row r="196">
          <cell r="F196" t="str">
            <v>7.1.10 Fortalecimiento de la gestión mediante el apoyo asistencial, técnico, profesional y especializado.</v>
          </cell>
        </row>
        <row r="201">
          <cell r="F201" t="str">
            <v>7.1.11 Implementación,  operación e interporalización con otras entidades del SINA y el SIPGA del SIA_SIG.</v>
          </cell>
        </row>
        <row r="202">
          <cell r="F202" t="str">
            <v xml:space="preserve">7.1.12 Operación del Gestor integral del banco de proyectos  Implementado para fortalecer el proceso de formulación,  seguimiento informes internos y a entes de Control (auditorías, plan de mejoramiento, otros) con todos los involucrados.  </v>
          </cell>
        </row>
        <row r="203">
          <cell r="F203" t="str">
            <v>7.1.13 Fortalecimiento de la gestión ambiental mediante la adquisición de equipos, instalación, construcción y/u operación de equipos, elementos e infraestructuras para el desarrollo de la investigación, monitoreo, control, seguimiento, mejoramiento y rehabilitación de los recursos naturales y el medio ambiente.</v>
          </cell>
        </row>
        <row r="205">
          <cell r="F205" t="str">
            <v>7.1.15 Implementación o apoyo a la conformación del centro de documentación y archivo.</v>
          </cell>
        </row>
        <row r="207">
          <cell r="F207" t="str">
            <v>7.1.16 Consultoría para interventoría de proyectos.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Z246"/>
  <sheetViews>
    <sheetView tabSelected="1" view="pageBreakPreview" topLeftCell="B1" zoomScale="46" zoomScaleNormal="70" zoomScaleSheetLayoutView="46" workbookViewId="0">
      <pane xSplit="2" ySplit="7" topLeftCell="D131" activePane="bottomRight" state="frozen"/>
      <selection activeCell="B1" sqref="B1"/>
      <selection pane="topRight" activeCell="D1" sqref="D1"/>
      <selection pane="bottomLeft" activeCell="B8" sqref="B8"/>
      <selection pane="bottomRight" activeCell="D144" sqref="D144"/>
    </sheetView>
  </sheetViews>
  <sheetFormatPr baseColWidth="10" defaultColWidth="11.42578125" defaultRowHeight="15.75"/>
  <cols>
    <col min="1" max="1" width="40.28515625" style="398" customWidth="1"/>
    <col min="2" max="2" width="34.42578125" style="398" customWidth="1"/>
    <col min="3" max="3" width="52.5703125" style="267" customWidth="1"/>
    <col min="4" max="4" width="120.140625" style="279" customWidth="1"/>
    <col min="5" max="5" width="19.42578125" style="383" customWidth="1"/>
    <col min="6" max="6" width="19.85546875" style="383" customWidth="1"/>
    <col min="7" max="7" width="19" style="383" customWidth="1"/>
    <col min="8" max="8" width="20.85546875" style="383" customWidth="1"/>
    <col min="9" max="9" width="22.85546875" style="439" customWidth="1"/>
    <col min="10" max="10" width="22.28515625" style="383" customWidth="1"/>
    <col min="11" max="11" width="59.42578125" style="385" customWidth="1"/>
    <col min="12" max="12" width="52" style="391" customWidth="1"/>
    <col min="13" max="26" width="11.42578125" style="365"/>
    <col min="27" max="16384" width="11.42578125" style="268"/>
  </cols>
  <sheetData>
    <row r="1" spans="1:12" ht="33.75">
      <c r="A1" s="896" t="s">
        <v>135</v>
      </c>
      <c r="B1" s="896"/>
      <c r="C1" s="896"/>
      <c r="D1" s="896"/>
      <c r="E1" s="896"/>
      <c r="F1" s="896"/>
      <c r="G1" s="896"/>
      <c r="H1" s="896"/>
      <c r="I1" s="896"/>
      <c r="J1" s="896"/>
      <c r="K1" s="896"/>
      <c r="L1" s="386"/>
    </row>
    <row r="2" spans="1:12">
      <c r="A2" s="392"/>
      <c r="B2" s="392"/>
      <c r="C2" s="281"/>
      <c r="D2" s="282"/>
      <c r="E2" s="382"/>
      <c r="F2" s="382"/>
      <c r="G2" s="382"/>
      <c r="H2" s="382"/>
      <c r="I2" s="437"/>
      <c r="J2" s="382"/>
      <c r="K2" s="384"/>
      <c r="L2" s="387"/>
    </row>
    <row r="3" spans="1:12" ht="27.75">
      <c r="A3" s="392"/>
      <c r="B3" s="874" t="s">
        <v>1185</v>
      </c>
      <c r="C3" s="874"/>
      <c r="D3" s="874"/>
      <c r="E3" s="874"/>
      <c r="F3" s="874"/>
      <c r="G3" s="874"/>
      <c r="H3" s="874"/>
      <c r="I3" s="874"/>
      <c r="J3" s="874"/>
      <c r="K3" s="874"/>
      <c r="L3" s="388"/>
    </row>
    <row r="4" spans="1:12">
      <c r="A4" s="392"/>
      <c r="B4" s="393"/>
      <c r="C4" s="283"/>
      <c r="D4" s="284"/>
      <c r="E4" s="380"/>
      <c r="F4" s="380"/>
      <c r="G4" s="380"/>
      <c r="H4" s="380"/>
      <c r="I4" s="380"/>
      <c r="J4" s="380"/>
      <c r="K4" s="384"/>
      <c r="L4" s="387"/>
    </row>
    <row r="5" spans="1:12" ht="101.25">
      <c r="A5" s="689" t="s">
        <v>17</v>
      </c>
      <c r="B5" s="875" t="s">
        <v>88</v>
      </c>
      <c r="C5" s="875"/>
      <c r="D5" s="875"/>
      <c r="E5" s="875"/>
      <c r="F5" s="875"/>
      <c r="G5" s="875"/>
      <c r="H5" s="875"/>
      <c r="I5" s="875"/>
      <c r="J5" s="875"/>
      <c r="K5" s="875"/>
      <c r="L5" s="360"/>
    </row>
    <row r="6" spans="1:12" ht="27.75" customHeight="1">
      <c r="A6" s="897" t="s">
        <v>18</v>
      </c>
      <c r="B6" s="897" t="s">
        <v>19</v>
      </c>
      <c r="C6" s="875" t="s">
        <v>20</v>
      </c>
      <c r="D6" s="875" t="s">
        <v>160</v>
      </c>
      <c r="E6" s="875" t="s">
        <v>161</v>
      </c>
      <c r="F6" s="875"/>
      <c r="G6" s="875"/>
      <c r="H6" s="875"/>
      <c r="I6" s="913" t="s">
        <v>666</v>
      </c>
      <c r="J6" s="875" t="s">
        <v>22</v>
      </c>
      <c r="K6" s="875"/>
      <c r="L6" s="360"/>
    </row>
    <row r="7" spans="1:12" ht="80.25" customHeight="1">
      <c r="A7" s="897"/>
      <c r="B7" s="897"/>
      <c r="C7" s="875"/>
      <c r="D7" s="875"/>
      <c r="E7" s="690">
        <v>2020</v>
      </c>
      <c r="F7" s="690">
        <v>2021</v>
      </c>
      <c r="G7" s="690">
        <v>2022</v>
      </c>
      <c r="H7" s="690">
        <v>2023</v>
      </c>
      <c r="I7" s="913"/>
      <c r="J7" s="875"/>
      <c r="K7" s="875"/>
      <c r="L7" s="360"/>
    </row>
    <row r="8" spans="1:12" ht="84.75" customHeight="1">
      <c r="A8" s="738"/>
      <c r="B8" s="906" t="s">
        <v>787</v>
      </c>
      <c r="C8" s="899" t="s">
        <v>1099</v>
      </c>
      <c r="D8" s="766" t="s">
        <v>1096</v>
      </c>
      <c r="E8" s="767">
        <v>1</v>
      </c>
      <c r="F8" s="767">
        <v>2</v>
      </c>
      <c r="G8" s="767">
        <v>2</v>
      </c>
      <c r="H8" s="767">
        <v>0</v>
      </c>
      <c r="I8" s="767">
        <f>SUM(E8:H8)</f>
        <v>5</v>
      </c>
      <c r="J8" s="764" t="s">
        <v>864</v>
      </c>
      <c r="K8" s="765" t="s">
        <v>1100</v>
      </c>
      <c r="L8" s="360"/>
    </row>
    <row r="9" spans="1:12" ht="78.75" customHeight="1">
      <c r="A9" s="738"/>
      <c r="B9" s="907"/>
      <c r="C9" s="900"/>
      <c r="D9" s="765" t="s">
        <v>1095</v>
      </c>
      <c r="E9" s="767">
        <v>0</v>
      </c>
      <c r="F9" s="767">
        <v>1</v>
      </c>
      <c r="G9" s="767">
        <v>0</v>
      </c>
      <c r="H9" s="767">
        <v>1</v>
      </c>
      <c r="I9" s="767">
        <f>SUM(E9:H9)</f>
        <v>2</v>
      </c>
      <c r="J9" s="764" t="s">
        <v>864</v>
      </c>
      <c r="K9" s="765" t="s">
        <v>1101</v>
      </c>
      <c r="L9" s="360"/>
    </row>
    <row r="10" spans="1:12" ht="81" customHeight="1">
      <c r="A10" s="738"/>
      <c r="B10" s="907"/>
      <c r="C10" s="900"/>
      <c r="D10" s="765" t="s">
        <v>1097</v>
      </c>
      <c r="E10" s="767">
        <v>0</v>
      </c>
      <c r="F10" s="767">
        <v>1</v>
      </c>
      <c r="G10" s="767">
        <v>0</v>
      </c>
      <c r="H10" s="767">
        <v>1</v>
      </c>
      <c r="I10" s="767">
        <f>SUM(E10:H10)</f>
        <v>2</v>
      </c>
      <c r="J10" s="904" t="s">
        <v>864</v>
      </c>
      <c r="K10" s="902" t="s">
        <v>1102</v>
      </c>
      <c r="L10" s="360"/>
    </row>
    <row r="11" spans="1:12" ht="58.5" customHeight="1">
      <c r="A11" s="738"/>
      <c r="B11" s="907"/>
      <c r="C11" s="901"/>
      <c r="D11" s="765" t="s">
        <v>1098</v>
      </c>
      <c r="E11" s="767">
        <v>0</v>
      </c>
      <c r="F11" s="767">
        <v>1</v>
      </c>
      <c r="G11" s="767">
        <v>0</v>
      </c>
      <c r="H11" s="767">
        <v>1</v>
      </c>
      <c r="I11" s="767">
        <f>SUM(E11:H11)</f>
        <v>2</v>
      </c>
      <c r="J11" s="905"/>
      <c r="K11" s="903"/>
      <c r="L11" s="360"/>
    </row>
    <row r="12" spans="1:12" ht="46.5" customHeight="1">
      <c r="A12" s="873" t="s">
        <v>649</v>
      </c>
      <c r="B12" s="907"/>
      <c r="C12" s="858" t="s">
        <v>778</v>
      </c>
      <c r="D12" s="691" t="s">
        <v>779</v>
      </c>
      <c r="E12" s="285">
        <v>1</v>
      </c>
      <c r="F12" s="285">
        <v>1</v>
      </c>
      <c r="G12" s="285">
        <v>1</v>
      </c>
      <c r="H12" s="285">
        <v>0</v>
      </c>
      <c r="I12" s="438">
        <f>SUM(E12:H12)</f>
        <v>3</v>
      </c>
      <c r="J12" s="285" t="s">
        <v>864</v>
      </c>
      <c r="K12" s="691" t="s">
        <v>783</v>
      </c>
      <c r="L12" s="361"/>
    </row>
    <row r="13" spans="1:12" ht="59.25" customHeight="1">
      <c r="A13" s="873"/>
      <c r="B13" s="907"/>
      <c r="C13" s="858"/>
      <c r="D13" s="691" t="s">
        <v>780</v>
      </c>
      <c r="E13" s="285">
        <v>30</v>
      </c>
      <c r="F13" s="285">
        <v>70</v>
      </c>
      <c r="G13" s="285">
        <v>0</v>
      </c>
      <c r="H13" s="285">
        <v>0</v>
      </c>
      <c r="I13" s="438">
        <f t="shared" ref="I13:I14" si="0">SUM(E13:H13)</f>
        <v>100</v>
      </c>
      <c r="J13" s="285" t="s">
        <v>798</v>
      </c>
      <c r="K13" s="691" t="s">
        <v>784</v>
      </c>
      <c r="L13" s="361"/>
    </row>
    <row r="14" spans="1:12" ht="59.25" customHeight="1">
      <c r="A14" s="873"/>
      <c r="B14" s="907"/>
      <c r="C14" s="858"/>
      <c r="D14" s="691" t="s">
        <v>781</v>
      </c>
      <c r="E14" s="285">
        <v>0</v>
      </c>
      <c r="F14" s="285">
        <v>1</v>
      </c>
      <c r="G14" s="285">
        <v>1</v>
      </c>
      <c r="H14" s="285">
        <v>1</v>
      </c>
      <c r="I14" s="438">
        <f t="shared" si="0"/>
        <v>3</v>
      </c>
      <c r="J14" s="285" t="s">
        <v>864</v>
      </c>
      <c r="K14" s="691" t="s">
        <v>785</v>
      </c>
      <c r="L14" s="361"/>
    </row>
    <row r="15" spans="1:12" ht="52.5" customHeight="1">
      <c r="A15" s="873"/>
      <c r="B15" s="908"/>
      <c r="C15" s="858"/>
      <c r="D15" s="691" t="s">
        <v>782</v>
      </c>
      <c r="E15" s="285">
        <v>0</v>
      </c>
      <c r="F15" s="285">
        <v>2</v>
      </c>
      <c r="G15" s="285">
        <v>2</v>
      </c>
      <c r="H15" s="285">
        <v>1</v>
      </c>
      <c r="I15" s="438">
        <f>SUM(E15:H15)</f>
        <v>5</v>
      </c>
      <c r="J15" s="285" t="s">
        <v>864</v>
      </c>
      <c r="K15" s="691" t="s">
        <v>786</v>
      </c>
      <c r="L15" s="361"/>
    </row>
    <row r="16" spans="1:12" ht="21.75" customHeight="1">
      <c r="A16" s="873"/>
      <c r="B16" s="893"/>
      <c r="C16" s="894"/>
      <c r="D16" s="894"/>
      <c r="E16" s="894"/>
      <c r="F16" s="894"/>
      <c r="G16" s="894"/>
      <c r="H16" s="894"/>
      <c r="I16" s="894"/>
      <c r="J16" s="894"/>
      <c r="K16" s="895"/>
      <c r="L16" s="362"/>
    </row>
    <row r="17" spans="1:12" ht="78.75" customHeight="1">
      <c r="A17" s="873"/>
      <c r="B17" s="859" t="s">
        <v>788</v>
      </c>
      <c r="C17" s="858" t="s">
        <v>789</v>
      </c>
      <c r="D17" s="691" t="s">
        <v>790</v>
      </c>
      <c r="E17" s="285">
        <v>2</v>
      </c>
      <c r="F17" s="285">
        <v>3</v>
      </c>
      <c r="G17" s="285">
        <v>5</v>
      </c>
      <c r="H17" s="285">
        <v>5</v>
      </c>
      <c r="I17" s="438">
        <f>SUM(E17:H17)</f>
        <v>15</v>
      </c>
      <c r="J17" s="285" t="s">
        <v>864</v>
      </c>
      <c r="K17" s="691" t="s">
        <v>1094</v>
      </c>
      <c r="L17" s="361"/>
    </row>
    <row r="18" spans="1:12" ht="81" customHeight="1">
      <c r="A18" s="873"/>
      <c r="B18" s="859"/>
      <c r="C18" s="858"/>
      <c r="D18" s="691" t="s">
        <v>791</v>
      </c>
      <c r="E18" s="285">
        <v>0</v>
      </c>
      <c r="F18" s="285">
        <v>20</v>
      </c>
      <c r="G18" s="285">
        <v>70</v>
      </c>
      <c r="H18" s="285">
        <v>100</v>
      </c>
      <c r="I18" s="438">
        <v>100</v>
      </c>
      <c r="J18" s="285" t="s">
        <v>798</v>
      </c>
      <c r="K18" s="691" t="s">
        <v>796</v>
      </c>
      <c r="L18" s="361"/>
    </row>
    <row r="19" spans="1:12" ht="64.5" customHeight="1">
      <c r="A19" s="873"/>
      <c r="B19" s="859"/>
      <c r="C19" s="858"/>
      <c r="D19" s="691" t="s">
        <v>1084</v>
      </c>
      <c r="E19" s="285">
        <v>100</v>
      </c>
      <c r="F19" s="285">
        <v>100</v>
      </c>
      <c r="G19" s="285">
        <v>100</v>
      </c>
      <c r="H19" s="285">
        <v>100</v>
      </c>
      <c r="I19" s="438">
        <v>100</v>
      </c>
      <c r="J19" s="285" t="s">
        <v>798</v>
      </c>
      <c r="K19" s="691" t="s">
        <v>797</v>
      </c>
      <c r="L19" s="361"/>
    </row>
    <row r="20" spans="1:12" ht="23.25">
      <c r="A20" s="873"/>
      <c r="B20" s="859"/>
      <c r="C20" s="864"/>
      <c r="D20" s="865"/>
      <c r="E20" s="865"/>
      <c r="F20" s="865"/>
      <c r="G20" s="865"/>
      <c r="H20" s="865"/>
      <c r="I20" s="865"/>
      <c r="J20" s="865"/>
      <c r="K20" s="866"/>
      <c r="L20" s="362"/>
    </row>
    <row r="21" spans="1:12" ht="93">
      <c r="A21" s="873"/>
      <c r="B21" s="859"/>
      <c r="C21" s="860" t="s">
        <v>792</v>
      </c>
      <c r="D21" s="691" t="s">
        <v>793</v>
      </c>
      <c r="E21" s="696">
        <v>20</v>
      </c>
      <c r="F21" s="696">
        <v>80</v>
      </c>
      <c r="G21" s="696">
        <v>100</v>
      </c>
      <c r="H21" s="696">
        <v>0</v>
      </c>
      <c r="I21" s="693">
        <v>100</v>
      </c>
      <c r="J21" s="696" t="s">
        <v>798</v>
      </c>
      <c r="K21" s="695" t="s">
        <v>799</v>
      </c>
      <c r="L21" s="363"/>
    </row>
    <row r="22" spans="1:12" ht="36" customHeight="1">
      <c r="A22" s="873"/>
      <c r="B22" s="859"/>
      <c r="C22" s="860"/>
      <c r="D22" s="691" t="s">
        <v>794</v>
      </c>
      <c r="E22" s="696">
        <v>0</v>
      </c>
      <c r="F22" s="696">
        <v>20</v>
      </c>
      <c r="G22" s="696">
        <v>80</v>
      </c>
      <c r="H22" s="696">
        <v>0</v>
      </c>
      <c r="I22" s="693">
        <v>100</v>
      </c>
      <c r="J22" s="696" t="s">
        <v>798</v>
      </c>
      <c r="K22" s="695" t="s">
        <v>800</v>
      </c>
      <c r="L22" s="363"/>
    </row>
    <row r="23" spans="1:12" ht="47.25" customHeight="1">
      <c r="A23" s="873"/>
      <c r="B23" s="859"/>
      <c r="C23" s="860"/>
      <c r="D23" s="691" t="s">
        <v>795</v>
      </c>
      <c r="E23" s="696">
        <v>0</v>
      </c>
      <c r="F23" s="696">
        <v>0</v>
      </c>
      <c r="G23" s="696">
        <v>0.5</v>
      </c>
      <c r="H23" s="696">
        <v>0.5</v>
      </c>
      <c r="I23" s="693">
        <v>1</v>
      </c>
      <c r="J23" s="696" t="s">
        <v>864</v>
      </c>
      <c r="K23" s="695" t="s">
        <v>801</v>
      </c>
      <c r="L23" s="363"/>
    </row>
    <row r="24" spans="1:12" ht="26.25" customHeight="1">
      <c r="A24" s="873"/>
      <c r="B24" s="859"/>
      <c r="C24" s="870"/>
      <c r="D24" s="871"/>
      <c r="E24" s="871"/>
      <c r="F24" s="871"/>
      <c r="G24" s="871"/>
      <c r="H24" s="871"/>
      <c r="I24" s="871"/>
      <c r="J24" s="871"/>
      <c r="K24" s="872"/>
      <c r="L24" s="363"/>
    </row>
    <row r="25" spans="1:12" ht="71.25" customHeight="1">
      <c r="A25" s="873"/>
      <c r="B25" s="859"/>
      <c r="C25" s="860" t="s">
        <v>802</v>
      </c>
      <c r="D25" s="691" t="s">
        <v>803</v>
      </c>
      <c r="E25" s="707">
        <v>1</v>
      </c>
      <c r="F25" s="707">
        <v>1</v>
      </c>
      <c r="G25" s="707">
        <v>1</v>
      </c>
      <c r="H25" s="707">
        <v>0</v>
      </c>
      <c r="I25" s="726">
        <v>3</v>
      </c>
      <c r="J25" s="381" t="s">
        <v>864</v>
      </c>
      <c r="K25" s="379" t="s">
        <v>853</v>
      </c>
      <c r="L25" s="362"/>
    </row>
    <row r="26" spans="1:12" ht="53.25" customHeight="1">
      <c r="A26" s="873"/>
      <c r="B26" s="859"/>
      <c r="C26" s="860"/>
      <c r="D26" s="699" t="s">
        <v>804</v>
      </c>
      <c r="E26" s="707">
        <v>10</v>
      </c>
      <c r="F26" s="707">
        <v>90</v>
      </c>
      <c r="G26" s="707">
        <v>100</v>
      </c>
      <c r="H26" s="707">
        <v>0</v>
      </c>
      <c r="I26" s="726">
        <v>100</v>
      </c>
      <c r="J26" s="381" t="s">
        <v>1155</v>
      </c>
      <c r="K26" s="692" t="s">
        <v>854</v>
      </c>
      <c r="L26" s="362"/>
    </row>
    <row r="27" spans="1:12" ht="48" customHeight="1">
      <c r="A27" s="873"/>
      <c r="B27" s="859"/>
      <c r="C27" s="860"/>
      <c r="D27" s="879" t="s">
        <v>1085</v>
      </c>
      <c r="E27" s="707">
        <v>0</v>
      </c>
      <c r="F27" s="707">
        <v>1</v>
      </c>
      <c r="G27" s="707">
        <v>2</v>
      </c>
      <c r="H27" s="707">
        <v>2</v>
      </c>
      <c r="I27" s="726">
        <v>5</v>
      </c>
      <c r="J27" s="381" t="s">
        <v>864</v>
      </c>
      <c r="K27" s="692" t="s">
        <v>1086</v>
      </c>
      <c r="L27" s="364"/>
    </row>
    <row r="28" spans="1:12" ht="46.5" customHeight="1">
      <c r="A28" s="873"/>
      <c r="B28" s="859"/>
      <c r="C28" s="860"/>
      <c r="D28" s="879"/>
      <c r="E28" s="707">
        <v>0</v>
      </c>
      <c r="F28" s="707">
        <v>1</v>
      </c>
      <c r="G28" s="707">
        <v>2</v>
      </c>
      <c r="H28" s="707">
        <v>2</v>
      </c>
      <c r="I28" s="726">
        <v>5</v>
      </c>
      <c r="J28" s="381" t="s">
        <v>864</v>
      </c>
      <c r="K28" s="692" t="s">
        <v>1087</v>
      </c>
      <c r="L28" s="364"/>
    </row>
    <row r="29" spans="1:12" ht="25.5" customHeight="1">
      <c r="A29" s="873"/>
      <c r="B29" s="859"/>
      <c r="C29" s="867"/>
      <c r="D29" s="868"/>
      <c r="E29" s="868"/>
      <c r="F29" s="868"/>
      <c r="G29" s="868"/>
      <c r="H29" s="868"/>
      <c r="I29" s="868"/>
      <c r="J29" s="868"/>
      <c r="K29" s="869"/>
      <c r="L29" s="362"/>
    </row>
    <row r="30" spans="1:12" ht="65.25" customHeight="1">
      <c r="A30" s="873"/>
      <c r="B30" s="859"/>
      <c r="C30" s="858" t="s">
        <v>805</v>
      </c>
      <c r="D30" s="892" t="s">
        <v>806</v>
      </c>
      <c r="E30" s="707">
        <v>0</v>
      </c>
      <c r="F30" s="707">
        <v>1</v>
      </c>
      <c r="G30" s="707">
        <v>2</v>
      </c>
      <c r="H30" s="707">
        <v>1</v>
      </c>
      <c r="I30" s="726">
        <f>SUM(E30:H30)</f>
        <v>4</v>
      </c>
      <c r="J30" s="708" t="s">
        <v>864</v>
      </c>
      <c r="K30" s="375" t="s">
        <v>855</v>
      </c>
      <c r="L30" s="362"/>
    </row>
    <row r="31" spans="1:12" ht="74.25" customHeight="1">
      <c r="A31" s="873"/>
      <c r="B31" s="859"/>
      <c r="C31" s="858"/>
      <c r="D31" s="892"/>
      <c r="E31" s="707">
        <v>4</v>
      </c>
      <c r="F31" s="707">
        <v>8</v>
      </c>
      <c r="G31" s="707">
        <v>8</v>
      </c>
      <c r="H31" s="707">
        <v>8</v>
      </c>
      <c r="I31" s="726">
        <v>28</v>
      </c>
      <c r="J31" s="707" t="s">
        <v>864</v>
      </c>
      <c r="K31" s="375" t="s">
        <v>856</v>
      </c>
      <c r="L31" s="362"/>
    </row>
    <row r="32" spans="1:12" ht="50.25" customHeight="1">
      <c r="A32" s="873"/>
      <c r="B32" s="859"/>
      <c r="C32" s="858"/>
      <c r="D32" s="892"/>
      <c r="E32" s="707">
        <v>8</v>
      </c>
      <c r="F32" s="707">
        <v>8</v>
      </c>
      <c r="G32" s="707">
        <v>8</v>
      </c>
      <c r="H32" s="707">
        <v>8</v>
      </c>
      <c r="I32" s="726">
        <v>8</v>
      </c>
      <c r="J32" s="707" t="s">
        <v>1088</v>
      </c>
      <c r="K32" s="703" t="s">
        <v>857</v>
      </c>
      <c r="L32" s="362"/>
    </row>
    <row r="33" spans="1:12" ht="54" customHeight="1">
      <c r="A33" s="873"/>
      <c r="B33" s="859"/>
      <c r="C33" s="858"/>
      <c r="D33" s="892"/>
      <c r="E33" s="707">
        <v>0</v>
      </c>
      <c r="F33" s="707">
        <v>1</v>
      </c>
      <c r="G33" s="707">
        <v>1</v>
      </c>
      <c r="H33" s="707">
        <v>1</v>
      </c>
      <c r="I33" s="726">
        <v>3</v>
      </c>
      <c r="J33" s="707" t="s">
        <v>864</v>
      </c>
      <c r="K33" s="704" t="s">
        <v>858</v>
      </c>
      <c r="L33" s="362"/>
    </row>
    <row r="34" spans="1:12" ht="59.25" customHeight="1">
      <c r="A34" s="873"/>
      <c r="B34" s="859"/>
      <c r="C34" s="858"/>
      <c r="D34" s="892"/>
      <c r="E34" s="707">
        <v>0</v>
      </c>
      <c r="F34" s="707">
        <v>1</v>
      </c>
      <c r="G34" s="707">
        <v>2</v>
      </c>
      <c r="H34" s="707">
        <v>2</v>
      </c>
      <c r="I34" s="726">
        <v>5</v>
      </c>
      <c r="J34" s="707" t="s">
        <v>864</v>
      </c>
      <c r="K34" s="375" t="s">
        <v>859</v>
      </c>
      <c r="L34" s="362"/>
    </row>
    <row r="35" spans="1:12" ht="63" customHeight="1">
      <c r="A35" s="873"/>
      <c r="B35" s="859"/>
      <c r="C35" s="858"/>
      <c r="D35" s="892"/>
      <c r="E35" s="707">
        <v>1</v>
      </c>
      <c r="F35" s="707">
        <v>2</v>
      </c>
      <c r="G35" s="707">
        <v>2</v>
      </c>
      <c r="H35" s="707">
        <v>2</v>
      </c>
      <c r="I35" s="726">
        <v>7</v>
      </c>
      <c r="J35" s="707"/>
      <c r="K35" s="375" t="s">
        <v>860</v>
      </c>
      <c r="L35" s="362"/>
    </row>
    <row r="36" spans="1:12" ht="74.25" customHeight="1">
      <c r="A36" s="873"/>
      <c r="B36" s="859"/>
      <c r="C36" s="858"/>
      <c r="D36" s="892"/>
      <c r="E36" s="707">
        <v>0</v>
      </c>
      <c r="F36" s="707">
        <v>1</v>
      </c>
      <c r="G36" s="707">
        <v>1</v>
      </c>
      <c r="H36" s="707">
        <v>1</v>
      </c>
      <c r="I36" s="726">
        <v>3</v>
      </c>
      <c r="J36" s="707" t="s">
        <v>864</v>
      </c>
      <c r="K36" s="375" t="s">
        <v>861</v>
      </c>
      <c r="L36" s="362"/>
    </row>
    <row r="37" spans="1:12" ht="40.5" customHeight="1">
      <c r="A37" s="873"/>
      <c r="B37" s="859"/>
      <c r="C37" s="858"/>
      <c r="D37" s="879" t="s">
        <v>807</v>
      </c>
      <c r="E37" s="707">
        <v>0</v>
      </c>
      <c r="F37" s="707">
        <v>0</v>
      </c>
      <c r="G37" s="707">
        <v>0.5</v>
      </c>
      <c r="H37" s="707">
        <v>1</v>
      </c>
      <c r="I37" s="726">
        <v>1</v>
      </c>
      <c r="J37" s="707" t="s">
        <v>864</v>
      </c>
      <c r="K37" s="375" t="s">
        <v>862</v>
      </c>
      <c r="L37" s="362"/>
    </row>
    <row r="38" spans="1:12" ht="82.5" customHeight="1">
      <c r="A38" s="873"/>
      <c r="B38" s="859"/>
      <c r="C38" s="858"/>
      <c r="D38" s="879"/>
      <c r="E38" s="696">
        <v>1</v>
      </c>
      <c r="F38" s="696">
        <v>3</v>
      </c>
      <c r="G38" s="696">
        <v>3</v>
      </c>
      <c r="H38" s="696">
        <v>3</v>
      </c>
      <c r="I38" s="693">
        <v>10</v>
      </c>
      <c r="J38" s="707" t="s">
        <v>864</v>
      </c>
      <c r="K38" s="691" t="s">
        <v>863</v>
      </c>
      <c r="L38" s="362"/>
    </row>
    <row r="39" spans="1:12" ht="45.75" customHeight="1">
      <c r="A39" s="873"/>
      <c r="B39" s="859"/>
      <c r="C39" s="858"/>
      <c r="D39" s="879" t="s">
        <v>808</v>
      </c>
      <c r="E39" s="707">
        <v>25</v>
      </c>
      <c r="F39" s="707">
        <v>25</v>
      </c>
      <c r="G39" s="707">
        <v>25</v>
      </c>
      <c r="H39" s="707">
        <v>25</v>
      </c>
      <c r="I39" s="726">
        <v>25</v>
      </c>
      <c r="J39" s="707" t="s">
        <v>864</v>
      </c>
      <c r="K39" s="375" t="s">
        <v>865</v>
      </c>
      <c r="L39" s="362"/>
    </row>
    <row r="40" spans="1:12" ht="69.75" customHeight="1">
      <c r="A40" s="873"/>
      <c r="B40" s="859"/>
      <c r="C40" s="858"/>
      <c r="D40" s="879"/>
      <c r="E40" s="707">
        <v>1</v>
      </c>
      <c r="F40" s="707">
        <v>1</v>
      </c>
      <c r="G40" s="707">
        <v>1</v>
      </c>
      <c r="H40" s="707">
        <v>1</v>
      </c>
      <c r="I40" s="726">
        <v>4</v>
      </c>
      <c r="J40" s="707" t="s">
        <v>864</v>
      </c>
      <c r="K40" s="375" t="s">
        <v>1089</v>
      </c>
      <c r="L40" s="362"/>
    </row>
    <row r="41" spans="1:12" ht="75" customHeight="1">
      <c r="A41" s="873"/>
      <c r="B41" s="859"/>
      <c r="C41" s="858"/>
      <c r="D41" s="879"/>
      <c r="E41" s="707">
        <v>100</v>
      </c>
      <c r="F41" s="707">
        <v>100</v>
      </c>
      <c r="G41" s="707">
        <v>100</v>
      </c>
      <c r="H41" s="707">
        <v>100</v>
      </c>
      <c r="I41" s="726">
        <v>100</v>
      </c>
      <c r="J41" s="707" t="s">
        <v>798</v>
      </c>
      <c r="K41" s="375" t="s">
        <v>651</v>
      </c>
      <c r="L41" s="362"/>
    </row>
    <row r="42" spans="1:12" ht="71.25" customHeight="1">
      <c r="A42" s="873"/>
      <c r="B42" s="859"/>
      <c r="C42" s="858"/>
      <c r="D42" s="691" t="s">
        <v>1090</v>
      </c>
      <c r="E42" s="707">
        <v>0</v>
      </c>
      <c r="F42" s="707">
        <v>0.3</v>
      </c>
      <c r="G42" s="707">
        <v>0.7</v>
      </c>
      <c r="H42" s="707">
        <v>1</v>
      </c>
      <c r="I42" s="726">
        <v>2</v>
      </c>
      <c r="J42" s="373" t="s">
        <v>864</v>
      </c>
      <c r="K42" s="375" t="s">
        <v>866</v>
      </c>
      <c r="L42" s="362"/>
    </row>
    <row r="43" spans="1:12" ht="79.5" customHeight="1">
      <c r="A43" s="873"/>
      <c r="B43" s="859"/>
      <c r="C43" s="858"/>
      <c r="D43" s="691" t="s">
        <v>809</v>
      </c>
      <c r="E43" s="707">
        <v>10</v>
      </c>
      <c r="F43" s="707">
        <v>30</v>
      </c>
      <c r="G43" s="707">
        <v>60</v>
      </c>
      <c r="H43" s="707">
        <v>40</v>
      </c>
      <c r="I43" s="726">
        <v>100</v>
      </c>
      <c r="J43" s="373" t="s">
        <v>798</v>
      </c>
      <c r="K43" s="375" t="s">
        <v>867</v>
      </c>
      <c r="L43" s="362"/>
    </row>
    <row r="44" spans="1:12" ht="80.25" customHeight="1">
      <c r="A44" s="873"/>
      <c r="B44" s="859"/>
      <c r="C44" s="858"/>
      <c r="D44" s="699" t="s">
        <v>810</v>
      </c>
      <c r="E44" s="707">
        <v>1</v>
      </c>
      <c r="F44" s="707">
        <v>1</v>
      </c>
      <c r="G44" s="707">
        <v>1</v>
      </c>
      <c r="H44" s="707">
        <v>1</v>
      </c>
      <c r="I44" s="726">
        <v>1</v>
      </c>
      <c r="J44" s="373" t="s">
        <v>864</v>
      </c>
      <c r="K44" s="375" t="s">
        <v>868</v>
      </c>
      <c r="L44" s="362"/>
    </row>
    <row r="45" spans="1:12" ht="25.5" customHeight="1">
      <c r="A45" s="873"/>
      <c r="B45" s="893"/>
      <c r="C45" s="894"/>
      <c r="D45" s="894"/>
      <c r="E45" s="894"/>
      <c r="F45" s="894"/>
      <c r="G45" s="894"/>
      <c r="H45" s="894"/>
      <c r="I45" s="894"/>
      <c r="J45" s="894"/>
      <c r="K45" s="895"/>
      <c r="L45" s="362"/>
    </row>
    <row r="46" spans="1:12" ht="78" customHeight="1">
      <c r="A46" s="873"/>
      <c r="B46" s="859" t="s">
        <v>811</v>
      </c>
      <c r="C46" s="898" t="s">
        <v>812</v>
      </c>
      <c r="D46" s="691" t="s">
        <v>814</v>
      </c>
      <c r="E46" s="707">
        <v>50</v>
      </c>
      <c r="F46" s="707">
        <v>100</v>
      </c>
      <c r="G46" s="707">
        <v>0</v>
      </c>
      <c r="H46" s="707">
        <v>0</v>
      </c>
      <c r="I46" s="726">
        <v>100</v>
      </c>
      <c r="J46" s="891" t="s">
        <v>798</v>
      </c>
      <c r="K46" s="892" t="s">
        <v>869</v>
      </c>
      <c r="L46" s="362"/>
    </row>
    <row r="47" spans="1:12" ht="55.5" customHeight="1">
      <c r="A47" s="873"/>
      <c r="B47" s="859"/>
      <c r="C47" s="898"/>
      <c r="D47" s="692" t="s">
        <v>815</v>
      </c>
      <c r="E47" s="707">
        <v>0</v>
      </c>
      <c r="F47" s="707">
        <v>100</v>
      </c>
      <c r="G47" s="707">
        <v>0</v>
      </c>
      <c r="H47" s="707">
        <v>0</v>
      </c>
      <c r="I47" s="726">
        <v>100</v>
      </c>
      <c r="J47" s="891"/>
      <c r="K47" s="892"/>
      <c r="L47" s="362"/>
    </row>
    <row r="48" spans="1:12" ht="80.25" customHeight="1">
      <c r="A48" s="873"/>
      <c r="B48" s="859"/>
      <c r="C48" s="898"/>
      <c r="D48" s="379" t="s">
        <v>816</v>
      </c>
      <c r="E48" s="707">
        <v>100</v>
      </c>
      <c r="F48" s="707">
        <v>100</v>
      </c>
      <c r="G48" s="707">
        <v>100</v>
      </c>
      <c r="H48" s="707">
        <v>100</v>
      </c>
      <c r="I48" s="726">
        <v>100</v>
      </c>
      <c r="J48" s="373" t="s">
        <v>798</v>
      </c>
      <c r="K48" s="730" t="s">
        <v>870</v>
      </c>
      <c r="L48" s="362"/>
    </row>
    <row r="49" spans="1:12" ht="75" customHeight="1">
      <c r="A49" s="873"/>
      <c r="B49" s="859"/>
      <c r="C49" s="898"/>
      <c r="D49" s="691" t="s">
        <v>817</v>
      </c>
      <c r="E49" s="707">
        <v>100</v>
      </c>
      <c r="F49" s="707">
        <v>100</v>
      </c>
      <c r="G49" s="707">
        <v>100</v>
      </c>
      <c r="H49" s="707">
        <v>100</v>
      </c>
      <c r="I49" s="726">
        <v>100</v>
      </c>
      <c r="J49" s="373" t="s">
        <v>798</v>
      </c>
      <c r="K49" s="705" t="s">
        <v>871</v>
      </c>
      <c r="L49" s="362"/>
    </row>
    <row r="50" spans="1:12" ht="20.25" customHeight="1">
      <c r="A50" s="873"/>
      <c r="B50" s="859"/>
      <c r="C50" s="870"/>
      <c r="D50" s="871"/>
      <c r="E50" s="871"/>
      <c r="F50" s="871"/>
      <c r="G50" s="871"/>
      <c r="H50" s="871"/>
      <c r="I50" s="871"/>
      <c r="J50" s="871"/>
      <c r="K50" s="872"/>
      <c r="L50" s="362"/>
    </row>
    <row r="51" spans="1:12" ht="101.25" customHeight="1">
      <c r="A51" s="873"/>
      <c r="B51" s="859"/>
      <c r="C51" s="898" t="s">
        <v>813</v>
      </c>
      <c r="D51" s="691" t="s">
        <v>818</v>
      </c>
      <c r="E51" s="707">
        <v>25</v>
      </c>
      <c r="F51" s="707">
        <v>25</v>
      </c>
      <c r="G51" s="707">
        <v>25</v>
      </c>
      <c r="H51" s="707">
        <v>25</v>
      </c>
      <c r="I51" s="726">
        <v>25</v>
      </c>
      <c r="J51" s="373" t="s">
        <v>864</v>
      </c>
      <c r="K51" s="706" t="s">
        <v>872</v>
      </c>
      <c r="L51" s="362"/>
    </row>
    <row r="52" spans="1:12" ht="61.5" customHeight="1">
      <c r="A52" s="873"/>
      <c r="B52" s="859"/>
      <c r="C52" s="898"/>
      <c r="D52" s="691" t="s">
        <v>819</v>
      </c>
      <c r="E52" s="708">
        <v>100</v>
      </c>
      <c r="F52" s="708">
        <v>0</v>
      </c>
      <c r="G52" s="708">
        <v>100</v>
      </c>
      <c r="H52" s="708">
        <v>0</v>
      </c>
      <c r="I52" s="725">
        <v>100</v>
      </c>
      <c r="J52" s="373" t="s">
        <v>798</v>
      </c>
      <c r="K52" s="706" t="s">
        <v>873</v>
      </c>
      <c r="L52" s="362"/>
    </row>
    <row r="53" spans="1:12" ht="63" customHeight="1">
      <c r="A53" s="873"/>
      <c r="B53" s="859"/>
      <c r="C53" s="898"/>
      <c r="D53" s="374" t="s">
        <v>820</v>
      </c>
      <c r="E53" s="708">
        <v>8</v>
      </c>
      <c r="F53" s="708">
        <v>0</v>
      </c>
      <c r="G53" s="708">
        <v>8</v>
      </c>
      <c r="H53" s="708">
        <v>0</v>
      </c>
      <c r="I53" s="725">
        <v>8</v>
      </c>
      <c r="J53" s="378" t="s">
        <v>864</v>
      </c>
      <c r="K53" s="699" t="s">
        <v>874</v>
      </c>
      <c r="L53" s="365"/>
    </row>
    <row r="54" spans="1:12" ht="46.5">
      <c r="A54" s="873"/>
      <c r="B54" s="859"/>
      <c r="C54" s="898"/>
      <c r="D54" s="379" t="s">
        <v>821</v>
      </c>
      <c r="E54" s="708">
        <v>100</v>
      </c>
      <c r="F54" s="708">
        <v>100</v>
      </c>
      <c r="G54" s="708">
        <v>100</v>
      </c>
      <c r="H54" s="708">
        <v>100</v>
      </c>
      <c r="I54" s="725">
        <v>100</v>
      </c>
      <c r="J54" s="378" t="s">
        <v>798</v>
      </c>
      <c r="K54" s="699" t="s">
        <v>875</v>
      </c>
      <c r="L54" s="362"/>
    </row>
    <row r="55" spans="1:12" ht="23.25" customHeight="1">
      <c r="A55" s="873" t="s">
        <v>649</v>
      </c>
      <c r="B55" s="859"/>
      <c r="C55" s="867"/>
      <c r="D55" s="868"/>
      <c r="E55" s="868"/>
      <c r="F55" s="868"/>
      <c r="G55" s="868"/>
      <c r="H55" s="868"/>
      <c r="I55" s="868"/>
      <c r="J55" s="868"/>
      <c r="K55" s="869"/>
      <c r="L55" s="366"/>
    </row>
    <row r="56" spans="1:12" ht="110.25" customHeight="1">
      <c r="A56" s="873"/>
      <c r="B56" s="859"/>
      <c r="C56" s="858" t="s">
        <v>822</v>
      </c>
      <c r="D56" s="691" t="s">
        <v>1187</v>
      </c>
      <c r="E56" s="708">
        <v>0</v>
      </c>
      <c r="F56" s="708">
        <v>1</v>
      </c>
      <c r="G56" s="708">
        <v>0</v>
      </c>
      <c r="H56" s="708">
        <v>1</v>
      </c>
      <c r="I56" s="725">
        <v>1</v>
      </c>
      <c r="J56" s="285" t="s">
        <v>864</v>
      </c>
      <c r="K56" s="706" t="s">
        <v>876</v>
      </c>
      <c r="L56" s="366"/>
    </row>
    <row r="57" spans="1:12" ht="69.75">
      <c r="A57" s="873"/>
      <c r="B57" s="859"/>
      <c r="C57" s="858"/>
      <c r="D57" s="691" t="s">
        <v>823</v>
      </c>
      <c r="E57" s="708">
        <v>0</v>
      </c>
      <c r="F57" s="708">
        <v>0</v>
      </c>
      <c r="G57" s="708">
        <v>1</v>
      </c>
      <c r="H57" s="708">
        <v>0</v>
      </c>
      <c r="I57" s="725">
        <v>1</v>
      </c>
      <c r="J57" s="285" t="s">
        <v>864</v>
      </c>
      <c r="K57" s="706" t="s">
        <v>877</v>
      </c>
      <c r="L57" s="366"/>
    </row>
    <row r="58" spans="1:12" ht="23.25" customHeight="1">
      <c r="A58" s="873"/>
      <c r="B58" s="893"/>
      <c r="C58" s="894"/>
      <c r="D58" s="894"/>
      <c r="E58" s="894"/>
      <c r="F58" s="894"/>
      <c r="G58" s="894"/>
      <c r="H58" s="894"/>
      <c r="I58" s="894"/>
      <c r="J58" s="894"/>
      <c r="K58" s="895"/>
      <c r="L58" s="366"/>
    </row>
    <row r="59" spans="1:12" ht="74.25" customHeight="1">
      <c r="A59" s="873"/>
      <c r="B59" s="859" t="s">
        <v>1091</v>
      </c>
      <c r="C59" s="858" t="s">
        <v>824</v>
      </c>
      <c r="D59" s="691" t="s">
        <v>825</v>
      </c>
      <c r="E59" s="708">
        <v>100</v>
      </c>
      <c r="F59" s="708">
        <v>100</v>
      </c>
      <c r="G59" s="708">
        <v>100</v>
      </c>
      <c r="H59" s="708">
        <v>100</v>
      </c>
      <c r="I59" s="725">
        <v>100</v>
      </c>
      <c r="J59" s="285" t="s">
        <v>798</v>
      </c>
      <c r="K59" s="375" t="s">
        <v>1083</v>
      </c>
      <c r="L59" s="366"/>
    </row>
    <row r="60" spans="1:12" ht="69.75">
      <c r="A60" s="873"/>
      <c r="B60" s="859"/>
      <c r="C60" s="858"/>
      <c r="D60" s="691" t="s">
        <v>826</v>
      </c>
      <c r="E60" s="708">
        <v>100</v>
      </c>
      <c r="F60" s="708">
        <v>100</v>
      </c>
      <c r="G60" s="708">
        <v>100</v>
      </c>
      <c r="H60" s="708">
        <v>100</v>
      </c>
      <c r="I60" s="725">
        <v>100</v>
      </c>
      <c r="J60" s="694" t="s">
        <v>798</v>
      </c>
      <c r="K60" s="375" t="s">
        <v>878</v>
      </c>
      <c r="L60" s="366"/>
    </row>
    <row r="61" spans="1:12" ht="69.75">
      <c r="A61" s="873"/>
      <c r="B61" s="859"/>
      <c r="C61" s="858"/>
      <c r="D61" s="691" t="s">
        <v>827</v>
      </c>
      <c r="E61" s="708">
        <v>0</v>
      </c>
      <c r="F61" s="708">
        <v>1</v>
      </c>
      <c r="G61" s="708">
        <v>0</v>
      </c>
      <c r="H61" s="708">
        <v>0</v>
      </c>
      <c r="I61" s="725">
        <v>1</v>
      </c>
      <c r="J61" s="285" t="s">
        <v>864</v>
      </c>
      <c r="K61" s="375" t="s">
        <v>1186</v>
      </c>
      <c r="L61" s="366"/>
    </row>
    <row r="62" spans="1:12" ht="23.25">
      <c r="A62" s="873"/>
      <c r="B62" s="859"/>
      <c r="C62" s="867"/>
      <c r="D62" s="868"/>
      <c r="E62" s="868"/>
      <c r="F62" s="868"/>
      <c r="G62" s="868"/>
      <c r="H62" s="868"/>
      <c r="I62" s="868"/>
      <c r="J62" s="868"/>
      <c r="K62" s="869"/>
      <c r="L62" s="366"/>
    </row>
    <row r="63" spans="1:12" ht="103.5" customHeight="1">
      <c r="A63" s="873"/>
      <c r="B63" s="859"/>
      <c r="C63" s="858" t="s">
        <v>828</v>
      </c>
      <c r="D63" s="375" t="s">
        <v>829</v>
      </c>
      <c r="E63" s="708">
        <v>2</v>
      </c>
      <c r="F63" s="708">
        <v>2</v>
      </c>
      <c r="G63" s="708">
        <v>2</v>
      </c>
      <c r="H63" s="708">
        <v>2</v>
      </c>
      <c r="I63" s="725">
        <v>8</v>
      </c>
      <c r="J63" s="378" t="s">
        <v>864</v>
      </c>
      <c r="K63" s="698" t="s">
        <v>879</v>
      </c>
      <c r="L63" s="366"/>
    </row>
    <row r="64" spans="1:12" ht="61.5" customHeight="1">
      <c r="A64" s="873"/>
      <c r="B64" s="859"/>
      <c r="C64" s="858"/>
      <c r="D64" s="375" t="s">
        <v>830</v>
      </c>
      <c r="E64" s="708">
        <v>0</v>
      </c>
      <c r="F64" s="708">
        <v>2</v>
      </c>
      <c r="G64" s="708">
        <v>2</v>
      </c>
      <c r="H64" s="708">
        <v>1</v>
      </c>
      <c r="I64" s="725">
        <v>5</v>
      </c>
      <c r="J64" s="378" t="s">
        <v>864</v>
      </c>
      <c r="K64" s="698" t="s">
        <v>880</v>
      </c>
      <c r="L64" s="366"/>
    </row>
    <row r="65" spans="1:12" ht="64.5" customHeight="1">
      <c r="A65" s="873"/>
      <c r="B65" s="859"/>
      <c r="C65" s="858"/>
      <c r="D65" s="375" t="s">
        <v>831</v>
      </c>
      <c r="E65" s="708">
        <v>100</v>
      </c>
      <c r="F65" s="708">
        <v>100</v>
      </c>
      <c r="G65" s="708">
        <v>100</v>
      </c>
      <c r="H65" s="708">
        <v>100</v>
      </c>
      <c r="I65" s="725">
        <v>100</v>
      </c>
      <c r="J65" s="378" t="s">
        <v>798</v>
      </c>
      <c r="K65" s="375" t="s">
        <v>881</v>
      </c>
      <c r="L65" s="366"/>
    </row>
    <row r="66" spans="1:12" ht="39" customHeight="1">
      <c r="A66" s="873"/>
      <c r="B66" s="859"/>
      <c r="C66" s="858"/>
      <c r="D66" s="892" t="s">
        <v>832</v>
      </c>
      <c r="E66" s="708">
        <v>25</v>
      </c>
      <c r="F66" s="708">
        <v>25</v>
      </c>
      <c r="G66" s="708">
        <v>25</v>
      </c>
      <c r="H66" s="708">
        <v>25</v>
      </c>
      <c r="I66" s="725">
        <v>25</v>
      </c>
      <c r="J66" s="378" t="s">
        <v>864</v>
      </c>
      <c r="K66" s="375" t="s">
        <v>882</v>
      </c>
      <c r="L66" s="366"/>
    </row>
    <row r="67" spans="1:12" ht="43.5" customHeight="1">
      <c r="A67" s="873"/>
      <c r="B67" s="859"/>
      <c r="C67" s="858"/>
      <c r="D67" s="892"/>
      <c r="E67" s="708">
        <v>0</v>
      </c>
      <c r="F67" s="708">
        <v>100</v>
      </c>
      <c r="G67" s="708">
        <v>100</v>
      </c>
      <c r="H67" s="708">
        <v>100</v>
      </c>
      <c r="I67" s="725">
        <v>100</v>
      </c>
      <c r="J67" s="378" t="s">
        <v>798</v>
      </c>
      <c r="K67" s="375" t="s">
        <v>883</v>
      </c>
      <c r="L67" s="362"/>
    </row>
    <row r="68" spans="1:12" ht="61.5" customHeight="1">
      <c r="A68" s="873" t="s">
        <v>649</v>
      </c>
      <c r="B68" s="859"/>
      <c r="C68" s="858"/>
      <c r="D68" s="691" t="s">
        <v>833</v>
      </c>
      <c r="E68" s="708">
        <v>0</v>
      </c>
      <c r="F68" s="708">
        <v>1</v>
      </c>
      <c r="G68" s="708">
        <v>1</v>
      </c>
      <c r="H68" s="708">
        <v>1</v>
      </c>
      <c r="I68" s="725">
        <v>3</v>
      </c>
      <c r="J68" s="378" t="s">
        <v>864</v>
      </c>
      <c r="K68" s="375" t="s">
        <v>880</v>
      </c>
      <c r="L68" s="366"/>
    </row>
    <row r="69" spans="1:12" ht="46.5">
      <c r="A69" s="873"/>
      <c r="B69" s="859"/>
      <c r="C69" s="858"/>
      <c r="D69" s="691" t="s">
        <v>834</v>
      </c>
      <c r="E69" s="708">
        <v>1</v>
      </c>
      <c r="F69" s="708">
        <v>1</v>
      </c>
      <c r="G69" s="708">
        <v>1</v>
      </c>
      <c r="H69" s="708">
        <v>1</v>
      </c>
      <c r="I69" s="725">
        <v>4</v>
      </c>
      <c r="J69" s="378" t="s">
        <v>864</v>
      </c>
      <c r="K69" s="375" t="s">
        <v>880</v>
      </c>
      <c r="L69" s="366"/>
    </row>
    <row r="70" spans="1:12" ht="23.25">
      <c r="A70" s="873"/>
      <c r="B70" s="859"/>
      <c r="C70" s="867"/>
      <c r="D70" s="868"/>
      <c r="E70" s="868"/>
      <c r="F70" s="868"/>
      <c r="G70" s="868"/>
      <c r="H70" s="868"/>
      <c r="I70" s="868"/>
      <c r="J70" s="868"/>
      <c r="K70" s="869"/>
      <c r="L70" s="366"/>
    </row>
    <row r="71" spans="1:12" ht="56.25" customHeight="1">
      <c r="A71" s="873"/>
      <c r="B71" s="859"/>
      <c r="C71" s="888" t="s">
        <v>835</v>
      </c>
      <c r="D71" s="691" t="s">
        <v>836</v>
      </c>
      <c r="E71" s="708">
        <v>0</v>
      </c>
      <c r="F71" s="708">
        <v>1</v>
      </c>
      <c r="G71" s="708">
        <v>1</v>
      </c>
      <c r="H71" s="708">
        <v>1</v>
      </c>
      <c r="I71" s="725">
        <v>3</v>
      </c>
      <c r="J71" s="378" t="s">
        <v>864</v>
      </c>
      <c r="K71" s="375" t="s">
        <v>884</v>
      </c>
      <c r="L71" s="366"/>
    </row>
    <row r="72" spans="1:12" ht="52.5" customHeight="1">
      <c r="A72" s="873"/>
      <c r="B72" s="859"/>
      <c r="C72" s="888"/>
      <c r="D72" s="691" t="s">
        <v>837</v>
      </c>
      <c r="E72" s="708">
        <v>0</v>
      </c>
      <c r="F72" s="708">
        <v>1</v>
      </c>
      <c r="G72" s="708">
        <v>1</v>
      </c>
      <c r="H72" s="708">
        <v>1</v>
      </c>
      <c r="I72" s="725">
        <v>3</v>
      </c>
      <c r="J72" s="378" t="s">
        <v>864</v>
      </c>
      <c r="K72" s="375" t="s">
        <v>885</v>
      </c>
      <c r="L72" s="366"/>
    </row>
    <row r="73" spans="1:12" ht="54" customHeight="1">
      <c r="A73" s="873"/>
      <c r="B73" s="859"/>
      <c r="C73" s="888"/>
      <c r="D73" s="705" t="s">
        <v>838</v>
      </c>
      <c r="E73" s="708">
        <v>0</v>
      </c>
      <c r="F73" s="708">
        <v>0</v>
      </c>
      <c r="G73" s="708">
        <v>100</v>
      </c>
      <c r="H73" s="708">
        <v>0</v>
      </c>
      <c r="I73" s="725">
        <v>100</v>
      </c>
      <c r="J73" s="708" t="s">
        <v>798</v>
      </c>
      <c r="K73" s="375" t="s">
        <v>886</v>
      </c>
      <c r="L73" s="362"/>
    </row>
    <row r="74" spans="1:12" ht="48.75" customHeight="1">
      <c r="A74" s="873" t="s">
        <v>649</v>
      </c>
      <c r="B74" s="859"/>
      <c r="C74" s="888"/>
      <c r="D74" s="697" t="s">
        <v>839</v>
      </c>
      <c r="E74" s="285">
        <v>100</v>
      </c>
      <c r="F74" s="285">
        <v>100</v>
      </c>
      <c r="G74" s="285">
        <v>100</v>
      </c>
      <c r="H74" s="285">
        <v>100</v>
      </c>
      <c r="I74" s="438">
        <v>100</v>
      </c>
      <c r="J74" s="727" t="s">
        <v>798</v>
      </c>
      <c r="K74" s="692" t="s">
        <v>887</v>
      </c>
      <c r="L74" s="366"/>
    </row>
    <row r="75" spans="1:12" ht="54.75" customHeight="1">
      <c r="A75" s="873"/>
      <c r="B75" s="859"/>
      <c r="C75" s="888"/>
      <c r="D75" s="691" t="s">
        <v>840</v>
      </c>
      <c r="E75" s="285">
        <v>20</v>
      </c>
      <c r="F75" s="285">
        <v>80</v>
      </c>
      <c r="G75" s="285">
        <v>0</v>
      </c>
      <c r="H75" s="285">
        <v>0</v>
      </c>
      <c r="I75" s="438">
        <v>100</v>
      </c>
      <c r="J75" s="727" t="s">
        <v>798</v>
      </c>
      <c r="K75" s="692" t="s">
        <v>888</v>
      </c>
      <c r="L75" s="366"/>
    </row>
    <row r="76" spans="1:12" ht="23.25">
      <c r="A76" s="873"/>
      <c r="B76" s="859"/>
      <c r="C76" s="864"/>
      <c r="D76" s="865"/>
      <c r="E76" s="865"/>
      <c r="F76" s="865"/>
      <c r="G76" s="865"/>
      <c r="H76" s="865"/>
      <c r="I76" s="865"/>
      <c r="J76" s="865"/>
      <c r="K76" s="866"/>
      <c r="L76" s="366"/>
    </row>
    <row r="77" spans="1:12" ht="96.75" customHeight="1">
      <c r="A77" s="873"/>
      <c r="B77" s="859"/>
      <c r="C77" s="889" t="s">
        <v>841</v>
      </c>
      <c r="D77" s="691" t="s">
        <v>842</v>
      </c>
      <c r="E77" s="707">
        <v>1</v>
      </c>
      <c r="F77" s="707">
        <v>2</v>
      </c>
      <c r="G77" s="707">
        <v>2</v>
      </c>
      <c r="H77" s="707">
        <v>1</v>
      </c>
      <c r="I77" s="726">
        <v>6</v>
      </c>
      <c r="J77" s="707" t="s">
        <v>864</v>
      </c>
      <c r="K77" s="375" t="s">
        <v>889</v>
      </c>
      <c r="L77" s="366"/>
    </row>
    <row r="78" spans="1:12" ht="59.25" customHeight="1">
      <c r="A78" s="873"/>
      <c r="B78" s="859"/>
      <c r="C78" s="889"/>
      <c r="D78" s="691" t="s">
        <v>843</v>
      </c>
      <c r="E78" s="707">
        <v>1</v>
      </c>
      <c r="F78" s="707">
        <v>1</v>
      </c>
      <c r="G78" s="707">
        <v>1</v>
      </c>
      <c r="H78" s="707">
        <v>0</v>
      </c>
      <c r="I78" s="726">
        <v>3</v>
      </c>
      <c r="J78" s="707" t="s">
        <v>864</v>
      </c>
      <c r="K78" s="375" t="s">
        <v>890</v>
      </c>
      <c r="L78" s="366"/>
    </row>
    <row r="79" spans="1:12" ht="69.75">
      <c r="A79" s="873"/>
      <c r="B79" s="859"/>
      <c r="C79" s="889"/>
      <c r="D79" s="691" t="s">
        <v>844</v>
      </c>
      <c r="E79" s="707">
        <v>0</v>
      </c>
      <c r="F79" s="707">
        <v>1</v>
      </c>
      <c r="G79" s="707">
        <v>0</v>
      </c>
      <c r="H79" s="707">
        <v>0</v>
      </c>
      <c r="I79" s="726">
        <v>1</v>
      </c>
      <c r="J79" s="707" t="s">
        <v>864</v>
      </c>
      <c r="K79" s="375" t="s">
        <v>891</v>
      </c>
      <c r="L79" s="366"/>
    </row>
    <row r="80" spans="1:12" ht="54" customHeight="1">
      <c r="A80" s="873"/>
      <c r="B80" s="859"/>
      <c r="C80" s="889"/>
      <c r="D80" s="691" t="s">
        <v>845</v>
      </c>
      <c r="E80" s="707">
        <v>100</v>
      </c>
      <c r="F80" s="707">
        <v>100</v>
      </c>
      <c r="G80" s="707">
        <v>100</v>
      </c>
      <c r="H80" s="707">
        <v>100</v>
      </c>
      <c r="I80" s="726">
        <v>100</v>
      </c>
      <c r="J80" s="707" t="s">
        <v>798</v>
      </c>
      <c r="K80" s="375" t="s">
        <v>892</v>
      </c>
      <c r="L80" s="366"/>
    </row>
    <row r="81" spans="1:12" ht="81.75" customHeight="1">
      <c r="A81" s="873"/>
      <c r="B81" s="859"/>
      <c r="C81" s="889"/>
      <c r="D81" s="691" t="s">
        <v>846</v>
      </c>
      <c r="E81" s="708">
        <v>1</v>
      </c>
      <c r="F81" s="708">
        <v>1</v>
      </c>
      <c r="G81" s="708">
        <v>1</v>
      </c>
      <c r="H81" s="708">
        <v>1</v>
      </c>
      <c r="I81" s="725">
        <v>4</v>
      </c>
      <c r="J81" s="707" t="s">
        <v>864</v>
      </c>
      <c r="K81" s="375" t="s">
        <v>893</v>
      </c>
      <c r="L81" s="366"/>
    </row>
    <row r="82" spans="1:12" ht="23.25" customHeight="1">
      <c r="A82" s="873"/>
      <c r="B82" s="859"/>
      <c r="C82" s="861"/>
      <c r="D82" s="862"/>
      <c r="E82" s="862"/>
      <c r="F82" s="862"/>
      <c r="G82" s="862"/>
      <c r="H82" s="862"/>
      <c r="I82" s="862"/>
      <c r="J82" s="862"/>
      <c r="K82" s="863"/>
      <c r="L82" s="366"/>
    </row>
    <row r="83" spans="1:12" ht="65.25" customHeight="1">
      <c r="A83" s="873"/>
      <c r="B83" s="859"/>
      <c r="C83" s="890" t="s">
        <v>847</v>
      </c>
      <c r="D83" s="736" t="s">
        <v>894</v>
      </c>
      <c r="E83" s="708">
        <v>1</v>
      </c>
      <c r="F83" s="708">
        <v>0</v>
      </c>
      <c r="G83" s="708">
        <v>0</v>
      </c>
      <c r="H83" s="708">
        <v>0</v>
      </c>
      <c r="I83" s="725">
        <v>1</v>
      </c>
      <c r="J83" s="707" t="s">
        <v>864</v>
      </c>
      <c r="K83" s="699" t="s">
        <v>896</v>
      </c>
      <c r="L83" s="366"/>
    </row>
    <row r="84" spans="1:12" ht="84.75" customHeight="1">
      <c r="A84" s="873"/>
      <c r="B84" s="859"/>
      <c r="C84" s="890"/>
      <c r="D84" s="736" t="s">
        <v>895</v>
      </c>
      <c r="E84" s="708">
        <v>25</v>
      </c>
      <c r="F84" s="708">
        <v>75</v>
      </c>
      <c r="G84" s="708">
        <v>100</v>
      </c>
      <c r="H84" s="708">
        <v>100</v>
      </c>
      <c r="I84" s="725">
        <v>100</v>
      </c>
      <c r="J84" s="707" t="s">
        <v>798</v>
      </c>
      <c r="K84" s="699" t="s">
        <v>897</v>
      </c>
      <c r="L84" s="366"/>
    </row>
    <row r="85" spans="1:12" ht="98.25" customHeight="1">
      <c r="A85" s="873"/>
      <c r="B85" s="859"/>
      <c r="C85" s="890"/>
      <c r="D85" s="699" t="s">
        <v>848</v>
      </c>
      <c r="E85" s="708">
        <v>1</v>
      </c>
      <c r="F85" s="708">
        <v>1</v>
      </c>
      <c r="G85" s="708">
        <v>1</v>
      </c>
      <c r="H85" s="708">
        <v>1</v>
      </c>
      <c r="I85" s="725">
        <v>1</v>
      </c>
      <c r="J85" s="707" t="s">
        <v>864</v>
      </c>
      <c r="K85" s="699" t="s">
        <v>898</v>
      </c>
      <c r="L85" s="366"/>
    </row>
    <row r="86" spans="1:12" ht="56.25" customHeight="1">
      <c r="A86" s="873"/>
      <c r="B86" s="859"/>
      <c r="C86" s="890"/>
      <c r="D86" s="879" t="s">
        <v>849</v>
      </c>
      <c r="E86" s="708">
        <v>0</v>
      </c>
      <c r="F86" s="708">
        <v>10</v>
      </c>
      <c r="G86" s="708">
        <v>50</v>
      </c>
      <c r="H86" s="708">
        <v>100</v>
      </c>
      <c r="I86" s="725">
        <v>100</v>
      </c>
      <c r="J86" s="707" t="s">
        <v>798</v>
      </c>
      <c r="K86" s="699" t="s">
        <v>899</v>
      </c>
      <c r="L86" s="366"/>
    </row>
    <row r="87" spans="1:12" ht="52.5" customHeight="1">
      <c r="A87" s="873"/>
      <c r="B87" s="859"/>
      <c r="C87" s="890"/>
      <c r="D87" s="879"/>
      <c r="E87" s="708">
        <v>0</v>
      </c>
      <c r="F87" s="708">
        <v>1</v>
      </c>
      <c r="G87" s="708">
        <v>1</v>
      </c>
      <c r="H87" s="708">
        <v>1</v>
      </c>
      <c r="I87" s="725">
        <v>1</v>
      </c>
      <c r="J87" s="707" t="s">
        <v>864</v>
      </c>
      <c r="K87" s="699" t="s">
        <v>900</v>
      </c>
      <c r="L87" s="366"/>
    </row>
    <row r="88" spans="1:12" ht="51" customHeight="1">
      <c r="A88" s="873"/>
      <c r="B88" s="859"/>
      <c r="C88" s="890"/>
      <c r="D88" s="879" t="s">
        <v>850</v>
      </c>
      <c r="E88" s="708">
        <v>0</v>
      </c>
      <c r="F88" s="708">
        <v>1</v>
      </c>
      <c r="G88" s="708">
        <v>0</v>
      </c>
      <c r="H88" s="708">
        <v>0</v>
      </c>
      <c r="I88" s="725">
        <v>1</v>
      </c>
      <c r="J88" s="707" t="s">
        <v>864</v>
      </c>
      <c r="K88" s="699" t="s">
        <v>663</v>
      </c>
      <c r="L88" s="366"/>
    </row>
    <row r="89" spans="1:12" ht="48.75" customHeight="1">
      <c r="A89" s="873"/>
      <c r="B89" s="859"/>
      <c r="C89" s="890"/>
      <c r="D89" s="879"/>
      <c r="E89" s="708">
        <v>10</v>
      </c>
      <c r="F89" s="708">
        <v>30</v>
      </c>
      <c r="G89" s="708">
        <v>50</v>
      </c>
      <c r="H89" s="708">
        <v>70</v>
      </c>
      <c r="I89" s="725">
        <v>70</v>
      </c>
      <c r="J89" s="707" t="s">
        <v>798</v>
      </c>
      <c r="K89" s="699" t="s">
        <v>901</v>
      </c>
      <c r="L89" s="366"/>
    </row>
    <row r="90" spans="1:12" ht="55.5" customHeight="1">
      <c r="A90" s="873"/>
      <c r="B90" s="859"/>
      <c r="C90" s="890"/>
      <c r="D90" s="692" t="s">
        <v>851</v>
      </c>
      <c r="E90" s="708">
        <v>100</v>
      </c>
      <c r="F90" s="708">
        <v>100</v>
      </c>
      <c r="G90" s="708">
        <v>100</v>
      </c>
      <c r="H90" s="708">
        <v>100</v>
      </c>
      <c r="I90" s="725">
        <v>100</v>
      </c>
      <c r="J90" s="707" t="s">
        <v>798</v>
      </c>
      <c r="K90" s="699" t="s">
        <v>902</v>
      </c>
      <c r="L90" s="366"/>
    </row>
    <row r="91" spans="1:12" ht="69.75">
      <c r="A91" s="873"/>
      <c r="B91" s="859"/>
      <c r="C91" s="890"/>
      <c r="D91" s="692" t="s">
        <v>852</v>
      </c>
      <c r="E91" s="708">
        <v>1</v>
      </c>
      <c r="F91" s="708">
        <v>1</v>
      </c>
      <c r="G91" s="708">
        <v>1</v>
      </c>
      <c r="H91" s="708">
        <v>1</v>
      </c>
      <c r="I91" s="708">
        <v>4</v>
      </c>
      <c r="J91" s="707" t="s">
        <v>864</v>
      </c>
      <c r="K91" s="699" t="s">
        <v>903</v>
      </c>
      <c r="L91" s="366"/>
    </row>
    <row r="92" spans="1:12" ht="23.25" customHeight="1">
      <c r="A92" s="873"/>
      <c r="B92" s="917"/>
      <c r="C92" s="917"/>
      <c r="D92" s="917"/>
      <c r="E92" s="917"/>
      <c r="F92" s="917"/>
      <c r="G92" s="917"/>
      <c r="H92" s="917"/>
      <c r="I92" s="917"/>
      <c r="J92" s="917"/>
      <c r="K92" s="917"/>
      <c r="L92" s="366"/>
    </row>
    <row r="93" spans="1:12" ht="85.5" customHeight="1">
      <c r="A93" s="914" t="s">
        <v>649</v>
      </c>
      <c r="B93" s="859" t="s">
        <v>904</v>
      </c>
      <c r="C93" s="858" t="s">
        <v>905</v>
      </c>
      <c r="D93" s="713" t="s">
        <v>906</v>
      </c>
      <c r="E93" s="715">
        <v>1</v>
      </c>
      <c r="F93" s="715">
        <v>1</v>
      </c>
      <c r="G93" s="715">
        <v>1</v>
      </c>
      <c r="H93" s="715">
        <v>1</v>
      </c>
      <c r="I93" s="716">
        <v>4</v>
      </c>
      <c r="J93" s="717" t="s">
        <v>864</v>
      </c>
      <c r="K93" s="711" t="s">
        <v>911</v>
      </c>
      <c r="L93" s="367"/>
    </row>
    <row r="94" spans="1:12" ht="60" customHeight="1">
      <c r="A94" s="915"/>
      <c r="B94" s="859"/>
      <c r="C94" s="858"/>
      <c r="D94" s="884" t="s">
        <v>907</v>
      </c>
      <c r="E94" s="715">
        <v>5</v>
      </c>
      <c r="F94" s="715">
        <v>10</v>
      </c>
      <c r="G94" s="715">
        <v>25</v>
      </c>
      <c r="H94" s="715">
        <v>20</v>
      </c>
      <c r="I94" s="716">
        <v>60</v>
      </c>
      <c r="J94" s="717" t="s">
        <v>918</v>
      </c>
      <c r="K94" s="711" t="s">
        <v>912</v>
      </c>
      <c r="L94" s="367"/>
    </row>
    <row r="95" spans="1:12" ht="48.75" customHeight="1">
      <c r="A95" s="915"/>
      <c r="B95" s="859"/>
      <c r="C95" s="858"/>
      <c r="D95" s="884"/>
      <c r="E95" s="715">
        <v>1</v>
      </c>
      <c r="F95" s="715">
        <v>2</v>
      </c>
      <c r="G95" s="715">
        <v>2</v>
      </c>
      <c r="H95" s="715">
        <v>2</v>
      </c>
      <c r="I95" s="716">
        <v>7</v>
      </c>
      <c r="J95" s="717" t="s">
        <v>864</v>
      </c>
      <c r="K95" s="711" t="s">
        <v>913</v>
      </c>
      <c r="L95" s="367"/>
    </row>
    <row r="96" spans="1:12" ht="95.25" customHeight="1">
      <c r="A96" s="915"/>
      <c r="B96" s="859"/>
      <c r="C96" s="858"/>
      <c r="D96" s="713" t="s">
        <v>908</v>
      </c>
      <c r="E96" s="715">
        <v>0</v>
      </c>
      <c r="F96" s="715">
        <v>1</v>
      </c>
      <c r="G96" s="715">
        <v>0</v>
      </c>
      <c r="H96" s="715">
        <v>0</v>
      </c>
      <c r="I96" s="716">
        <v>1</v>
      </c>
      <c r="J96" s="717" t="s">
        <v>864</v>
      </c>
      <c r="K96" s="712" t="s">
        <v>914</v>
      </c>
      <c r="L96" s="367"/>
    </row>
    <row r="97" spans="1:12" ht="57" customHeight="1">
      <c r="A97" s="915"/>
      <c r="B97" s="859"/>
      <c r="C97" s="858"/>
      <c r="D97" s="713" t="s">
        <v>909</v>
      </c>
      <c r="E97" s="715">
        <v>0</v>
      </c>
      <c r="F97" s="715">
        <v>1</v>
      </c>
      <c r="G97" s="715">
        <v>1</v>
      </c>
      <c r="H97" s="715">
        <v>1</v>
      </c>
      <c r="I97" s="716">
        <v>1</v>
      </c>
      <c r="J97" s="717" t="s">
        <v>864</v>
      </c>
      <c r="K97" s="712" t="s">
        <v>915</v>
      </c>
      <c r="L97" s="366"/>
    </row>
    <row r="98" spans="1:12" ht="84.75" customHeight="1">
      <c r="A98" s="915"/>
      <c r="B98" s="859"/>
      <c r="C98" s="858"/>
      <c r="D98" s="884" t="s">
        <v>910</v>
      </c>
      <c r="E98" s="715">
        <v>11</v>
      </c>
      <c r="F98" s="715">
        <v>25</v>
      </c>
      <c r="G98" s="715">
        <v>11</v>
      </c>
      <c r="H98" s="715">
        <v>12</v>
      </c>
      <c r="I98" s="716">
        <v>59</v>
      </c>
      <c r="J98" s="717" t="s">
        <v>864</v>
      </c>
      <c r="K98" s="711" t="s">
        <v>916</v>
      </c>
      <c r="L98" s="366"/>
    </row>
    <row r="99" spans="1:12" ht="46.5" customHeight="1">
      <c r="A99" s="915"/>
      <c r="B99" s="859"/>
      <c r="C99" s="858"/>
      <c r="D99" s="884"/>
      <c r="E99" s="715">
        <v>1</v>
      </c>
      <c r="F99" s="715">
        <v>1</v>
      </c>
      <c r="G99" s="715">
        <v>1</v>
      </c>
      <c r="H99" s="715">
        <v>1</v>
      </c>
      <c r="I99" s="716">
        <v>4</v>
      </c>
      <c r="J99" s="717" t="s">
        <v>864</v>
      </c>
      <c r="K99" s="711" t="s">
        <v>917</v>
      </c>
      <c r="L99" s="366"/>
    </row>
    <row r="100" spans="1:12" ht="24.75" customHeight="1">
      <c r="A100" s="915"/>
      <c r="B100" s="859"/>
      <c r="C100" s="867"/>
      <c r="D100" s="868"/>
      <c r="E100" s="868"/>
      <c r="F100" s="868"/>
      <c r="G100" s="868"/>
      <c r="H100" s="868"/>
      <c r="I100" s="868"/>
      <c r="J100" s="868"/>
      <c r="K100" s="869"/>
      <c r="L100" s="366"/>
    </row>
    <row r="101" spans="1:12" ht="46.5" customHeight="1">
      <c r="A101" s="915"/>
      <c r="B101" s="859"/>
      <c r="C101" s="858" t="s">
        <v>919</v>
      </c>
      <c r="D101" s="713" t="s">
        <v>920</v>
      </c>
      <c r="E101" s="715">
        <v>100</v>
      </c>
      <c r="F101" s="715">
        <v>100</v>
      </c>
      <c r="G101" s="715">
        <v>100</v>
      </c>
      <c r="H101" s="715">
        <v>100</v>
      </c>
      <c r="I101" s="716">
        <v>100</v>
      </c>
      <c r="J101" s="717" t="s">
        <v>798</v>
      </c>
      <c r="K101" s="711" t="s">
        <v>926</v>
      </c>
      <c r="L101" s="367"/>
    </row>
    <row r="102" spans="1:12" ht="52.5" customHeight="1">
      <c r="A102" s="915"/>
      <c r="B102" s="859"/>
      <c r="C102" s="858"/>
      <c r="D102" s="884" t="s">
        <v>921</v>
      </c>
      <c r="E102" s="715">
        <v>1</v>
      </c>
      <c r="F102" s="715">
        <v>0</v>
      </c>
      <c r="G102" s="715">
        <v>0</v>
      </c>
      <c r="H102" s="715">
        <v>0</v>
      </c>
      <c r="I102" s="716">
        <v>1</v>
      </c>
      <c r="J102" s="717" t="s">
        <v>864</v>
      </c>
      <c r="K102" s="711" t="s">
        <v>927</v>
      </c>
      <c r="L102" s="367"/>
    </row>
    <row r="103" spans="1:12" ht="39.75" customHeight="1">
      <c r="A103" s="915"/>
      <c r="B103" s="859"/>
      <c r="C103" s="858"/>
      <c r="D103" s="884"/>
      <c r="E103" s="715">
        <v>0</v>
      </c>
      <c r="F103" s="715">
        <v>1</v>
      </c>
      <c r="G103" s="715">
        <v>1</v>
      </c>
      <c r="H103" s="715">
        <v>1</v>
      </c>
      <c r="I103" s="716">
        <v>3</v>
      </c>
      <c r="J103" s="731" t="s">
        <v>864</v>
      </c>
      <c r="K103" s="711" t="s">
        <v>932</v>
      </c>
      <c r="L103" s="367"/>
    </row>
    <row r="104" spans="1:12" ht="89.25" customHeight="1">
      <c r="A104" s="915"/>
      <c r="B104" s="859"/>
      <c r="C104" s="858"/>
      <c r="D104" s="884" t="s">
        <v>922</v>
      </c>
      <c r="E104" s="715">
        <v>100</v>
      </c>
      <c r="F104" s="715">
        <v>100</v>
      </c>
      <c r="G104" s="715">
        <v>0</v>
      </c>
      <c r="H104" s="715">
        <v>0</v>
      </c>
      <c r="I104" s="716">
        <v>100</v>
      </c>
      <c r="J104" s="717" t="s">
        <v>798</v>
      </c>
      <c r="K104" s="711" t="s">
        <v>928</v>
      </c>
      <c r="L104" s="368"/>
    </row>
    <row r="105" spans="1:12" ht="76.5" customHeight="1">
      <c r="A105" s="915"/>
      <c r="B105" s="859"/>
      <c r="C105" s="858"/>
      <c r="D105" s="884"/>
      <c r="E105" s="715">
        <v>0</v>
      </c>
      <c r="F105" s="715">
        <v>20</v>
      </c>
      <c r="G105" s="715">
        <v>80</v>
      </c>
      <c r="H105" s="715">
        <v>0</v>
      </c>
      <c r="I105" s="716">
        <v>100</v>
      </c>
      <c r="J105" s="717" t="s">
        <v>798</v>
      </c>
      <c r="K105" s="711" t="s">
        <v>929</v>
      </c>
      <c r="L105" s="368"/>
    </row>
    <row r="106" spans="1:12" ht="48.75" customHeight="1">
      <c r="A106" s="915"/>
      <c r="B106" s="859"/>
      <c r="C106" s="858"/>
      <c r="D106" s="713" t="s">
        <v>923</v>
      </c>
      <c r="E106" s="715">
        <v>0</v>
      </c>
      <c r="F106" s="715">
        <v>1</v>
      </c>
      <c r="G106" s="715">
        <v>1</v>
      </c>
      <c r="H106" s="715">
        <v>1</v>
      </c>
      <c r="I106" s="716">
        <v>3</v>
      </c>
      <c r="J106" s="731" t="s">
        <v>864</v>
      </c>
      <c r="K106" s="713" t="s">
        <v>650</v>
      </c>
      <c r="L106" s="368"/>
    </row>
    <row r="107" spans="1:12" ht="54" customHeight="1">
      <c r="A107" s="915"/>
      <c r="B107" s="859"/>
      <c r="C107" s="858"/>
      <c r="D107" s="713" t="s">
        <v>924</v>
      </c>
      <c r="E107" s="715">
        <v>0</v>
      </c>
      <c r="F107" s="715">
        <v>1</v>
      </c>
      <c r="G107" s="715">
        <v>0</v>
      </c>
      <c r="H107" s="715">
        <v>1</v>
      </c>
      <c r="I107" s="716">
        <v>2</v>
      </c>
      <c r="J107" s="717"/>
      <c r="K107" s="713" t="s">
        <v>930</v>
      </c>
      <c r="L107" s="368"/>
    </row>
    <row r="108" spans="1:12" ht="95.25" customHeight="1">
      <c r="A108" s="915"/>
      <c r="B108" s="859"/>
      <c r="C108" s="858"/>
      <c r="D108" s="713" t="s">
        <v>925</v>
      </c>
      <c r="E108" s="715">
        <v>1</v>
      </c>
      <c r="F108" s="715">
        <v>1</v>
      </c>
      <c r="G108" s="715">
        <v>1</v>
      </c>
      <c r="H108" s="715">
        <v>1</v>
      </c>
      <c r="I108" s="716">
        <v>4</v>
      </c>
      <c r="J108" s="717"/>
      <c r="K108" s="713" t="s">
        <v>931</v>
      </c>
      <c r="L108" s="368"/>
    </row>
    <row r="109" spans="1:12" ht="23.25" customHeight="1">
      <c r="A109" s="915"/>
      <c r="B109" s="859"/>
      <c r="C109" s="867"/>
      <c r="D109" s="868"/>
      <c r="E109" s="868"/>
      <c r="F109" s="868"/>
      <c r="G109" s="868"/>
      <c r="H109" s="868"/>
      <c r="I109" s="868"/>
      <c r="J109" s="868"/>
      <c r="K109" s="869"/>
      <c r="L109" s="368"/>
    </row>
    <row r="110" spans="1:12" ht="69.75" customHeight="1">
      <c r="A110" s="915"/>
      <c r="B110" s="859"/>
      <c r="C110" s="858" t="s">
        <v>933</v>
      </c>
      <c r="D110" s="712" t="s">
        <v>934</v>
      </c>
      <c r="E110" s="715">
        <v>10</v>
      </c>
      <c r="F110" s="715">
        <v>30</v>
      </c>
      <c r="G110" s="715">
        <v>60</v>
      </c>
      <c r="H110" s="715">
        <v>100</v>
      </c>
      <c r="I110" s="716">
        <v>100</v>
      </c>
      <c r="J110" s="717" t="s">
        <v>798</v>
      </c>
      <c r="K110" s="711" t="s">
        <v>938</v>
      </c>
      <c r="L110" s="368"/>
    </row>
    <row r="111" spans="1:12" ht="86.25" customHeight="1">
      <c r="A111" s="915"/>
      <c r="B111" s="859"/>
      <c r="C111" s="858"/>
      <c r="D111" s="712" t="s">
        <v>935</v>
      </c>
      <c r="E111" s="715">
        <v>0</v>
      </c>
      <c r="F111" s="715">
        <v>1</v>
      </c>
      <c r="G111" s="715">
        <v>0</v>
      </c>
      <c r="H111" s="715">
        <v>1</v>
      </c>
      <c r="I111" s="716">
        <v>2</v>
      </c>
      <c r="J111" s="731" t="s">
        <v>864</v>
      </c>
      <c r="K111" s="711" t="s">
        <v>930</v>
      </c>
      <c r="L111" s="368"/>
    </row>
    <row r="112" spans="1:12" ht="105" customHeight="1">
      <c r="A112" s="916"/>
      <c r="B112" s="859"/>
      <c r="C112" s="858"/>
      <c r="D112" s="712" t="s">
        <v>936</v>
      </c>
      <c r="E112" s="715">
        <v>0</v>
      </c>
      <c r="F112" s="715">
        <v>1</v>
      </c>
      <c r="G112" s="715">
        <v>1</v>
      </c>
      <c r="H112" s="715">
        <v>1</v>
      </c>
      <c r="I112" s="716">
        <v>3</v>
      </c>
      <c r="J112" s="731" t="s">
        <v>864</v>
      </c>
      <c r="K112" s="711" t="s">
        <v>939</v>
      </c>
      <c r="L112" s="368"/>
    </row>
    <row r="113" spans="1:12" ht="56.25" customHeight="1">
      <c r="A113" s="510"/>
      <c r="B113" s="859"/>
      <c r="C113" s="858"/>
      <c r="D113" s="712" t="s">
        <v>937</v>
      </c>
      <c r="E113" s="715">
        <v>2</v>
      </c>
      <c r="F113" s="715">
        <v>6</v>
      </c>
      <c r="G113" s="715">
        <v>6</v>
      </c>
      <c r="H113" s="715">
        <v>6</v>
      </c>
      <c r="I113" s="716">
        <v>20</v>
      </c>
      <c r="J113" s="731" t="s">
        <v>864</v>
      </c>
      <c r="K113" s="711" t="s">
        <v>940</v>
      </c>
      <c r="L113" s="368"/>
    </row>
    <row r="114" spans="1:12" ht="23.25">
      <c r="A114" s="376"/>
      <c r="B114" s="859"/>
      <c r="C114" s="864"/>
      <c r="D114" s="865"/>
      <c r="E114" s="865"/>
      <c r="F114" s="865"/>
      <c r="G114" s="865"/>
      <c r="H114" s="865"/>
      <c r="I114" s="865"/>
      <c r="J114" s="865"/>
      <c r="K114" s="866"/>
      <c r="L114" s="362"/>
    </row>
    <row r="115" spans="1:12" ht="34.5" customHeight="1">
      <c r="A115" s="873" t="s">
        <v>649</v>
      </c>
      <c r="B115" s="859"/>
      <c r="C115" s="858" t="s">
        <v>941</v>
      </c>
      <c r="D115" s="912" t="s">
        <v>942</v>
      </c>
      <c r="E115" s="718">
        <v>20</v>
      </c>
      <c r="F115" s="718">
        <v>80</v>
      </c>
      <c r="G115" s="718">
        <v>0</v>
      </c>
      <c r="H115" s="718">
        <v>0</v>
      </c>
      <c r="I115" s="719">
        <v>100</v>
      </c>
      <c r="J115" s="717" t="s">
        <v>798</v>
      </c>
      <c r="K115" s="713" t="s">
        <v>948</v>
      </c>
      <c r="L115" s="368"/>
    </row>
    <row r="116" spans="1:12" ht="39.75" customHeight="1">
      <c r="A116" s="873"/>
      <c r="B116" s="859"/>
      <c r="C116" s="858"/>
      <c r="D116" s="912"/>
      <c r="E116" s="718">
        <v>0</v>
      </c>
      <c r="F116" s="718">
        <v>2</v>
      </c>
      <c r="G116" s="718">
        <v>2</v>
      </c>
      <c r="H116" s="718">
        <v>1</v>
      </c>
      <c r="I116" s="719">
        <v>5</v>
      </c>
      <c r="J116" s="731" t="s">
        <v>864</v>
      </c>
      <c r="K116" s="713" t="s">
        <v>650</v>
      </c>
      <c r="L116" s="368"/>
    </row>
    <row r="117" spans="1:12" ht="38.25" customHeight="1">
      <c r="A117" s="873"/>
      <c r="B117" s="859"/>
      <c r="C117" s="858"/>
      <c r="D117" s="912" t="s">
        <v>943</v>
      </c>
      <c r="E117" s="718">
        <v>0</v>
      </c>
      <c r="F117" s="718">
        <v>1</v>
      </c>
      <c r="G117" s="718">
        <v>0</v>
      </c>
      <c r="H117" s="718">
        <v>0</v>
      </c>
      <c r="I117" s="719">
        <v>1</v>
      </c>
      <c r="J117" s="731" t="s">
        <v>864</v>
      </c>
      <c r="K117" s="713" t="s">
        <v>652</v>
      </c>
      <c r="L117" s="368"/>
    </row>
    <row r="118" spans="1:12" ht="45" customHeight="1">
      <c r="A118" s="873"/>
      <c r="B118" s="859"/>
      <c r="C118" s="858"/>
      <c r="D118" s="912"/>
      <c r="E118" s="718">
        <v>0</v>
      </c>
      <c r="F118" s="718">
        <v>0</v>
      </c>
      <c r="G118" s="718">
        <v>1</v>
      </c>
      <c r="H118" s="718">
        <v>0</v>
      </c>
      <c r="I118" s="719">
        <v>1</v>
      </c>
      <c r="J118" s="731" t="s">
        <v>864</v>
      </c>
      <c r="K118" s="713" t="s">
        <v>653</v>
      </c>
      <c r="L118" s="368"/>
    </row>
    <row r="119" spans="1:12" ht="38.25" customHeight="1">
      <c r="A119" s="873"/>
      <c r="B119" s="859"/>
      <c r="C119" s="858"/>
      <c r="D119" s="912"/>
      <c r="E119" s="720">
        <v>0</v>
      </c>
      <c r="F119" s="718">
        <v>0</v>
      </c>
      <c r="G119" s="720">
        <v>0</v>
      </c>
      <c r="H119" s="720">
        <v>35000</v>
      </c>
      <c r="I119" s="721">
        <v>35000</v>
      </c>
      <c r="J119" s="724" t="s">
        <v>951</v>
      </c>
      <c r="K119" s="713" t="s">
        <v>949</v>
      </c>
      <c r="L119" s="368"/>
    </row>
    <row r="120" spans="1:12" ht="35.25" customHeight="1">
      <c r="A120" s="873"/>
      <c r="B120" s="859"/>
      <c r="C120" s="858"/>
      <c r="D120" s="912" t="s">
        <v>944</v>
      </c>
      <c r="E120" s="718">
        <v>0</v>
      </c>
      <c r="F120" s="718">
        <v>0</v>
      </c>
      <c r="G120" s="718">
        <v>1</v>
      </c>
      <c r="H120" s="718">
        <v>0</v>
      </c>
      <c r="I120" s="719">
        <v>1</v>
      </c>
      <c r="J120" s="731" t="s">
        <v>864</v>
      </c>
      <c r="K120" s="713" t="s">
        <v>950</v>
      </c>
      <c r="L120" s="368"/>
    </row>
    <row r="121" spans="1:12" ht="39.75" customHeight="1">
      <c r="A121" s="873"/>
      <c r="B121" s="859"/>
      <c r="C121" s="858"/>
      <c r="D121" s="912"/>
      <c r="E121" s="722">
        <v>1</v>
      </c>
      <c r="F121" s="722">
        <v>1</v>
      </c>
      <c r="G121" s="722">
        <v>1</v>
      </c>
      <c r="H121" s="722">
        <v>1</v>
      </c>
      <c r="I121" s="723">
        <v>4</v>
      </c>
      <c r="J121" s="731" t="s">
        <v>864</v>
      </c>
      <c r="K121" s="710" t="s">
        <v>654</v>
      </c>
      <c r="L121" s="368"/>
    </row>
    <row r="122" spans="1:12" ht="68.25" customHeight="1">
      <c r="A122" s="873"/>
      <c r="B122" s="859"/>
      <c r="C122" s="858"/>
      <c r="D122" s="711" t="s">
        <v>945</v>
      </c>
      <c r="E122" s="718">
        <v>1</v>
      </c>
      <c r="F122" s="718">
        <v>1</v>
      </c>
      <c r="G122" s="718">
        <v>1</v>
      </c>
      <c r="H122" s="718">
        <v>1</v>
      </c>
      <c r="I122" s="719">
        <v>4</v>
      </c>
      <c r="J122" s="731" t="s">
        <v>864</v>
      </c>
      <c r="K122" s="710" t="s">
        <v>655</v>
      </c>
      <c r="L122" s="368"/>
    </row>
    <row r="123" spans="1:12" ht="69.75" customHeight="1">
      <c r="A123" s="873"/>
      <c r="B123" s="859"/>
      <c r="C123" s="858"/>
      <c r="D123" s="691" t="s">
        <v>946</v>
      </c>
      <c r="E123" s="718">
        <v>1</v>
      </c>
      <c r="F123" s="718">
        <v>1</v>
      </c>
      <c r="G123" s="718">
        <v>1</v>
      </c>
      <c r="H123" s="718">
        <v>1</v>
      </c>
      <c r="I123" s="719">
        <v>4</v>
      </c>
      <c r="J123" s="731" t="s">
        <v>864</v>
      </c>
      <c r="K123" s="710" t="s">
        <v>650</v>
      </c>
      <c r="L123" s="368"/>
    </row>
    <row r="124" spans="1:12" ht="38.25" customHeight="1">
      <c r="A124" s="873"/>
      <c r="B124" s="859"/>
      <c r="C124" s="858"/>
      <c r="D124" s="737" t="s">
        <v>947</v>
      </c>
      <c r="E124" s="718">
        <v>1</v>
      </c>
      <c r="F124" s="718">
        <v>1</v>
      </c>
      <c r="G124" s="718">
        <v>1</v>
      </c>
      <c r="H124" s="718">
        <v>1</v>
      </c>
      <c r="I124" s="719">
        <v>4</v>
      </c>
      <c r="J124" s="731" t="s">
        <v>864</v>
      </c>
      <c r="K124" s="710" t="s">
        <v>650</v>
      </c>
      <c r="L124" s="368"/>
    </row>
    <row r="125" spans="1:12" ht="23.25">
      <c r="A125" s="873"/>
      <c r="B125" s="859"/>
      <c r="C125" s="867"/>
      <c r="D125" s="868"/>
      <c r="E125" s="868"/>
      <c r="F125" s="868"/>
      <c r="G125" s="868"/>
      <c r="H125" s="868"/>
      <c r="I125" s="868"/>
      <c r="J125" s="868"/>
      <c r="K125" s="869"/>
      <c r="L125" s="368"/>
    </row>
    <row r="126" spans="1:12" ht="62.25" customHeight="1">
      <c r="A126" s="377"/>
      <c r="B126" s="859"/>
      <c r="C126" s="888" t="s">
        <v>952</v>
      </c>
      <c r="D126" s="712" t="s">
        <v>953</v>
      </c>
      <c r="E126" s="715">
        <v>1</v>
      </c>
      <c r="F126" s="715">
        <v>1</v>
      </c>
      <c r="G126" s="715">
        <v>1</v>
      </c>
      <c r="H126" s="715">
        <v>1</v>
      </c>
      <c r="I126" s="716">
        <v>1</v>
      </c>
      <c r="J126" s="731" t="s">
        <v>864</v>
      </c>
      <c r="K126" s="710" t="s">
        <v>956</v>
      </c>
      <c r="L126" s="362"/>
    </row>
    <row r="127" spans="1:12" ht="64.5" customHeight="1">
      <c r="A127" s="876" t="s">
        <v>649</v>
      </c>
      <c r="B127" s="859"/>
      <c r="C127" s="888"/>
      <c r="D127" s="712" t="s">
        <v>954</v>
      </c>
      <c r="E127" s="715">
        <v>1</v>
      </c>
      <c r="F127" s="715">
        <v>2</v>
      </c>
      <c r="G127" s="716">
        <v>2</v>
      </c>
      <c r="H127" s="715">
        <v>2</v>
      </c>
      <c r="I127" s="716">
        <v>7</v>
      </c>
      <c r="J127" s="731" t="s">
        <v>864</v>
      </c>
      <c r="K127" s="710" t="s">
        <v>656</v>
      </c>
      <c r="L127" s="369"/>
    </row>
    <row r="128" spans="1:12" ht="72" customHeight="1">
      <c r="A128" s="877"/>
      <c r="B128" s="859"/>
      <c r="C128" s="888"/>
      <c r="D128" s="712" t="s">
        <v>955</v>
      </c>
      <c r="E128" s="715">
        <v>0</v>
      </c>
      <c r="F128" s="715">
        <v>1</v>
      </c>
      <c r="G128" s="716">
        <v>1</v>
      </c>
      <c r="H128" s="715">
        <v>1</v>
      </c>
      <c r="I128" s="716">
        <v>3</v>
      </c>
      <c r="J128" s="731" t="s">
        <v>864</v>
      </c>
      <c r="K128" s="710" t="s">
        <v>656</v>
      </c>
      <c r="L128" s="368"/>
    </row>
    <row r="129" spans="1:26" ht="26.25" customHeight="1">
      <c r="A129" s="877"/>
      <c r="B129" s="918"/>
      <c r="C129" s="918"/>
      <c r="D129" s="918"/>
      <c r="E129" s="918"/>
      <c r="F129" s="918"/>
      <c r="G129" s="918"/>
      <c r="H129" s="918"/>
      <c r="I129" s="918"/>
      <c r="J129" s="918"/>
      <c r="K129" s="918"/>
      <c r="L129" s="362"/>
    </row>
    <row r="130" spans="1:26" ht="74.25" customHeight="1">
      <c r="A130" s="877"/>
      <c r="B130" s="859" t="s">
        <v>1082</v>
      </c>
      <c r="C130" s="888" t="s">
        <v>957</v>
      </c>
      <c r="D130" s="713" t="s">
        <v>958</v>
      </c>
      <c r="E130" s="715">
        <v>3</v>
      </c>
      <c r="F130" s="715">
        <v>4</v>
      </c>
      <c r="G130" s="715">
        <v>4</v>
      </c>
      <c r="H130" s="715">
        <v>3</v>
      </c>
      <c r="I130" s="716">
        <v>14</v>
      </c>
      <c r="J130" s="731" t="s">
        <v>864</v>
      </c>
      <c r="K130" s="711" t="s">
        <v>963</v>
      </c>
      <c r="L130" s="370"/>
    </row>
    <row r="131" spans="1:26" ht="75" customHeight="1">
      <c r="A131" s="877"/>
      <c r="B131" s="859"/>
      <c r="C131" s="888"/>
      <c r="D131" s="713" t="s">
        <v>959</v>
      </c>
      <c r="E131" s="715">
        <v>0</v>
      </c>
      <c r="F131" s="715">
        <v>1</v>
      </c>
      <c r="G131" s="715">
        <v>1</v>
      </c>
      <c r="H131" s="715">
        <v>1</v>
      </c>
      <c r="I131" s="716">
        <v>3</v>
      </c>
      <c r="J131" s="731" t="s">
        <v>864</v>
      </c>
      <c r="K131" s="712" t="s">
        <v>964</v>
      </c>
      <c r="L131" s="370"/>
    </row>
    <row r="132" spans="1:26" ht="105" customHeight="1">
      <c r="A132" s="878"/>
      <c r="B132" s="859"/>
      <c r="C132" s="888"/>
      <c r="D132" s="713" t="s">
        <v>960</v>
      </c>
      <c r="E132" s="715">
        <v>1</v>
      </c>
      <c r="F132" s="715">
        <v>3</v>
      </c>
      <c r="G132" s="715">
        <v>2</v>
      </c>
      <c r="H132" s="715">
        <v>2</v>
      </c>
      <c r="I132" s="716">
        <v>8</v>
      </c>
      <c r="J132" s="731" t="s">
        <v>864</v>
      </c>
      <c r="K132" s="711" t="s">
        <v>965</v>
      </c>
      <c r="L132" s="370"/>
    </row>
    <row r="133" spans="1:26" ht="111" customHeight="1">
      <c r="A133" s="909" t="s">
        <v>649</v>
      </c>
      <c r="B133" s="859"/>
      <c r="C133" s="888"/>
      <c r="D133" s="710" t="s">
        <v>961</v>
      </c>
      <c r="E133" s="715">
        <v>20</v>
      </c>
      <c r="F133" s="715">
        <v>70</v>
      </c>
      <c r="G133" s="715">
        <v>100</v>
      </c>
      <c r="H133" s="715">
        <v>0</v>
      </c>
      <c r="I133" s="716">
        <v>100</v>
      </c>
      <c r="J133" s="717" t="s">
        <v>798</v>
      </c>
      <c r="K133" s="711" t="s">
        <v>966</v>
      </c>
      <c r="L133" s="362"/>
    </row>
    <row r="134" spans="1:26" s="280" customFormat="1" ht="62.25" customHeight="1">
      <c r="A134" s="910"/>
      <c r="B134" s="859"/>
      <c r="C134" s="888"/>
      <c r="D134" s="692" t="s">
        <v>962</v>
      </c>
      <c r="E134" s="715">
        <v>1</v>
      </c>
      <c r="F134" s="715">
        <v>1</v>
      </c>
      <c r="G134" s="715">
        <v>1</v>
      </c>
      <c r="H134" s="715">
        <v>1</v>
      </c>
      <c r="I134" s="716">
        <v>4</v>
      </c>
      <c r="J134" s="731" t="s">
        <v>864</v>
      </c>
      <c r="K134" s="711" t="s">
        <v>967</v>
      </c>
      <c r="L134" s="371"/>
      <c r="M134" s="389"/>
      <c r="N134" s="389"/>
      <c r="O134" s="389"/>
      <c r="P134" s="389"/>
      <c r="Q134" s="389"/>
      <c r="R134" s="389"/>
      <c r="S134" s="389"/>
      <c r="T134" s="389"/>
      <c r="U134" s="389"/>
      <c r="V134" s="389"/>
      <c r="W134" s="389"/>
      <c r="X134" s="389"/>
      <c r="Y134" s="389"/>
      <c r="Z134" s="389"/>
    </row>
    <row r="135" spans="1:26" s="280" customFormat="1" ht="21.75" customHeight="1">
      <c r="A135" s="910"/>
      <c r="B135" s="859"/>
      <c r="C135" s="867"/>
      <c r="D135" s="868"/>
      <c r="E135" s="868"/>
      <c r="F135" s="868"/>
      <c r="G135" s="868"/>
      <c r="H135" s="868"/>
      <c r="I135" s="868"/>
      <c r="J135" s="868"/>
      <c r="K135" s="869"/>
      <c r="L135" s="371"/>
      <c r="M135" s="389"/>
      <c r="N135" s="389"/>
      <c r="O135" s="389"/>
      <c r="P135" s="389"/>
      <c r="Q135" s="389"/>
      <c r="R135" s="389"/>
      <c r="S135" s="389"/>
      <c r="T135" s="389"/>
      <c r="U135" s="389"/>
      <c r="V135" s="389"/>
      <c r="W135" s="389"/>
      <c r="X135" s="389"/>
      <c r="Y135" s="389"/>
      <c r="Z135" s="389"/>
    </row>
    <row r="136" spans="1:26" s="280" customFormat="1" ht="48" customHeight="1">
      <c r="A136" s="910"/>
      <c r="B136" s="859"/>
      <c r="C136" s="858" t="s">
        <v>968</v>
      </c>
      <c r="D136" s="879" t="s">
        <v>969</v>
      </c>
      <c r="E136" s="715">
        <v>1</v>
      </c>
      <c r="F136" s="715">
        <v>2</v>
      </c>
      <c r="G136" s="715">
        <v>1</v>
      </c>
      <c r="H136" s="715">
        <v>1</v>
      </c>
      <c r="I136" s="716">
        <v>5</v>
      </c>
      <c r="J136" s="731" t="s">
        <v>864</v>
      </c>
      <c r="K136" s="711" t="s">
        <v>659</v>
      </c>
      <c r="L136" s="371"/>
      <c r="M136" s="389"/>
      <c r="N136" s="389"/>
      <c r="O136" s="389"/>
      <c r="P136" s="389"/>
      <c r="Q136" s="389"/>
      <c r="R136" s="389"/>
      <c r="S136" s="389"/>
      <c r="T136" s="389"/>
      <c r="U136" s="389"/>
      <c r="V136" s="389"/>
      <c r="W136" s="389"/>
      <c r="X136" s="389"/>
      <c r="Y136" s="389"/>
      <c r="Z136" s="389"/>
    </row>
    <row r="137" spans="1:26" s="280" customFormat="1" ht="87.75" customHeight="1">
      <c r="A137" s="910"/>
      <c r="B137" s="859"/>
      <c r="C137" s="858"/>
      <c r="D137" s="879"/>
      <c r="E137" s="715">
        <v>10</v>
      </c>
      <c r="F137" s="715">
        <v>50</v>
      </c>
      <c r="G137" s="715">
        <v>100</v>
      </c>
      <c r="H137" s="715">
        <v>0</v>
      </c>
      <c r="I137" s="716">
        <v>100</v>
      </c>
      <c r="J137" s="717" t="s">
        <v>798</v>
      </c>
      <c r="K137" s="711" t="s">
        <v>972</v>
      </c>
      <c r="L137" s="371"/>
      <c r="M137" s="389"/>
      <c r="N137" s="389"/>
      <c r="O137" s="389"/>
      <c r="P137" s="389"/>
      <c r="Q137" s="389"/>
      <c r="R137" s="389"/>
      <c r="S137" s="389"/>
      <c r="T137" s="389"/>
      <c r="U137" s="389"/>
      <c r="V137" s="389"/>
      <c r="W137" s="389"/>
      <c r="X137" s="389"/>
      <c r="Y137" s="389"/>
      <c r="Z137" s="389"/>
    </row>
    <row r="138" spans="1:26" s="280" customFormat="1" ht="39.75" customHeight="1">
      <c r="A138" s="910"/>
      <c r="B138" s="859"/>
      <c r="C138" s="858"/>
      <c r="D138" s="879"/>
      <c r="E138" s="715">
        <v>5</v>
      </c>
      <c r="F138" s="715">
        <v>5</v>
      </c>
      <c r="G138" s="715">
        <v>5</v>
      </c>
      <c r="H138" s="715">
        <v>5</v>
      </c>
      <c r="I138" s="716">
        <v>20</v>
      </c>
      <c r="J138" s="731" t="s">
        <v>864</v>
      </c>
      <c r="K138" s="711" t="s">
        <v>661</v>
      </c>
      <c r="L138" s="371"/>
      <c r="M138" s="389"/>
      <c r="N138" s="389"/>
      <c r="O138" s="389"/>
      <c r="P138" s="389"/>
      <c r="Q138" s="389"/>
      <c r="R138" s="389"/>
      <c r="S138" s="389"/>
      <c r="T138" s="389"/>
      <c r="U138" s="389"/>
      <c r="V138" s="389"/>
      <c r="W138" s="389"/>
      <c r="X138" s="389"/>
      <c r="Y138" s="389"/>
      <c r="Z138" s="389"/>
    </row>
    <row r="139" spans="1:26" s="280" customFormat="1" ht="58.5" customHeight="1">
      <c r="A139" s="910"/>
      <c r="B139" s="859"/>
      <c r="C139" s="858"/>
      <c r="D139" s="879"/>
      <c r="E139" s="715">
        <v>10</v>
      </c>
      <c r="F139" s="715">
        <v>25</v>
      </c>
      <c r="G139" s="715">
        <v>0</v>
      </c>
      <c r="H139" s="715">
        <v>0</v>
      </c>
      <c r="I139" s="716">
        <v>35</v>
      </c>
      <c r="J139" s="731" t="s">
        <v>864</v>
      </c>
      <c r="K139" s="711" t="s">
        <v>973</v>
      </c>
      <c r="L139" s="371"/>
      <c r="M139" s="389"/>
      <c r="N139" s="389"/>
      <c r="O139" s="389"/>
      <c r="P139" s="389"/>
      <c r="Q139" s="389"/>
      <c r="R139" s="389"/>
      <c r="S139" s="389"/>
      <c r="T139" s="389"/>
      <c r="U139" s="389"/>
      <c r="V139" s="389"/>
      <c r="W139" s="389"/>
      <c r="X139" s="389"/>
      <c r="Y139" s="389"/>
      <c r="Z139" s="389"/>
    </row>
    <row r="140" spans="1:26" s="280" customFormat="1" ht="71.25" customHeight="1">
      <c r="A140" s="910"/>
      <c r="B140" s="859"/>
      <c r="C140" s="858"/>
      <c r="D140" s="710" t="s">
        <v>970</v>
      </c>
      <c r="E140" s="715">
        <v>10</v>
      </c>
      <c r="F140" s="715">
        <v>15</v>
      </c>
      <c r="G140" s="715">
        <v>15</v>
      </c>
      <c r="H140" s="715">
        <v>20</v>
      </c>
      <c r="I140" s="716">
        <v>60</v>
      </c>
      <c r="J140" s="731" t="s">
        <v>864</v>
      </c>
      <c r="K140" s="711" t="s">
        <v>660</v>
      </c>
      <c r="L140" s="371"/>
      <c r="M140" s="389"/>
      <c r="N140" s="389"/>
      <c r="O140" s="389"/>
      <c r="P140" s="389"/>
      <c r="Q140" s="389"/>
      <c r="R140" s="389"/>
      <c r="S140" s="389"/>
      <c r="T140" s="389"/>
      <c r="U140" s="389"/>
      <c r="V140" s="389"/>
      <c r="W140" s="389"/>
      <c r="X140" s="389"/>
      <c r="Y140" s="389"/>
      <c r="Z140" s="389"/>
    </row>
    <row r="141" spans="1:26" s="280" customFormat="1" ht="72.75" customHeight="1">
      <c r="A141" s="910"/>
      <c r="B141" s="859"/>
      <c r="C141" s="858"/>
      <c r="D141" s="710" t="s">
        <v>971</v>
      </c>
      <c r="E141" s="715">
        <v>100</v>
      </c>
      <c r="F141" s="715">
        <v>100</v>
      </c>
      <c r="G141" s="715">
        <v>100</v>
      </c>
      <c r="H141" s="715">
        <v>100</v>
      </c>
      <c r="I141" s="716">
        <v>100</v>
      </c>
      <c r="J141" s="717" t="s">
        <v>798</v>
      </c>
      <c r="K141" s="713" t="s">
        <v>974</v>
      </c>
      <c r="L141" s="371"/>
      <c r="M141" s="389"/>
      <c r="N141" s="389"/>
      <c r="O141" s="389"/>
      <c r="P141" s="389"/>
      <c r="Q141" s="389"/>
      <c r="R141" s="389"/>
      <c r="S141" s="389"/>
      <c r="T141" s="389"/>
      <c r="U141" s="389"/>
      <c r="V141" s="389"/>
      <c r="W141" s="389"/>
      <c r="X141" s="389"/>
      <c r="Y141" s="389"/>
      <c r="Z141" s="389"/>
    </row>
    <row r="142" spans="1:26" s="280" customFormat="1" ht="23.25">
      <c r="A142" s="910"/>
      <c r="B142" s="859"/>
      <c r="C142" s="867"/>
      <c r="D142" s="868"/>
      <c r="E142" s="868"/>
      <c r="F142" s="868"/>
      <c r="G142" s="868"/>
      <c r="H142" s="868"/>
      <c r="I142" s="868"/>
      <c r="J142" s="868"/>
      <c r="K142" s="869"/>
      <c r="L142" s="362"/>
      <c r="M142" s="389"/>
      <c r="N142" s="389"/>
      <c r="O142" s="389"/>
      <c r="P142" s="389"/>
      <c r="Q142" s="389"/>
      <c r="R142" s="389"/>
      <c r="S142" s="389"/>
      <c r="T142" s="389"/>
      <c r="U142" s="389"/>
      <c r="V142" s="389"/>
      <c r="W142" s="389"/>
      <c r="X142" s="389"/>
      <c r="Y142" s="389"/>
      <c r="Z142" s="389"/>
    </row>
    <row r="143" spans="1:26" s="280" customFormat="1" ht="85.5" customHeight="1">
      <c r="A143" s="910"/>
      <c r="B143" s="859"/>
      <c r="C143" s="858" t="s">
        <v>975</v>
      </c>
      <c r="D143" s="712" t="s">
        <v>976</v>
      </c>
      <c r="E143" s="715">
        <v>0</v>
      </c>
      <c r="F143" s="715">
        <v>2</v>
      </c>
      <c r="G143" s="715">
        <v>0</v>
      </c>
      <c r="H143" s="715">
        <v>1</v>
      </c>
      <c r="I143" s="716">
        <v>3</v>
      </c>
      <c r="J143" s="717" t="s">
        <v>798</v>
      </c>
      <c r="K143" s="712" t="s">
        <v>979</v>
      </c>
      <c r="L143" s="371"/>
      <c r="M143" s="389"/>
      <c r="N143" s="389"/>
      <c r="O143" s="389"/>
      <c r="P143" s="389"/>
      <c r="Q143" s="389"/>
      <c r="R143" s="389"/>
      <c r="S143" s="389"/>
      <c r="T143" s="389"/>
      <c r="U143" s="389"/>
      <c r="V143" s="389"/>
      <c r="W143" s="389"/>
      <c r="X143" s="389"/>
      <c r="Y143" s="389"/>
      <c r="Z143" s="389"/>
    </row>
    <row r="144" spans="1:26" s="280" customFormat="1" ht="77.25" customHeight="1">
      <c r="A144" s="910"/>
      <c r="B144" s="859"/>
      <c r="C144" s="858"/>
      <c r="D144" s="712" t="s">
        <v>977</v>
      </c>
      <c r="E144" s="715">
        <v>0</v>
      </c>
      <c r="F144" s="715">
        <v>1</v>
      </c>
      <c r="G144" s="715">
        <v>0</v>
      </c>
      <c r="H144" s="715">
        <v>0</v>
      </c>
      <c r="I144" s="716">
        <v>1</v>
      </c>
      <c r="J144" s="731" t="s">
        <v>864</v>
      </c>
      <c r="K144" s="712" t="s">
        <v>980</v>
      </c>
      <c r="L144" s="371"/>
      <c r="M144" s="389"/>
      <c r="N144" s="389"/>
      <c r="O144" s="389"/>
      <c r="P144" s="389"/>
      <c r="Q144" s="389"/>
      <c r="R144" s="389"/>
      <c r="S144" s="389"/>
      <c r="T144" s="389"/>
      <c r="U144" s="389"/>
      <c r="V144" s="389"/>
      <c r="W144" s="389"/>
      <c r="X144" s="389"/>
      <c r="Y144" s="389"/>
      <c r="Z144" s="389"/>
    </row>
    <row r="145" spans="1:26" s="280" customFormat="1" ht="63" customHeight="1">
      <c r="A145" s="910"/>
      <c r="B145" s="859"/>
      <c r="C145" s="858"/>
      <c r="D145" s="713" t="s">
        <v>978</v>
      </c>
      <c r="E145" s="715">
        <v>10</v>
      </c>
      <c r="F145" s="715">
        <v>50</v>
      </c>
      <c r="G145" s="715">
        <v>100</v>
      </c>
      <c r="H145" s="715">
        <v>0</v>
      </c>
      <c r="I145" s="716">
        <v>100</v>
      </c>
      <c r="J145" s="717" t="s">
        <v>798</v>
      </c>
      <c r="K145" s="713" t="s">
        <v>981</v>
      </c>
      <c r="L145" s="366"/>
      <c r="M145" s="389"/>
      <c r="N145" s="389"/>
      <c r="O145" s="389"/>
      <c r="P145" s="389"/>
      <c r="Q145" s="389"/>
      <c r="R145" s="389"/>
      <c r="S145" s="389"/>
      <c r="T145" s="389"/>
      <c r="U145" s="389"/>
      <c r="V145" s="389"/>
      <c r="W145" s="389"/>
      <c r="X145" s="389"/>
      <c r="Y145" s="389"/>
      <c r="Z145" s="389"/>
    </row>
    <row r="146" spans="1:26" s="280" customFormat="1" ht="23.25">
      <c r="A146" s="910"/>
      <c r="B146" s="880"/>
      <c r="C146" s="880"/>
      <c r="D146" s="880"/>
      <c r="E146" s="880"/>
      <c r="F146" s="880"/>
      <c r="G146" s="880"/>
      <c r="H146" s="880"/>
      <c r="I146" s="880"/>
      <c r="J146" s="880"/>
      <c r="K146" s="880"/>
      <c r="L146" s="371"/>
      <c r="M146" s="389"/>
      <c r="N146" s="389"/>
      <c r="O146" s="389"/>
      <c r="P146" s="389"/>
      <c r="Q146" s="389"/>
      <c r="R146" s="389"/>
      <c r="S146" s="389"/>
      <c r="T146" s="389"/>
      <c r="U146" s="389"/>
      <c r="V146" s="389"/>
      <c r="W146" s="389"/>
      <c r="X146" s="389"/>
      <c r="Y146" s="389"/>
      <c r="Z146" s="389"/>
    </row>
    <row r="147" spans="1:26" ht="115.5" customHeight="1">
      <c r="A147" s="910"/>
      <c r="B147" s="921" t="s">
        <v>982</v>
      </c>
      <c r="C147" s="860" t="s">
        <v>983</v>
      </c>
      <c r="D147" s="713" t="s">
        <v>1188</v>
      </c>
      <c r="E147" s="724">
        <v>0</v>
      </c>
      <c r="F147" s="724">
        <v>2</v>
      </c>
      <c r="G147" s="724">
        <v>1</v>
      </c>
      <c r="H147" s="724">
        <v>0</v>
      </c>
      <c r="I147" s="728">
        <v>3</v>
      </c>
      <c r="J147" s="731" t="s">
        <v>864</v>
      </c>
      <c r="K147" s="711" t="s">
        <v>1245</v>
      </c>
      <c r="L147" s="370"/>
    </row>
    <row r="148" spans="1:26" ht="92.25" customHeight="1">
      <c r="A148" s="910"/>
      <c r="B148" s="921"/>
      <c r="C148" s="860"/>
      <c r="D148" s="713" t="s">
        <v>984</v>
      </c>
      <c r="E148" s="724">
        <v>10</v>
      </c>
      <c r="F148" s="724">
        <v>20</v>
      </c>
      <c r="G148" s="724">
        <v>30</v>
      </c>
      <c r="H148" s="724">
        <v>35</v>
      </c>
      <c r="I148" s="728">
        <v>35</v>
      </c>
      <c r="J148" s="717" t="s">
        <v>798</v>
      </c>
      <c r="K148" s="711" t="s">
        <v>991</v>
      </c>
      <c r="L148" s="370"/>
    </row>
    <row r="149" spans="1:26" ht="69" customHeight="1">
      <c r="A149" s="910"/>
      <c r="B149" s="921"/>
      <c r="C149" s="860"/>
      <c r="D149" s="713" t="s">
        <v>985</v>
      </c>
      <c r="E149" s="724">
        <v>0</v>
      </c>
      <c r="F149" s="724">
        <v>1</v>
      </c>
      <c r="G149" s="724">
        <v>1</v>
      </c>
      <c r="H149" s="724">
        <v>0</v>
      </c>
      <c r="I149" s="728">
        <v>2</v>
      </c>
      <c r="J149" s="717" t="s">
        <v>1088</v>
      </c>
      <c r="K149" s="711" t="s">
        <v>992</v>
      </c>
      <c r="L149" s="370"/>
    </row>
    <row r="150" spans="1:26" ht="69.75" customHeight="1">
      <c r="A150" s="910"/>
      <c r="B150" s="921"/>
      <c r="C150" s="860"/>
      <c r="D150" s="713" t="s">
        <v>986</v>
      </c>
      <c r="E150" s="724">
        <v>0</v>
      </c>
      <c r="F150" s="724">
        <v>2</v>
      </c>
      <c r="G150" s="724">
        <v>0</v>
      </c>
      <c r="H150" s="724">
        <v>0</v>
      </c>
      <c r="I150" s="728">
        <v>2</v>
      </c>
      <c r="J150" s="717" t="s">
        <v>1088</v>
      </c>
      <c r="K150" s="712" t="s">
        <v>993</v>
      </c>
      <c r="L150" s="366"/>
    </row>
    <row r="151" spans="1:26" ht="70.5" customHeight="1">
      <c r="A151" s="910"/>
      <c r="B151" s="921"/>
      <c r="C151" s="860"/>
      <c r="D151" s="713" t="s">
        <v>987</v>
      </c>
      <c r="E151" s="724">
        <v>0</v>
      </c>
      <c r="F151" s="724">
        <v>1</v>
      </c>
      <c r="G151" s="724">
        <v>1</v>
      </c>
      <c r="H151" s="724">
        <v>1</v>
      </c>
      <c r="I151" s="728">
        <v>3</v>
      </c>
      <c r="J151" s="731" t="s">
        <v>864</v>
      </c>
      <c r="K151" s="711" t="s">
        <v>994</v>
      </c>
      <c r="L151" s="366"/>
    </row>
    <row r="152" spans="1:26" ht="125.25" customHeight="1">
      <c r="A152" s="394"/>
      <c r="B152" s="921"/>
      <c r="C152" s="860"/>
      <c r="D152" s="713" t="s">
        <v>988</v>
      </c>
      <c r="E152" s="724">
        <v>0</v>
      </c>
      <c r="F152" s="724">
        <v>1</v>
      </c>
      <c r="G152" s="724">
        <v>1</v>
      </c>
      <c r="H152" s="724">
        <v>1</v>
      </c>
      <c r="I152" s="728">
        <v>3</v>
      </c>
      <c r="J152" s="731" t="s">
        <v>864</v>
      </c>
      <c r="K152" s="711" t="s">
        <v>995</v>
      </c>
      <c r="L152" s="362"/>
    </row>
    <row r="153" spans="1:26" ht="87" customHeight="1">
      <c r="A153" s="909" t="s">
        <v>662</v>
      </c>
      <c r="B153" s="921"/>
      <c r="C153" s="860"/>
      <c r="D153" s="713" t="s">
        <v>989</v>
      </c>
      <c r="E153" s="724">
        <v>0</v>
      </c>
      <c r="F153" s="724">
        <v>1</v>
      </c>
      <c r="G153" s="724">
        <v>0</v>
      </c>
      <c r="H153" s="724">
        <v>0</v>
      </c>
      <c r="I153" s="728">
        <v>1</v>
      </c>
      <c r="J153" s="731" t="s">
        <v>864</v>
      </c>
      <c r="K153" s="711" t="s">
        <v>996</v>
      </c>
      <c r="L153" s="366"/>
    </row>
    <row r="154" spans="1:26" ht="23.25">
      <c r="A154" s="910"/>
      <c r="B154" s="921"/>
      <c r="C154" s="870"/>
      <c r="D154" s="871"/>
      <c r="E154" s="871"/>
      <c r="F154" s="871"/>
      <c r="G154" s="871"/>
      <c r="H154" s="871"/>
      <c r="I154" s="871"/>
      <c r="J154" s="871"/>
      <c r="K154" s="872"/>
      <c r="L154" s="366"/>
    </row>
    <row r="155" spans="1:26" ht="96.75" customHeight="1">
      <c r="A155" s="910"/>
      <c r="B155" s="921"/>
      <c r="C155" s="860" t="s">
        <v>997</v>
      </c>
      <c r="D155" s="713" t="s">
        <v>998</v>
      </c>
      <c r="E155" s="724">
        <v>1</v>
      </c>
      <c r="F155" s="724">
        <v>3</v>
      </c>
      <c r="G155" s="724">
        <v>0</v>
      </c>
      <c r="H155" s="724">
        <v>0</v>
      </c>
      <c r="I155" s="728">
        <v>3</v>
      </c>
      <c r="J155" s="731" t="s">
        <v>864</v>
      </c>
      <c r="K155" s="713" t="s">
        <v>990</v>
      </c>
      <c r="L155" s="366"/>
    </row>
    <row r="156" spans="1:26" ht="101.25" customHeight="1">
      <c r="A156" s="910"/>
      <c r="B156" s="921"/>
      <c r="C156" s="860"/>
      <c r="D156" s="713" t="s">
        <v>999</v>
      </c>
      <c r="E156" s="724">
        <v>1</v>
      </c>
      <c r="F156" s="724">
        <v>1</v>
      </c>
      <c r="G156" s="724">
        <v>1</v>
      </c>
      <c r="H156" s="724">
        <v>1</v>
      </c>
      <c r="I156" s="728">
        <v>3</v>
      </c>
      <c r="J156" s="731" t="s">
        <v>864</v>
      </c>
      <c r="K156" s="713" t="s">
        <v>1092</v>
      </c>
      <c r="L156" s="366"/>
    </row>
    <row r="157" spans="1:26" ht="125.25" customHeight="1">
      <c r="A157" s="910"/>
      <c r="B157" s="921"/>
      <c r="C157" s="860"/>
      <c r="D157" s="713" t="s">
        <v>1000</v>
      </c>
      <c r="E157" s="724">
        <v>0</v>
      </c>
      <c r="F157" s="724">
        <v>1</v>
      </c>
      <c r="G157" s="724">
        <v>1</v>
      </c>
      <c r="H157" s="724">
        <v>1</v>
      </c>
      <c r="I157" s="728">
        <v>3</v>
      </c>
      <c r="J157" s="731" t="s">
        <v>864</v>
      </c>
      <c r="K157" s="710" t="s">
        <v>1156</v>
      </c>
      <c r="L157" s="366"/>
    </row>
    <row r="158" spans="1:26" ht="23.25">
      <c r="A158" s="911"/>
      <c r="B158" s="922"/>
      <c r="C158" s="923"/>
      <c r="D158" s="923"/>
      <c r="E158" s="923"/>
      <c r="F158" s="923"/>
      <c r="G158" s="923"/>
      <c r="H158" s="923"/>
      <c r="I158" s="923"/>
      <c r="J158" s="923"/>
      <c r="K158" s="924"/>
      <c r="L158" s="366"/>
    </row>
    <row r="159" spans="1:26" ht="69.75" customHeight="1">
      <c r="A159" s="395"/>
      <c r="B159" s="859" t="s">
        <v>1001</v>
      </c>
      <c r="C159" s="858" t="s">
        <v>1002</v>
      </c>
      <c r="D159" s="884" t="s">
        <v>1003</v>
      </c>
      <c r="E159" s="724">
        <v>1</v>
      </c>
      <c r="F159" s="724">
        <v>1</v>
      </c>
      <c r="G159" s="724">
        <v>1</v>
      </c>
      <c r="H159" s="724">
        <v>1</v>
      </c>
      <c r="I159" s="728">
        <v>4</v>
      </c>
      <c r="J159" s="731" t="s">
        <v>864</v>
      </c>
      <c r="K159" s="711" t="s">
        <v>1010</v>
      </c>
      <c r="L159" s="362"/>
    </row>
    <row r="160" spans="1:26" ht="64.5" customHeight="1">
      <c r="A160" s="876" t="s">
        <v>649</v>
      </c>
      <c r="B160" s="859"/>
      <c r="C160" s="858"/>
      <c r="D160" s="884"/>
      <c r="E160" s="724">
        <v>0</v>
      </c>
      <c r="F160" s="724">
        <v>2</v>
      </c>
      <c r="G160" s="724">
        <v>1</v>
      </c>
      <c r="H160" s="724">
        <v>1</v>
      </c>
      <c r="I160" s="728">
        <v>4</v>
      </c>
      <c r="J160" s="731" t="s">
        <v>864</v>
      </c>
      <c r="K160" s="711" t="s">
        <v>1011</v>
      </c>
      <c r="L160" s="366"/>
    </row>
    <row r="161" spans="1:26" ht="82.5" customHeight="1">
      <c r="A161" s="877"/>
      <c r="B161" s="859"/>
      <c r="C161" s="858"/>
      <c r="D161" s="713" t="s">
        <v>1004</v>
      </c>
      <c r="E161" s="724">
        <v>20</v>
      </c>
      <c r="F161" s="724">
        <v>80</v>
      </c>
      <c r="G161" s="724">
        <v>100</v>
      </c>
      <c r="H161" s="724">
        <v>0</v>
      </c>
      <c r="I161" s="728">
        <v>100</v>
      </c>
      <c r="J161" s="717" t="s">
        <v>798</v>
      </c>
      <c r="K161" s="711" t="s">
        <v>1012</v>
      </c>
      <c r="L161" s="366"/>
    </row>
    <row r="162" spans="1:26" ht="69.75">
      <c r="A162" s="877"/>
      <c r="B162" s="859"/>
      <c r="C162" s="858"/>
      <c r="D162" s="713" t="s">
        <v>1005</v>
      </c>
      <c r="E162" s="724">
        <v>20</v>
      </c>
      <c r="F162" s="724">
        <v>50</v>
      </c>
      <c r="G162" s="724">
        <v>100</v>
      </c>
      <c r="H162" s="724">
        <v>0</v>
      </c>
      <c r="I162" s="728">
        <v>100</v>
      </c>
      <c r="J162" s="717" t="s">
        <v>798</v>
      </c>
      <c r="K162" s="712" t="s">
        <v>1013</v>
      </c>
      <c r="L162" s="366"/>
    </row>
    <row r="163" spans="1:26" ht="109.5" customHeight="1">
      <c r="A163" s="877"/>
      <c r="B163" s="859"/>
      <c r="C163" s="858"/>
      <c r="D163" s="713" t="s">
        <v>1006</v>
      </c>
      <c r="E163" s="724">
        <v>100</v>
      </c>
      <c r="F163" s="724">
        <v>100</v>
      </c>
      <c r="G163" s="724">
        <v>100</v>
      </c>
      <c r="H163" s="724">
        <v>100</v>
      </c>
      <c r="I163" s="728">
        <v>100</v>
      </c>
      <c r="J163" s="717" t="s">
        <v>798</v>
      </c>
      <c r="K163" s="711" t="s">
        <v>1014</v>
      </c>
      <c r="L163" s="362"/>
    </row>
    <row r="164" spans="1:26" s="280" customFormat="1" ht="78" customHeight="1">
      <c r="A164" s="877"/>
      <c r="B164" s="859"/>
      <c r="C164" s="858"/>
      <c r="D164" s="885" t="s">
        <v>1007</v>
      </c>
      <c r="E164" s="724">
        <v>60</v>
      </c>
      <c r="F164" s="724">
        <v>75</v>
      </c>
      <c r="G164" s="724">
        <v>85</v>
      </c>
      <c r="H164" s="724">
        <v>95</v>
      </c>
      <c r="I164" s="728">
        <v>95</v>
      </c>
      <c r="J164" s="717" t="s">
        <v>798</v>
      </c>
      <c r="K164" s="729" t="s">
        <v>1015</v>
      </c>
      <c r="L164" s="366"/>
      <c r="M164" s="389"/>
      <c r="N164" s="389"/>
      <c r="O164" s="389"/>
      <c r="P164" s="389"/>
      <c r="Q164" s="389"/>
      <c r="R164" s="389"/>
      <c r="S164" s="389"/>
      <c r="T164" s="389"/>
      <c r="U164" s="389"/>
      <c r="V164" s="389"/>
      <c r="W164" s="389"/>
      <c r="X164" s="389"/>
      <c r="Y164" s="389"/>
      <c r="Z164" s="389"/>
    </row>
    <row r="165" spans="1:26" s="280" customFormat="1" ht="77.25" customHeight="1">
      <c r="A165" s="877"/>
      <c r="B165" s="859"/>
      <c r="C165" s="858"/>
      <c r="D165" s="885"/>
      <c r="E165" s="724">
        <v>100</v>
      </c>
      <c r="F165" s="724">
        <v>100</v>
      </c>
      <c r="G165" s="724">
        <v>100</v>
      </c>
      <c r="H165" s="724">
        <v>100</v>
      </c>
      <c r="I165" s="728">
        <v>100</v>
      </c>
      <c r="J165" s="717" t="s">
        <v>798</v>
      </c>
      <c r="K165" s="729" t="s">
        <v>1016</v>
      </c>
      <c r="L165" s="366"/>
      <c r="M165" s="389"/>
      <c r="N165" s="389"/>
      <c r="O165" s="389"/>
      <c r="P165" s="389"/>
      <c r="Q165" s="389"/>
      <c r="R165" s="389"/>
      <c r="S165" s="389"/>
      <c r="T165" s="389"/>
      <c r="U165" s="389"/>
      <c r="V165" s="389"/>
      <c r="W165" s="389"/>
      <c r="X165" s="389"/>
      <c r="Y165" s="389"/>
      <c r="Z165" s="389"/>
    </row>
    <row r="166" spans="1:26" s="280" customFormat="1" ht="39.75" customHeight="1">
      <c r="A166" s="877"/>
      <c r="B166" s="859"/>
      <c r="C166" s="858"/>
      <c r="D166" s="885" t="s">
        <v>1008</v>
      </c>
      <c r="E166" s="724">
        <v>0.3</v>
      </c>
      <c r="F166" s="724">
        <v>0.7</v>
      </c>
      <c r="G166" s="724">
        <v>0</v>
      </c>
      <c r="H166" s="724">
        <v>0</v>
      </c>
      <c r="I166" s="728">
        <v>1</v>
      </c>
      <c r="J166" s="731" t="s">
        <v>864</v>
      </c>
      <c r="K166" s="729" t="s">
        <v>1017</v>
      </c>
      <c r="L166" s="366"/>
      <c r="M166" s="389"/>
      <c r="N166" s="389"/>
      <c r="O166" s="389"/>
      <c r="P166" s="389"/>
      <c r="Q166" s="389"/>
      <c r="R166" s="389"/>
      <c r="S166" s="389"/>
      <c r="T166" s="389"/>
      <c r="U166" s="389"/>
      <c r="V166" s="389"/>
      <c r="W166" s="389"/>
      <c r="X166" s="389"/>
      <c r="Y166" s="389"/>
      <c r="Z166" s="389"/>
    </row>
    <row r="167" spans="1:26" s="280" customFormat="1" ht="38.25" customHeight="1">
      <c r="A167" s="877"/>
      <c r="B167" s="859"/>
      <c r="C167" s="858"/>
      <c r="D167" s="885"/>
      <c r="E167" s="724">
        <v>0</v>
      </c>
      <c r="F167" s="724">
        <v>1</v>
      </c>
      <c r="G167" s="724">
        <v>0</v>
      </c>
      <c r="H167" s="724">
        <v>0</v>
      </c>
      <c r="I167" s="728">
        <v>1</v>
      </c>
      <c r="J167" s="731" t="s">
        <v>864</v>
      </c>
      <c r="K167" s="729" t="s">
        <v>1018</v>
      </c>
      <c r="L167" s="366"/>
      <c r="M167" s="389"/>
      <c r="N167" s="389"/>
      <c r="O167" s="389"/>
      <c r="P167" s="389"/>
      <c r="Q167" s="389"/>
      <c r="R167" s="389"/>
      <c r="S167" s="389"/>
      <c r="T167" s="389"/>
      <c r="U167" s="389"/>
      <c r="V167" s="389"/>
      <c r="W167" s="389"/>
      <c r="X167" s="389"/>
      <c r="Y167" s="389"/>
      <c r="Z167" s="389"/>
    </row>
    <row r="168" spans="1:26" s="280" customFormat="1" ht="43.5" customHeight="1">
      <c r="A168" s="877"/>
      <c r="B168" s="859"/>
      <c r="C168" s="858"/>
      <c r="D168" s="885"/>
      <c r="E168" s="724">
        <v>0</v>
      </c>
      <c r="F168" s="724">
        <v>0</v>
      </c>
      <c r="G168" s="724">
        <v>1</v>
      </c>
      <c r="H168" s="724">
        <v>0</v>
      </c>
      <c r="I168" s="728">
        <v>1</v>
      </c>
      <c r="J168" s="731" t="s">
        <v>864</v>
      </c>
      <c r="K168" s="729" t="s">
        <v>1019</v>
      </c>
      <c r="L168" s="366"/>
      <c r="M168" s="389"/>
      <c r="N168" s="389"/>
      <c r="O168" s="389"/>
      <c r="P168" s="389"/>
      <c r="Q168" s="389"/>
      <c r="R168" s="389"/>
      <c r="S168" s="389"/>
      <c r="T168" s="389"/>
      <c r="U168" s="389"/>
      <c r="V168" s="389"/>
      <c r="W168" s="389"/>
      <c r="X168" s="389"/>
      <c r="Y168" s="389"/>
      <c r="Z168" s="389"/>
    </row>
    <row r="169" spans="1:26" s="280" customFormat="1" ht="59.25" customHeight="1">
      <c r="A169" s="877"/>
      <c r="B169" s="859"/>
      <c r="C169" s="858"/>
      <c r="D169" s="885"/>
      <c r="E169" s="724">
        <v>0</v>
      </c>
      <c r="F169" s="724">
        <v>0</v>
      </c>
      <c r="G169" s="724">
        <v>0</v>
      </c>
      <c r="H169" s="724">
        <v>1</v>
      </c>
      <c r="I169" s="728">
        <v>1</v>
      </c>
      <c r="J169" s="731" t="s">
        <v>864</v>
      </c>
      <c r="K169" s="729" t="s">
        <v>1020</v>
      </c>
      <c r="L169" s="366"/>
      <c r="M169" s="389"/>
      <c r="N169" s="389"/>
      <c r="O169" s="389"/>
      <c r="P169" s="389"/>
      <c r="Q169" s="389"/>
      <c r="R169" s="389"/>
      <c r="S169" s="389"/>
      <c r="T169" s="389"/>
      <c r="U169" s="389"/>
      <c r="V169" s="389"/>
      <c r="W169" s="389"/>
      <c r="X169" s="389"/>
      <c r="Y169" s="389"/>
      <c r="Z169" s="389"/>
    </row>
    <row r="170" spans="1:26" s="280" customFormat="1" ht="59.25" customHeight="1">
      <c r="A170" s="877"/>
      <c r="B170" s="859"/>
      <c r="C170" s="858"/>
      <c r="D170" s="925" t="s">
        <v>1009</v>
      </c>
      <c r="E170" s="829">
        <v>10</v>
      </c>
      <c r="F170" s="829">
        <v>50</v>
      </c>
      <c r="G170" s="829">
        <v>20</v>
      </c>
      <c r="H170" s="829">
        <v>20</v>
      </c>
      <c r="I170" s="830">
        <v>100</v>
      </c>
      <c r="J170" s="831" t="s">
        <v>1155</v>
      </c>
      <c r="K170" s="729" t="s">
        <v>1157</v>
      </c>
      <c r="L170" s="366"/>
      <c r="M170" s="389"/>
      <c r="N170" s="389"/>
      <c r="O170" s="389"/>
      <c r="P170" s="389"/>
      <c r="Q170" s="389"/>
      <c r="R170" s="389"/>
      <c r="S170" s="389"/>
      <c r="T170" s="389"/>
      <c r="U170" s="389"/>
      <c r="V170" s="389"/>
      <c r="W170" s="389"/>
      <c r="X170" s="389"/>
      <c r="Y170" s="389"/>
      <c r="Z170" s="389"/>
    </row>
    <row r="171" spans="1:26" s="280" customFormat="1" ht="46.5">
      <c r="A171" s="877"/>
      <c r="B171" s="859"/>
      <c r="C171" s="858"/>
      <c r="D171" s="926"/>
      <c r="E171" s="724">
        <v>0</v>
      </c>
      <c r="F171" s="724">
        <v>10</v>
      </c>
      <c r="G171" s="724">
        <v>60</v>
      </c>
      <c r="H171" s="724">
        <v>100</v>
      </c>
      <c r="I171" s="728">
        <v>100</v>
      </c>
      <c r="J171" s="717" t="s">
        <v>798</v>
      </c>
      <c r="K171" s="711" t="s">
        <v>1021</v>
      </c>
      <c r="L171" s="366"/>
      <c r="M171" s="389"/>
      <c r="N171" s="389"/>
      <c r="O171" s="389"/>
      <c r="P171" s="389"/>
      <c r="Q171" s="389"/>
      <c r="R171" s="389"/>
      <c r="S171" s="389"/>
      <c r="T171" s="389"/>
      <c r="U171" s="389"/>
      <c r="V171" s="389"/>
      <c r="W171" s="389"/>
      <c r="X171" s="389"/>
      <c r="Y171" s="389"/>
      <c r="Z171" s="389"/>
    </row>
    <row r="172" spans="1:26" s="280" customFormat="1" ht="23.25">
      <c r="A172" s="877"/>
      <c r="B172" s="859"/>
      <c r="C172" s="883"/>
      <c r="D172" s="883"/>
      <c r="E172" s="883"/>
      <c r="F172" s="883"/>
      <c r="G172" s="883"/>
      <c r="H172" s="883"/>
      <c r="I172" s="883"/>
      <c r="J172" s="883"/>
      <c r="K172" s="883"/>
      <c r="L172" s="366"/>
      <c r="M172" s="389"/>
      <c r="N172" s="389"/>
      <c r="O172" s="389"/>
      <c r="P172" s="389"/>
      <c r="Q172" s="389"/>
      <c r="R172" s="389"/>
      <c r="S172" s="389"/>
      <c r="T172" s="389"/>
      <c r="U172" s="389"/>
      <c r="V172" s="389"/>
      <c r="W172" s="389"/>
      <c r="X172" s="389"/>
      <c r="Y172" s="389"/>
      <c r="Z172" s="389"/>
    </row>
    <row r="173" spans="1:26" s="280" customFormat="1" ht="75.75" customHeight="1">
      <c r="A173" s="877"/>
      <c r="B173" s="859"/>
      <c r="C173" s="860" t="s">
        <v>1022</v>
      </c>
      <c r="D173" s="884" t="s">
        <v>1093</v>
      </c>
      <c r="E173" s="724">
        <v>30</v>
      </c>
      <c r="F173" s="724">
        <v>100</v>
      </c>
      <c r="G173" s="724">
        <v>0</v>
      </c>
      <c r="H173" s="724">
        <v>0</v>
      </c>
      <c r="I173" s="728">
        <v>100</v>
      </c>
      <c r="J173" s="717" t="s">
        <v>798</v>
      </c>
      <c r="K173" s="711" t="s">
        <v>1029</v>
      </c>
      <c r="L173" s="366"/>
      <c r="M173" s="389"/>
      <c r="N173" s="389"/>
      <c r="O173" s="389"/>
      <c r="P173" s="389"/>
      <c r="Q173" s="389"/>
      <c r="R173" s="389"/>
      <c r="S173" s="389"/>
      <c r="T173" s="389"/>
      <c r="U173" s="389"/>
      <c r="V173" s="389"/>
      <c r="W173" s="389"/>
      <c r="X173" s="389"/>
      <c r="Y173" s="389"/>
      <c r="Z173" s="389"/>
    </row>
    <row r="174" spans="1:26" ht="82.5" customHeight="1">
      <c r="A174" s="878"/>
      <c r="B174" s="859"/>
      <c r="C174" s="860"/>
      <c r="D174" s="884"/>
      <c r="E174" s="724">
        <v>1</v>
      </c>
      <c r="F174" s="724">
        <v>1</v>
      </c>
      <c r="G174" s="724">
        <v>1</v>
      </c>
      <c r="H174" s="724">
        <v>1</v>
      </c>
      <c r="I174" s="728">
        <v>1</v>
      </c>
      <c r="J174" s="731" t="s">
        <v>864</v>
      </c>
      <c r="K174" s="711" t="s">
        <v>1030</v>
      </c>
      <c r="L174" s="366"/>
    </row>
    <row r="175" spans="1:26" ht="35.25" customHeight="1">
      <c r="A175" s="377"/>
      <c r="B175" s="859"/>
      <c r="C175" s="860"/>
      <c r="D175" s="884" t="s">
        <v>1023</v>
      </c>
      <c r="E175" s="919">
        <v>10</v>
      </c>
      <c r="F175" s="919">
        <v>60</v>
      </c>
      <c r="G175" s="919">
        <v>100</v>
      </c>
      <c r="H175" s="919">
        <v>0</v>
      </c>
      <c r="I175" s="920">
        <v>100</v>
      </c>
      <c r="J175" s="887" t="s">
        <v>798</v>
      </c>
      <c r="K175" s="886" t="s">
        <v>1031</v>
      </c>
      <c r="L175" s="362"/>
    </row>
    <row r="176" spans="1:26" s="280" customFormat="1" ht="46.5" customHeight="1">
      <c r="A176" s="876" t="s">
        <v>665</v>
      </c>
      <c r="B176" s="859"/>
      <c r="C176" s="860"/>
      <c r="D176" s="884"/>
      <c r="E176" s="919"/>
      <c r="F176" s="919"/>
      <c r="G176" s="919"/>
      <c r="H176" s="919"/>
      <c r="I176" s="920"/>
      <c r="J176" s="887"/>
      <c r="K176" s="886"/>
      <c r="L176" s="366"/>
      <c r="M176" s="389"/>
      <c r="N176" s="389"/>
      <c r="O176" s="389"/>
      <c r="P176" s="389"/>
      <c r="Q176" s="389"/>
      <c r="R176" s="389"/>
      <c r="S176" s="389"/>
      <c r="T176" s="389"/>
      <c r="U176" s="389"/>
      <c r="V176" s="389"/>
      <c r="W176" s="389"/>
      <c r="X176" s="389"/>
      <c r="Y176" s="389"/>
      <c r="Z176" s="389"/>
    </row>
    <row r="177" spans="1:26" s="280" customFormat="1" ht="70.5" customHeight="1">
      <c r="A177" s="877"/>
      <c r="B177" s="859"/>
      <c r="C177" s="860"/>
      <c r="D177" s="710" t="s">
        <v>1024</v>
      </c>
      <c r="E177" s="724">
        <v>1</v>
      </c>
      <c r="F177" s="724">
        <v>1</v>
      </c>
      <c r="G177" s="724">
        <v>1</v>
      </c>
      <c r="H177" s="724">
        <v>1</v>
      </c>
      <c r="I177" s="728">
        <v>1</v>
      </c>
      <c r="J177" s="731" t="s">
        <v>864</v>
      </c>
      <c r="K177" s="710" t="s">
        <v>1032</v>
      </c>
      <c r="L177" s="366"/>
      <c r="M177" s="389"/>
      <c r="N177" s="389"/>
      <c r="O177" s="389"/>
      <c r="P177" s="389"/>
      <c r="Q177" s="389"/>
      <c r="R177" s="389"/>
      <c r="S177" s="389"/>
      <c r="T177" s="389"/>
      <c r="U177" s="389"/>
      <c r="V177" s="389"/>
      <c r="W177" s="389"/>
      <c r="X177" s="389"/>
      <c r="Y177" s="389"/>
      <c r="Z177" s="389"/>
    </row>
    <row r="178" spans="1:26" s="280" customFormat="1" ht="43.5" customHeight="1">
      <c r="A178" s="877"/>
      <c r="B178" s="859"/>
      <c r="C178" s="860"/>
      <c r="D178" s="884" t="s">
        <v>1025</v>
      </c>
      <c r="E178" s="919">
        <v>100</v>
      </c>
      <c r="F178" s="919">
        <v>100</v>
      </c>
      <c r="G178" s="919">
        <v>100</v>
      </c>
      <c r="H178" s="919">
        <v>100</v>
      </c>
      <c r="I178" s="920">
        <v>100</v>
      </c>
      <c r="J178" s="887"/>
      <c r="K178" s="884" t="s">
        <v>1033</v>
      </c>
      <c r="L178" s="366"/>
      <c r="M178" s="389"/>
      <c r="N178" s="389"/>
      <c r="O178" s="389"/>
      <c r="P178" s="389"/>
      <c r="Q178" s="389"/>
      <c r="R178" s="389"/>
      <c r="S178" s="389"/>
      <c r="T178" s="389"/>
      <c r="U178" s="389"/>
      <c r="V178" s="389"/>
      <c r="W178" s="389"/>
      <c r="X178" s="389"/>
      <c r="Y178" s="389"/>
      <c r="Z178" s="389"/>
    </row>
    <row r="179" spans="1:26" s="280" customFormat="1" ht="36" customHeight="1">
      <c r="A179" s="877"/>
      <c r="B179" s="859"/>
      <c r="C179" s="860"/>
      <c r="D179" s="884"/>
      <c r="E179" s="919"/>
      <c r="F179" s="919"/>
      <c r="G179" s="919"/>
      <c r="H179" s="919"/>
      <c r="I179" s="920"/>
      <c r="J179" s="887"/>
      <c r="K179" s="884"/>
      <c r="L179" s="362"/>
      <c r="M179" s="389"/>
      <c r="N179" s="389"/>
      <c r="O179" s="389"/>
      <c r="P179" s="389"/>
      <c r="Q179" s="389"/>
      <c r="R179" s="389"/>
      <c r="S179" s="389"/>
      <c r="T179" s="389"/>
      <c r="U179" s="389"/>
      <c r="V179" s="389"/>
      <c r="W179" s="389"/>
      <c r="X179" s="389"/>
      <c r="Y179" s="389"/>
      <c r="Z179" s="389"/>
    </row>
    <row r="180" spans="1:26" s="280" customFormat="1" ht="46.5">
      <c r="A180" s="877"/>
      <c r="B180" s="859"/>
      <c r="C180" s="860"/>
      <c r="D180" s="885" t="s">
        <v>1026</v>
      </c>
      <c r="E180" s="724">
        <v>1</v>
      </c>
      <c r="F180" s="724">
        <v>1</v>
      </c>
      <c r="G180" s="724">
        <v>1</v>
      </c>
      <c r="H180" s="724">
        <v>0</v>
      </c>
      <c r="I180" s="728">
        <v>3</v>
      </c>
      <c r="J180" s="731" t="s">
        <v>864</v>
      </c>
      <c r="K180" s="713" t="s">
        <v>1034</v>
      </c>
      <c r="L180" s="366"/>
      <c r="M180" s="389"/>
      <c r="N180" s="389"/>
      <c r="O180" s="389"/>
      <c r="P180" s="389"/>
      <c r="Q180" s="389"/>
      <c r="R180" s="389"/>
      <c r="S180" s="389"/>
      <c r="T180" s="389"/>
      <c r="U180" s="389"/>
      <c r="V180" s="389"/>
      <c r="W180" s="389"/>
      <c r="X180" s="389"/>
      <c r="Y180" s="389"/>
      <c r="Z180" s="389"/>
    </row>
    <row r="181" spans="1:26" s="280" customFormat="1" ht="46.5">
      <c r="A181" s="877"/>
      <c r="B181" s="859"/>
      <c r="C181" s="860"/>
      <c r="D181" s="885"/>
      <c r="E181" s="724">
        <v>2</v>
      </c>
      <c r="F181" s="724">
        <v>1</v>
      </c>
      <c r="G181" s="724">
        <v>1</v>
      </c>
      <c r="H181" s="724">
        <v>0</v>
      </c>
      <c r="I181" s="728">
        <v>4</v>
      </c>
      <c r="J181" s="731" t="s">
        <v>864</v>
      </c>
      <c r="K181" s="713" t="s">
        <v>1035</v>
      </c>
      <c r="L181" s="366"/>
      <c r="M181" s="389"/>
      <c r="N181" s="389"/>
      <c r="O181" s="389"/>
      <c r="P181" s="389"/>
      <c r="Q181" s="389"/>
      <c r="R181" s="389"/>
      <c r="S181" s="389"/>
      <c r="T181" s="389"/>
      <c r="U181" s="389"/>
      <c r="V181" s="389"/>
      <c r="W181" s="389"/>
      <c r="X181" s="389"/>
      <c r="Y181" s="389"/>
      <c r="Z181" s="389"/>
    </row>
    <row r="182" spans="1:26" s="280" customFormat="1" ht="23.25">
      <c r="A182" s="877"/>
      <c r="B182" s="859"/>
      <c r="C182" s="860"/>
      <c r="D182" s="885"/>
      <c r="E182" s="724">
        <v>100</v>
      </c>
      <c r="F182" s="724">
        <v>100</v>
      </c>
      <c r="G182" s="724">
        <v>100</v>
      </c>
      <c r="H182" s="724">
        <v>100</v>
      </c>
      <c r="I182" s="728">
        <v>100</v>
      </c>
      <c r="J182" s="717" t="s">
        <v>798</v>
      </c>
      <c r="K182" s="713" t="s">
        <v>1036</v>
      </c>
      <c r="L182" s="366"/>
      <c r="M182" s="389"/>
      <c r="N182" s="389"/>
      <c r="O182" s="389"/>
      <c r="P182" s="389"/>
      <c r="Q182" s="389"/>
      <c r="R182" s="389"/>
      <c r="S182" s="389"/>
      <c r="T182" s="389"/>
      <c r="U182" s="389"/>
      <c r="V182" s="389"/>
      <c r="W182" s="389"/>
      <c r="X182" s="389"/>
      <c r="Y182" s="389"/>
      <c r="Z182" s="389"/>
    </row>
    <row r="183" spans="1:26" ht="77.25" customHeight="1">
      <c r="A183" s="877"/>
      <c r="B183" s="859"/>
      <c r="C183" s="860"/>
      <c r="D183" s="691" t="s">
        <v>1027</v>
      </c>
      <c r="E183" s="724">
        <v>20</v>
      </c>
      <c r="F183" s="724">
        <v>80</v>
      </c>
      <c r="G183" s="724">
        <v>100</v>
      </c>
      <c r="H183" s="724">
        <v>0</v>
      </c>
      <c r="I183" s="728">
        <v>100</v>
      </c>
      <c r="J183" s="717" t="s">
        <v>798</v>
      </c>
      <c r="K183" s="713" t="s">
        <v>1037</v>
      </c>
      <c r="L183" s="362"/>
    </row>
    <row r="184" spans="1:26" s="280" customFormat="1" ht="52.5" customHeight="1">
      <c r="A184" s="877"/>
      <c r="B184" s="859"/>
      <c r="C184" s="860"/>
      <c r="D184" s="710" t="s">
        <v>1028</v>
      </c>
      <c r="E184" s="724">
        <v>10</v>
      </c>
      <c r="F184" s="724">
        <v>20</v>
      </c>
      <c r="G184" s="724">
        <v>50</v>
      </c>
      <c r="H184" s="724">
        <v>80</v>
      </c>
      <c r="I184" s="728">
        <v>80</v>
      </c>
      <c r="J184" s="717" t="s">
        <v>798</v>
      </c>
      <c r="K184" s="713" t="s">
        <v>1038</v>
      </c>
      <c r="L184" s="366"/>
      <c r="M184" s="389"/>
      <c r="N184" s="389"/>
      <c r="O184" s="389"/>
      <c r="P184" s="389"/>
      <c r="Q184" s="389"/>
      <c r="R184" s="389"/>
      <c r="S184" s="389"/>
      <c r="T184" s="389"/>
      <c r="U184" s="389"/>
      <c r="V184" s="389"/>
      <c r="W184" s="389"/>
      <c r="X184" s="389"/>
      <c r="Y184" s="389"/>
      <c r="Z184" s="389"/>
    </row>
    <row r="185" spans="1:26" s="280" customFormat="1" ht="23.25">
      <c r="A185" s="877"/>
      <c r="B185" s="859"/>
      <c r="C185" s="932"/>
      <c r="D185" s="932"/>
      <c r="E185" s="932"/>
      <c r="F185" s="932"/>
      <c r="G185" s="932"/>
      <c r="H185" s="932"/>
      <c r="I185" s="932"/>
      <c r="J185" s="932"/>
      <c r="K185" s="932"/>
      <c r="L185" s="366"/>
      <c r="M185" s="389"/>
      <c r="N185" s="389"/>
      <c r="O185" s="389"/>
      <c r="P185" s="389"/>
      <c r="Q185" s="389"/>
      <c r="R185" s="389"/>
      <c r="S185" s="389"/>
      <c r="T185" s="389"/>
      <c r="U185" s="389"/>
      <c r="V185" s="389"/>
      <c r="W185" s="389"/>
      <c r="X185" s="389"/>
      <c r="Y185" s="389"/>
      <c r="Z185" s="389"/>
    </row>
    <row r="186" spans="1:26" ht="76.5" customHeight="1">
      <c r="A186" s="877"/>
      <c r="B186" s="859"/>
      <c r="C186" s="889" t="s">
        <v>1039</v>
      </c>
      <c r="D186" s="712" t="s">
        <v>1040</v>
      </c>
      <c r="E186" s="724">
        <v>1</v>
      </c>
      <c r="F186" s="724">
        <v>1</v>
      </c>
      <c r="G186" s="724">
        <v>1</v>
      </c>
      <c r="H186" s="724">
        <v>1</v>
      </c>
      <c r="I186" s="728">
        <v>1</v>
      </c>
      <c r="J186" s="731" t="s">
        <v>864</v>
      </c>
      <c r="K186" s="711" t="s">
        <v>1047</v>
      </c>
      <c r="L186" s="366"/>
    </row>
    <row r="187" spans="1:26" ht="46.5">
      <c r="A187" s="877"/>
      <c r="B187" s="859"/>
      <c r="C187" s="889"/>
      <c r="D187" s="712" t="s">
        <v>1041</v>
      </c>
      <c r="E187" s="724">
        <v>50</v>
      </c>
      <c r="F187" s="724">
        <v>100</v>
      </c>
      <c r="G187" s="724">
        <v>100</v>
      </c>
      <c r="H187" s="724">
        <v>100</v>
      </c>
      <c r="I187" s="728">
        <v>100</v>
      </c>
      <c r="J187" s="717" t="s">
        <v>798</v>
      </c>
      <c r="K187" s="711" t="s">
        <v>657</v>
      </c>
      <c r="L187" s="362"/>
    </row>
    <row r="188" spans="1:26" ht="52.5" customHeight="1">
      <c r="A188" s="877"/>
      <c r="B188" s="859"/>
      <c r="C188" s="889"/>
      <c r="D188" s="712" t="s">
        <v>1042</v>
      </c>
      <c r="E188" s="724">
        <v>50</v>
      </c>
      <c r="F188" s="724">
        <v>100</v>
      </c>
      <c r="G188" s="724">
        <v>100</v>
      </c>
      <c r="H188" s="724">
        <v>100</v>
      </c>
      <c r="I188" s="728">
        <v>100</v>
      </c>
      <c r="J188" s="717" t="s">
        <v>798</v>
      </c>
      <c r="K188" s="711" t="s">
        <v>658</v>
      </c>
      <c r="L188" s="366"/>
    </row>
    <row r="189" spans="1:26" ht="52.5" customHeight="1">
      <c r="A189" s="877"/>
      <c r="B189" s="859"/>
      <c r="C189" s="889"/>
      <c r="D189" s="712" t="s">
        <v>1043</v>
      </c>
      <c r="E189" s="724">
        <v>100</v>
      </c>
      <c r="F189" s="724">
        <v>100</v>
      </c>
      <c r="G189" s="724">
        <v>100</v>
      </c>
      <c r="H189" s="724">
        <v>100</v>
      </c>
      <c r="I189" s="728">
        <v>100</v>
      </c>
      <c r="J189" s="717" t="s">
        <v>798</v>
      </c>
      <c r="K189" s="711" t="s">
        <v>1048</v>
      </c>
      <c r="L189" s="366"/>
    </row>
    <row r="190" spans="1:26" ht="105" customHeight="1">
      <c r="A190" s="877"/>
      <c r="B190" s="859"/>
      <c r="C190" s="889"/>
      <c r="D190" s="737" t="s">
        <v>1044</v>
      </c>
      <c r="E190" s="696">
        <v>1</v>
      </c>
      <c r="F190" s="696">
        <v>0</v>
      </c>
      <c r="G190" s="696">
        <v>1</v>
      </c>
      <c r="H190" s="696">
        <v>0</v>
      </c>
      <c r="I190" s="693">
        <v>4</v>
      </c>
      <c r="J190" s="731" t="s">
        <v>864</v>
      </c>
      <c r="K190" s="714" t="s">
        <v>1049</v>
      </c>
      <c r="L190" s="366"/>
    </row>
    <row r="191" spans="1:26" ht="67.5" customHeight="1">
      <c r="A191" s="881"/>
      <c r="B191" s="859"/>
      <c r="C191" s="889"/>
      <c r="D191" s="737" t="s">
        <v>1045</v>
      </c>
      <c r="E191" s="696">
        <v>1</v>
      </c>
      <c r="F191" s="696">
        <v>1</v>
      </c>
      <c r="G191" s="696">
        <v>1</v>
      </c>
      <c r="H191" s="696">
        <v>1</v>
      </c>
      <c r="I191" s="693">
        <v>1</v>
      </c>
      <c r="J191" s="731" t="s">
        <v>864</v>
      </c>
      <c r="K191" s="714" t="s">
        <v>1050</v>
      </c>
      <c r="L191" s="366"/>
    </row>
    <row r="192" spans="1:26" ht="47.25" customHeight="1">
      <c r="A192" s="881"/>
      <c r="B192" s="859"/>
      <c r="C192" s="889"/>
      <c r="D192" s="737" t="s">
        <v>1046</v>
      </c>
      <c r="E192" s="696">
        <v>0</v>
      </c>
      <c r="F192" s="696">
        <v>1</v>
      </c>
      <c r="G192" s="696">
        <v>0</v>
      </c>
      <c r="H192" s="696">
        <v>0</v>
      </c>
      <c r="I192" s="693">
        <v>1</v>
      </c>
      <c r="J192" s="731" t="s">
        <v>864</v>
      </c>
      <c r="K192" s="714" t="s">
        <v>1051</v>
      </c>
      <c r="L192" s="366"/>
    </row>
    <row r="193" spans="1:12" ht="24.75" customHeight="1">
      <c r="A193" s="881"/>
      <c r="B193" s="918"/>
      <c r="C193" s="918"/>
      <c r="D193" s="918"/>
      <c r="E193" s="918"/>
      <c r="F193" s="918"/>
      <c r="G193" s="918"/>
      <c r="H193" s="918"/>
      <c r="I193" s="918"/>
      <c r="J193" s="918"/>
      <c r="K193" s="918"/>
      <c r="L193" s="366"/>
    </row>
    <row r="194" spans="1:12" ht="42" customHeight="1">
      <c r="A194" s="881"/>
      <c r="B194" s="859" t="s">
        <v>1052</v>
      </c>
      <c r="C194" s="889" t="s">
        <v>1053</v>
      </c>
      <c r="D194" s="884" t="s">
        <v>1054</v>
      </c>
      <c r="E194" s="724">
        <v>0</v>
      </c>
      <c r="F194" s="724">
        <v>40</v>
      </c>
      <c r="G194" s="724">
        <v>0</v>
      </c>
      <c r="H194" s="724">
        <v>0</v>
      </c>
      <c r="I194" s="728">
        <v>40</v>
      </c>
      <c r="J194" s="731" t="s">
        <v>864</v>
      </c>
      <c r="K194" s="711" t="s">
        <v>1058</v>
      </c>
      <c r="L194" s="372"/>
    </row>
    <row r="195" spans="1:12" ht="46.5">
      <c r="A195" s="881"/>
      <c r="B195" s="859"/>
      <c r="C195" s="889"/>
      <c r="D195" s="884"/>
      <c r="E195" s="724">
        <v>0</v>
      </c>
      <c r="F195" s="724">
        <v>1</v>
      </c>
      <c r="G195" s="724">
        <v>1</v>
      </c>
      <c r="H195" s="724">
        <v>1</v>
      </c>
      <c r="I195" s="728">
        <v>1</v>
      </c>
      <c r="J195" s="731" t="s">
        <v>864</v>
      </c>
      <c r="K195" s="711" t="s">
        <v>1059</v>
      </c>
      <c r="L195" s="366"/>
    </row>
    <row r="196" spans="1:12" ht="46.5">
      <c r="A196" s="881"/>
      <c r="B196" s="859"/>
      <c r="C196" s="889"/>
      <c r="D196" s="886" t="s">
        <v>1055</v>
      </c>
      <c r="E196" s="724">
        <v>2</v>
      </c>
      <c r="F196" s="724">
        <v>2</v>
      </c>
      <c r="G196" s="724">
        <v>2</v>
      </c>
      <c r="H196" s="724">
        <v>2</v>
      </c>
      <c r="I196" s="728">
        <v>8</v>
      </c>
      <c r="J196" s="731" t="s">
        <v>864</v>
      </c>
      <c r="K196" s="691" t="s">
        <v>1060</v>
      </c>
      <c r="L196" s="366"/>
    </row>
    <row r="197" spans="1:12" ht="69.75">
      <c r="A197" s="881"/>
      <c r="B197" s="859"/>
      <c r="C197" s="889"/>
      <c r="D197" s="886"/>
      <c r="E197" s="724">
        <v>0</v>
      </c>
      <c r="F197" s="724">
        <v>0</v>
      </c>
      <c r="G197" s="724">
        <v>1</v>
      </c>
      <c r="H197" s="724">
        <v>1</v>
      </c>
      <c r="I197" s="728">
        <v>1</v>
      </c>
      <c r="J197" s="731" t="s">
        <v>864</v>
      </c>
      <c r="K197" s="713" t="s">
        <v>1061</v>
      </c>
      <c r="L197" s="366"/>
    </row>
    <row r="198" spans="1:12" ht="46.5">
      <c r="A198" s="881"/>
      <c r="B198" s="859"/>
      <c r="C198" s="889"/>
      <c r="D198" s="713" t="s">
        <v>1056</v>
      </c>
      <c r="E198" s="724">
        <v>1</v>
      </c>
      <c r="F198" s="724">
        <v>1</v>
      </c>
      <c r="G198" s="724">
        <v>1</v>
      </c>
      <c r="H198" s="724">
        <v>1</v>
      </c>
      <c r="I198" s="728">
        <v>1</v>
      </c>
      <c r="J198" s="731" t="s">
        <v>864</v>
      </c>
      <c r="K198" s="710" t="s">
        <v>1062</v>
      </c>
      <c r="L198" s="366"/>
    </row>
    <row r="199" spans="1:12" ht="84.75" customHeight="1">
      <c r="A199" s="881"/>
      <c r="B199" s="859"/>
      <c r="C199" s="889"/>
      <c r="D199" s="713" t="s">
        <v>1057</v>
      </c>
      <c r="E199" s="724">
        <v>1</v>
      </c>
      <c r="F199" s="724">
        <v>1</v>
      </c>
      <c r="G199" s="724">
        <v>1</v>
      </c>
      <c r="H199" s="724">
        <v>1</v>
      </c>
      <c r="I199" s="728">
        <v>1</v>
      </c>
      <c r="J199" s="731" t="s">
        <v>864</v>
      </c>
      <c r="K199" s="710" t="s">
        <v>1063</v>
      </c>
      <c r="L199" s="366"/>
    </row>
    <row r="200" spans="1:12" ht="30" customHeight="1">
      <c r="A200" s="881"/>
      <c r="B200" s="859"/>
      <c r="C200" s="933"/>
      <c r="D200" s="933"/>
      <c r="E200" s="933"/>
      <c r="F200" s="933"/>
      <c r="G200" s="933"/>
      <c r="H200" s="933"/>
      <c r="I200" s="933"/>
      <c r="J200" s="933"/>
      <c r="K200" s="933"/>
      <c r="L200" s="366"/>
    </row>
    <row r="201" spans="1:12" ht="63" customHeight="1">
      <c r="A201" s="881"/>
      <c r="B201" s="859"/>
      <c r="C201" s="858" t="s">
        <v>1064</v>
      </c>
      <c r="D201" s="712" t="s">
        <v>1065</v>
      </c>
      <c r="E201" s="724">
        <v>1</v>
      </c>
      <c r="F201" s="724">
        <v>2</v>
      </c>
      <c r="G201" s="724">
        <v>2</v>
      </c>
      <c r="H201" s="724">
        <v>2</v>
      </c>
      <c r="I201" s="728">
        <v>7</v>
      </c>
      <c r="J201" s="731" t="s">
        <v>864</v>
      </c>
      <c r="K201" s="711" t="s">
        <v>1069</v>
      </c>
      <c r="L201" s="366"/>
    </row>
    <row r="202" spans="1:12" ht="57.75" customHeight="1">
      <c r="A202" s="881"/>
      <c r="B202" s="859"/>
      <c r="C202" s="858"/>
      <c r="D202" s="713" t="s">
        <v>1066</v>
      </c>
      <c r="E202" s="724">
        <v>100</v>
      </c>
      <c r="F202" s="724">
        <v>100</v>
      </c>
      <c r="G202" s="724">
        <v>100</v>
      </c>
      <c r="H202" s="724">
        <v>100</v>
      </c>
      <c r="I202" s="728">
        <v>100</v>
      </c>
      <c r="J202" s="717" t="s">
        <v>798</v>
      </c>
      <c r="K202" s="711" t="s">
        <v>1070</v>
      </c>
      <c r="L202" s="366"/>
    </row>
    <row r="203" spans="1:12" ht="57.75" customHeight="1">
      <c r="A203" s="881"/>
      <c r="B203" s="859"/>
      <c r="C203" s="858"/>
      <c r="D203" s="713" t="s">
        <v>1067</v>
      </c>
      <c r="E203" s="724">
        <v>1</v>
      </c>
      <c r="F203" s="724">
        <v>1</v>
      </c>
      <c r="G203" s="724">
        <v>1</v>
      </c>
      <c r="H203" s="724">
        <v>1</v>
      </c>
      <c r="I203" s="728">
        <v>1</v>
      </c>
      <c r="J203" s="731" t="s">
        <v>864</v>
      </c>
      <c r="K203" s="711" t="s">
        <v>1071</v>
      </c>
      <c r="L203" s="366"/>
    </row>
    <row r="204" spans="1:12" ht="59.25" customHeight="1">
      <c r="A204" s="881"/>
      <c r="B204" s="859"/>
      <c r="C204" s="858"/>
      <c r="D204" s="713" t="s">
        <v>1068</v>
      </c>
      <c r="E204" s="724">
        <v>1</v>
      </c>
      <c r="F204" s="724">
        <v>1</v>
      </c>
      <c r="G204" s="724">
        <v>1</v>
      </c>
      <c r="H204" s="724">
        <v>1</v>
      </c>
      <c r="I204" s="728">
        <v>1</v>
      </c>
      <c r="J204" s="731" t="s">
        <v>864</v>
      </c>
      <c r="K204" s="711" t="s">
        <v>1072</v>
      </c>
      <c r="L204" s="366"/>
    </row>
    <row r="205" spans="1:12" ht="26.25" customHeight="1">
      <c r="A205" s="881"/>
      <c r="B205" s="859"/>
      <c r="C205" s="867"/>
      <c r="D205" s="868"/>
      <c r="E205" s="868"/>
      <c r="F205" s="868"/>
      <c r="G205" s="868"/>
      <c r="H205" s="868"/>
      <c r="I205" s="868"/>
      <c r="J205" s="868"/>
      <c r="K205" s="869"/>
      <c r="L205" s="366"/>
    </row>
    <row r="206" spans="1:12" ht="57.75" customHeight="1">
      <c r="A206" s="881"/>
      <c r="B206" s="859"/>
      <c r="C206" s="858" t="s">
        <v>1073</v>
      </c>
      <c r="D206" s="713" t="s">
        <v>1074</v>
      </c>
      <c r="E206" s="724">
        <v>40</v>
      </c>
      <c r="F206" s="724">
        <v>100</v>
      </c>
      <c r="G206" s="724">
        <v>100</v>
      </c>
      <c r="H206" s="724">
        <v>100</v>
      </c>
      <c r="I206" s="728">
        <v>100</v>
      </c>
      <c r="J206" s="728" t="s">
        <v>798</v>
      </c>
      <c r="K206" s="712" t="s">
        <v>1078</v>
      </c>
      <c r="L206" s="366"/>
    </row>
    <row r="207" spans="1:12" ht="61.5" customHeight="1">
      <c r="A207" s="881"/>
      <c r="B207" s="859"/>
      <c r="C207" s="858"/>
      <c r="D207" s="713" t="s">
        <v>1075</v>
      </c>
      <c r="E207" s="724">
        <v>90</v>
      </c>
      <c r="F207" s="724">
        <v>100</v>
      </c>
      <c r="G207" s="724">
        <v>100</v>
      </c>
      <c r="H207" s="724">
        <v>100</v>
      </c>
      <c r="I207" s="728">
        <v>100</v>
      </c>
      <c r="J207" s="728" t="s">
        <v>798</v>
      </c>
      <c r="K207" s="712" t="s">
        <v>664</v>
      </c>
      <c r="L207" s="366"/>
    </row>
    <row r="208" spans="1:12" s="389" customFormat="1" ht="59.25" customHeight="1">
      <c r="A208" s="881"/>
      <c r="B208" s="859"/>
      <c r="C208" s="858"/>
      <c r="D208" s="713" t="s">
        <v>1076</v>
      </c>
      <c r="E208" s="724">
        <v>70</v>
      </c>
      <c r="F208" s="724">
        <v>80</v>
      </c>
      <c r="G208" s="724">
        <v>100</v>
      </c>
      <c r="H208" s="724">
        <v>100</v>
      </c>
      <c r="I208" s="728">
        <v>100</v>
      </c>
      <c r="J208" s="728" t="s">
        <v>798</v>
      </c>
      <c r="K208" s="712" t="s">
        <v>1079</v>
      </c>
      <c r="L208" s="366"/>
    </row>
    <row r="209" spans="1:12" s="389" customFormat="1" ht="69.75">
      <c r="A209" s="881"/>
      <c r="B209" s="859"/>
      <c r="C209" s="858"/>
      <c r="D209" s="713" t="s">
        <v>1077</v>
      </c>
      <c r="E209" s="724">
        <v>20</v>
      </c>
      <c r="F209" s="724">
        <v>40</v>
      </c>
      <c r="G209" s="724">
        <v>40</v>
      </c>
      <c r="H209" s="724">
        <v>60</v>
      </c>
      <c r="I209" s="728">
        <v>60</v>
      </c>
      <c r="J209" s="728" t="s">
        <v>798</v>
      </c>
      <c r="K209" s="712" t="s">
        <v>1080</v>
      </c>
      <c r="L209" s="366"/>
    </row>
    <row r="210" spans="1:12" s="389" customFormat="1" ht="23.25" customHeight="1">
      <c r="A210" s="881"/>
      <c r="B210" s="929"/>
      <c r="C210" s="930"/>
      <c r="D210" s="930"/>
      <c r="E210" s="930"/>
      <c r="F210" s="930"/>
      <c r="G210" s="930"/>
      <c r="H210" s="930"/>
      <c r="I210" s="930"/>
      <c r="J210" s="930"/>
      <c r="K210" s="931"/>
      <c r="L210" s="366"/>
    </row>
    <row r="211" spans="1:12" s="389" customFormat="1" ht="23.25" customHeight="1">
      <c r="A211" s="881"/>
      <c r="B211" s="732"/>
      <c r="C211" s="734"/>
      <c r="D211" s="734"/>
      <c r="E211" s="734"/>
      <c r="F211" s="734"/>
      <c r="G211" s="734"/>
      <c r="H211" s="734"/>
      <c r="I211" s="734"/>
      <c r="J211" s="734"/>
      <c r="K211" s="927"/>
      <c r="L211" s="927"/>
    </row>
    <row r="212" spans="1:12" s="389" customFormat="1" ht="23.25" customHeight="1">
      <c r="A212" s="881"/>
      <c r="B212" s="733"/>
      <c r="C212" s="735"/>
      <c r="D212" s="735"/>
      <c r="E212" s="735"/>
      <c r="F212" s="735"/>
      <c r="G212" s="735"/>
      <c r="H212" s="735"/>
      <c r="I212" s="735"/>
      <c r="J212" s="735"/>
      <c r="K212" s="927"/>
      <c r="L212" s="927"/>
    </row>
    <row r="213" spans="1:12" ht="23.25" customHeight="1">
      <c r="A213" s="882"/>
      <c r="B213" s="733"/>
      <c r="C213" s="735"/>
      <c r="D213" s="735"/>
      <c r="E213" s="735"/>
      <c r="F213" s="735"/>
      <c r="G213" s="735"/>
      <c r="H213" s="735"/>
      <c r="I213" s="735"/>
      <c r="J213" s="735"/>
      <c r="K213" s="927"/>
      <c r="L213" s="927"/>
    </row>
    <row r="214" spans="1:12" ht="23.25">
      <c r="A214" s="709"/>
      <c r="B214" s="733"/>
      <c r="C214" s="735"/>
      <c r="D214" s="735"/>
      <c r="E214" s="735"/>
      <c r="F214" s="735"/>
      <c r="G214" s="735"/>
      <c r="H214" s="735"/>
      <c r="I214" s="735"/>
      <c r="J214" s="735"/>
      <c r="K214" s="927"/>
      <c r="L214" s="927"/>
    </row>
    <row r="215" spans="1:12" ht="23.25" customHeight="1">
      <c r="A215" s="396"/>
      <c r="B215" s="733"/>
      <c r="C215" s="735"/>
      <c r="D215" s="735"/>
      <c r="E215" s="735"/>
      <c r="F215" s="735"/>
      <c r="G215" s="735"/>
      <c r="H215" s="735"/>
      <c r="I215" s="735"/>
      <c r="J215" s="735"/>
      <c r="K215" s="927"/>
      <c r="L215" s="927"/>
    </row>
    <row r="216" spans="1:12">
      <c r="A216" s="397"/>
      <c r="B216" s="733"/>
      <c r="C216" s="735"/>
      <c r="D216" s="735"/>
      <c r="E216" s="735"/>
      <c r="F216" s="735"/>
      <c r="G216" s="735"/>
      <c r="H216" s="735"/>
      <c r="I216" s="735"/>
      <c r="J216" s="735"/>
      <c r="K216" s="927"/>
      <c r="L216" s="927"/>
    </row>
    <row r="217" spans="1:12">
      <c r="A217" s="397"/>
      <c r="B217" s="733"/>
      <c r="C217" s="735"/>
      <c r="D217" s="735"/>
      <c r="E217" s="735"/>
      <c r="F217" s="735"/>
      <c r="G217" s="735"/>
      <c r="H217" s="735"/>
      <c r="I217" s="735"/>
      <c r="J217" s="735"/>
      <c r="K217" s="927"/>
      <c r="L217" s="927"/>
    </row>
    <row r="218" spans="1:12">
      <c r="A218" s="397"/>
      <c r="B218" s="733"/>
      <c r="C218" s="735"/>
      <c r="D218" s="735"/>
      <c r="E218" s="735"/>
      <c r="F218" s="735"/>
      <c r="G218" s="735"/>
      <c r="H218" s="735"/>
      <c r="I218" s="735"/>
      <c r="J218" s="735"/>
      <c r="K218" s="927"/>
      <c r="L218" s="927"/>
    </row>
    <row r="219" spans="1:12">
      <c r="A219" s="397"/>
      <c r="B219" s="733"/>
      <c r="C219" s="735"/>
      <c r="D219" s="735"/>
      <c r="E219" s="735"/>
      <c r="F219" s="735"/>
      <c r="G219" s="735"/>
      <c r="H219" s="735"/>
      <c r="I219" s="735"/>
      <c r="J219" s="735"/>
      <c r="K219" s="927"/>
      <c r="L219" s="927"/>
    </row>
    <row r="220" spans="1:12">
      <c r="A220" s="397"/>
      <c r="B220" s="733"/>
      <c r="C220" s="735"/>
      <c r="D220" s="735"/>
      <c r="E220" s="735"/>
      <c r="F220" s="735"/>
      <c r="G220" s="735"/>
      <c r="H220" s="735"/>
      <c r="I220" s="735"/>
      <c r="J220" s="735"/>
      <c r="K220" s="927"/>
      <c r="L220" s="927"/>
    </row>
    <row r="221" spans="1:12">
      <c r="A221" s="397"/>
      <c r="B221" s="733"/>
      <c r="C221" s="735"/>
      <c r="D221" s="735"/>
      <c r="E221" s="735"/>
      <c r="F221" s="735"/>
      <c r="G221" s="735"/>
      <c r="H221" s="735"/>
      <c r="I221" s="735"/>
      <c r="J221" s="735"/>
      <c r="K221" s="927"/>
      <c r="L221" s="927"/>
    </row>
    <row r="222" spans="1:12">
      <c r="A222" s="397"/>
      <c r="B222" s="733"/>
      <c r="C222" s="735"/>
      <c r="D222" s="735"/>
      <c r="E222" s="735"/>
      <c r="F222" s="735"/>
      <c r="G222" s="735"/>
      <c r="H222" s="735"/>
      <c r="I222" s="735"/>
      <c r="J222" s="735"/>
      <c r="K222" s="927"/>
      <c r="L222" s="927"/>
    </row>
    <row r="223" spans="1:12">
      <c r="A223" s="397"/>
      <c r="B223" s="733"/>
      <c r="C223" s="735"/>
      <c r="D223" s="735"/>
      <c r="E223" s="735"/>
      <c r="F223" s="735"/>
      <c r="G223" s="735"/>
      <c r="H223" s="735"/>
      <c r="I223" s="735"/>
      <c r="J223" s="735"/>
      <c r="K223" s="927"/>
      <c r="L223" s="927"/>
    </row>
    <row r="224" spans="1:12">
      <c r="A224" s="397"/>
      <c r="B224" s="733"/>
      <c r="C224" s="735"/>
      <c r="D224" s="735"/>
      <c r="E224" s="735"/>
      <c r="F224" s="735"/>
      <c r="G224" s="735"/>
      <c r="H224" s="735"/>
      <c r="I224" s="735"/>
      <c r="J224" s="735"/>
      <c r="K224" s="927"/>
      <c r="L224" s="927"/>
    </row>
    <row r="225" spans="1:12">
      <c r="A225" s="397"/>
      <c r="B225" s="733"/>
      <c r="C225" s="735"/>
      <c r="D225" s="735"/>
      <c r="E225" s="735"/>
      <c r="F225" s="735"/>
      <c r="G225" s="735"/>
      <c r="H225" s="735"/>
      <c r="I225" s="735"/>
      <c r="J225" s="735"/>
      <c r="K225" s="927"/>
      <c r="L225" s="927"/>
    </row>
    <row r="226" spans="1:12">
      <c r="A226" s="397"/>
      <c r="B226" s="733"/>
      <c r="C226" s="735"/>
      <c r="D226" s="735"/>
      <c r="E226" s="735"/>
      <c r="F226" s="735"/>
      <c r="G226" s="735"/>
      <c r="H226" s="735"/>
      <c r="I226" s="735"/>
      <c r="J226" s="735"/>
      <c r="K226" s="927"/>
      <c r="L226" s="927"/>
    </row>
    <row r="227" spans="1:12">
      <c r="A227" s="397"/>
      <c r="B227" s="733"/>
      <c r="C227" s="735"/>
      <c r="D227" s="735"/>
      <c r="E227" s="735"/>
      <c r="F227" s="735"/>
      <c r="G227" s="735"/>
      <c r="H227" s="735"/>
      <c r="I227" s="735"/>
      <c r="J227" s="735"/>
      <c r="K227" s="927"/>
      <c r="L227" s="927"/>
    </row>
    <row r="228" spans="1:12">
      <c r="A228" s="397"/>
      <c r="B228" s="733"/>
      <c r="C228" s="735"/>
      <c r="D228" s="735"/>
      <c r="E228" s="735"/>
      <c r="F228" s="735"/>
      <c r="G228" s="735"/>
      <c r="H228" s="735"/>
      <c r="I228" s="735"/>
      <c r="J228" s="735"/>
      <c r="K228" s="927"/>
      <c r="L228" s="927"/>
    </row>
    <row r="229" spans="1:12">
      <c r="A229" s="397"/>
      <c r="B229" s="733"/>
      <c r="C229" s="735"/>
      <c r="D229" s="735"/>
      <c r="E229" s="735"/>
      <c r="F229" s="735"/>
      <c r="G229" s="735"/>
      <c r="H229" s="735"/>
      <c r="I229" s="735"/>
      <c r="J229" s="735"/>
      <c r="K229" s="927"/>
      <c r="L229" s="927"/>
    </row>
    <row r="230" spans="1:12">
      <c r="A230" s="397"/>
      <c r="B230" s="733"/>
      <c r="C230" s="735"/>
      <c r="D230" s="735"/>
      <c r="E230" s="735"/>
      <c r="F230" s="735"/>
      <c r="G230" s="735"/>
      <c r="H230" s="735"/>
      <c r="I230" s="735"/>
      <c r="J230" s="735"/>
      <c r="K230" s="928"/>
      <c r="L230" s="928"/>
    </row>
    <row r="231" spans="1:12">
      <c r="A231" s="397"/>
      <c r="B231" s="733"/>
      <c r="C231" s="735"/>
      <c r="D231" s="735"/>
      <c r="E231" s="735"/>
      <c r="F231" s="735"/>
      <c r="G231" s="735"/>
      <c r="H231" s="735"/>
      <c r="I231" s="735"/>
      <c r="J231" s="735"/>
      <c r="K231" s="928"/>
      <c r="L231" s="928"/>
    </row>
    <row r="232" spans="1:12">
      <c r="A232" s="397"/>
      <c r="B232" s="733"/>
      <c r="C232" s="735"/>
      <c r="D232" s="735"/>
      <c r="E232" s="735"/>
      <c r="F232" s="735"/>
      <c r="G232" s="735"/>
      <c r="H232" s="735"/>
      <c r="I232" s="735"/>
      <c r="J232" s="735"/>
      <c r="K232" s="928"/>
      <c r="L232" s="928"/>
    </row>
    <row r="233" spans="1:12">
      <c r="A233" s="397"/>
      <c r="B233" s="733"/>
      <c r="C233" s="735"/>
      <c r="D233" s="735"/>
      <c r="E233" s="735"/>
      <c r="F233" s="735"/>
      <c r="G233" s="735"/>
      <c r="H233" s="735"/>
      <c r="I233" s="735"/>
      <c r="J233" s="735"/>
      <c r="K233" s="928"/>
      <c r="L233" s="928"/>
    </row>
    <row r="234" spans="1:12">
      <c r="A234" s="397"/>
      <c r="B234" s="927"/>
      <c r="C234" s="927"/>
      <c r="D234" s="927"/>
      <c r="E234" s="927"/>
      <c r="F234" s="927"/>
      <c r="G234" s="927"/>
      <c r="H234" s="927"/>
      <c r="I234" s="927"/>
      <c r="J234" s="927"/>
      <c r="K234" s="927"/>
      <c r="L234" s="390"/>
    </row>
    <row r="235" spans="1:12">
      <c r="A235" s="397"/>
      <c r="B235" s="927"/>
      <c r="C235" s="927"/>
      <c r="D235" s="927"/>
      <c r="E235" s="927"/>
      <c r="F235" s="927"/>
      <c r="G235" s="927"/>
      <c r="H235" s="927"/>
      <c r="I235" s="927"/>
      <c r="J235" s="927"/>
      <c r="K235" s="927"/>
      <c r="L235" s="390"/>
    </row>
    <row r="236" spans="1:12">
      <c r="A236" s="397"/>
      <c r="B236" s="927"/>
      <c r="C236" s="927"/>
      <c r="D236" s="927"/>
      <c r="E236" s="927"/>
      <c r="F236" s="927"/>
      <c r="G236" s="927"/>
      <c r="H236" s="927"/>
      <c r="I236" s="927"/>
      <c r="J236" s="927"/>
      <c r="K236" s="927"/>
      <c r="L236" s="390"/>
    </row>
    <row r="237" spans="1:12">
      <c r="A237" s="397"/>
      <c r="B237" s="927"/>
      <c r="C237" s="927"/>
      <c r="D237" s="927"/>
      <c r="E237" s="927"/>
      <c r="F237" s="927"/>
      <c r="G237" s="927"/>
      <c r="H237" s="927"/>
      <c r="I237" s="927"/>
      <c r="J237" s="927"/>
      <c r="K237" s="927"/>
      <c r="L237" s="390"/>
    </row>
    <row r="238" spans="1:12">
      <c r="A238" s="397"/>
      <c r="B238" s="927"/>
      <c r="C238" s="927"/>
      <c r="D238" s="927"/>
      <c r="L238" s="390"/>
    </row>
    <row r="239" spans="1:12">
      <c r="A239" s="397"/>
      <c r="B239" s="927"/>
      <c r="C239" s="927"/>
      <c r="D239" s="927"/>
      <c r="L239" s="390"/>
    </row>
    <row r="240" spans="1:12">
      <c r="A240" s="397"/>
      <c r="L240" s="390"/>
    </row>
    <row r="241" spans="1:12">
      <c r="A241" s="397"/>
      <c r="L241" s="390"/>
    </row>
    <row r="242" spans="1:12">
      <c r="A242" s="397"/>
      <c r="L242" s="390"/>
    </row>
    <row r="243" spans="1:12">
      <c r="A243" s="397"/>
      <c r="L243" s="390"/>
    </row>
    <row r="244" spans="1:12">
      <c r="A244" s="397"/>
      <c r="L244" s="390"/>
    </row>
    <row r="245" spans="1:12">
      <c r="A245" s="397"/>
      <c r="L245" s="390"/>
    </row>
    <row r="246" spans="1:12">
      <c r="A246" s="397"/>
      <c r="L246" s="390"/>
    </row>
  </sheetData>
  <mergeCells count="136">
    <mergeCell ref="C206:C209"/>
    <mergeCell ref="B194:B209"/>
    <mergeCell ref="B234:D239"/>
    <mergeCell ref="E234:K237"/>
    <mergeCell ref="K211:L229"/>
    <mergeCell ref="K230:L233"/>
    <mergeCell ref="C205:K205"/>
    <mergeCell ref="B210:K210"/>
    <mergeCell ref="C173:C184"/>
    <mergeCell ref="C185:K185"/>
    <mergeCell ref="C186:C192"/>
    <mergeCell ref="B159:B192"/>
    <mergeCell ref="D194:D195"/>
    <mergeCell ref="D196:D197"/>
    <mergeCell ref="B193:K193"/>
    <mergeCell ref="C194:C199"/>
    <mergeCell ref="C200:K200"/>
    <mergeCell ref="C201:C204"/>
    <mergeCell ref="E175:E176"/>
    <mergeCell ref="F175:F176"/>
    <mergeCell ref="G175:G176"/>
    <mergeCell ref="H175:H176"/>
    <mergeCell ref="I175:I176"/>
    <mergeCell ref="E178:E179"/>
    <mergeCell ref="F178:F179"/>
    <mergeCell ref="G178:G179"/>
    <mergeCell ref="H178:H179"/>
    <mergeCell ref="I178:I179"/>
    <mergeCell ref="C147:C153"/>
    <mergeCell ref="C154:K154"/>
    <mergeCell ref="C155:C157"/>
    <mergeCell ref="B147:B157"/>
    <mergeCell ref="D159:D160"/>
    <mergeCell ref="D164:D165"/>
    <mergeCell ref="D166:D169"/>
    <mergeCell ref="C159:C171"/>
    <mergeCell ref="B158:K158"/>
    <mergeCell ref="D170:D171"/>
    <mergeCell ref="D120:D121"/>
    <mergeCell ref="C115:C124"/>
    <mergeCell ref="C126:C128"/>
    <mergeCell ref="B93:B128"/>
    <mergeCell ref="B129:K129"/>
    <mergeCell ref="C130:C134"/>
    <mergeCell ref="B130:B145"/>
    <mergeCell ref="C142:K142"/>
    <mergeCell ref="C135:K135"/>
    <mergeCell ref="C125:K125"/>
    <mergeCell ref="C114:K114"/>
    <mergeCell ref="C109:K109"/>
    <mergeCell ref="C100:K100"/>
    <mergeCell ref="D94:D95"/>
    <mergeCell ref="C93:C99"/>
    <mergeCell ref="D102:D103"/>
    <mergeCell ref="D104:D105"/>
    <mergeCell ref="C101:C108"/>
    <mergeCell ref="C110:C113"/>
    <mergeCell ref="A153:A158"/>
    <mergeCell ref="D98:D99"/>
    <mergeCell ref="A115:A125"/>
    <mergeCell ref="D115:D116"/>
    <mergeCell ref="I6:I7"/>
    <mergeCell ref="A133:A151"/>
    <mergeCell ref="C25:C28"/>
    <mergeCell ref="D27:D28"/>
    <mergeCell ref="D30:D36"/>
    <mergeCell ref="D37:D38"/>
    <mergeCell ref="D39:D41"/>
    <mergeCell ref="C20:K20"/>
    <mergeCell ref="C24:K24"/>
    <mergeCell ref="C29:K29"/>
    <mergeCell ref="A55:A67"/>
    <mergeCell ref="A74:A92"/>
    <mergeCell ref="A93:A112"/>
    <mergeCell ref="C55:K55"/>
    <mergeCell ref="D66:D67"/>
    <mergeCell ref="B58:K58"/>
    <mergeCell ref="D88:D89"/>
    <mergeCell ref="D86:D87"/>
    <mergeCell ref="B92:K92"/>
    <mergeCell ref="D117:D119"/>
    <mergeCell ref="B5:K5"/>
    <mergeCell ref="C17:C19"/>
    <mergeCell ref="D6:D7"/>
    <mergeCell ref="J46:J47"/>
    <mergeCell ref="K46:K47"/>
    <mergeCell ref="B45:K45"/>
    <mergeCell ref="B16:K16"/>
    <mergeCell ref="A1:K1"/>
    <mergeCell ref="A6:A7"/>
    <mergeCell ref="B6:B7"/>
    <mergeCell ref="C6:C7"/>
    <mergeCell ref="A12:A54"/>
    <mergeCell ref="C12:C15"/>
    <mergeCell ref="J6:K7"/>
    <mergeCell ref="C46:C49"/>
    <mergeCell ref="C51:C54"/>
    <mergeCell ref="C8:C11"/>
    <mergeCell ref="K10:K11"/>
    <mergeCell ref="J10:J11"/>
    <mergeCell ref="B8:B15"/>
    <mergeCell ref="A68:A73"/>
    <mergeCell ref="B3:K3"/>
    <mergeCell ref="E6:H6"/>
    <mergeCell ref="A127:A132"/>
    <mergeCell ref="D136:D139"/>
    <mergeCell ref="C136:C141"/>
    <mergeCell ref="C143:C145"/>
    <mergeCell ref="B146:K146"/>
    <mergeCell ref="A176:A213"/>
    <mergeCell ref="A160:A174"/>
    <mergeCell ref="C172:K172"/>
    <mergeCell ref="D173:D174"/>
    <mergeCell ref="D175:D176"/>
    <mergeCell ref="D178:D179"/>
    <mergeCell ref="D180:D182"/>
    <mergeCell ref="K175:K176"/>
    <mergeCell ref="K178:K179"/>
    <mergeCell ref="J175:J176"/>
    <mergeCell ref="J178:J179"/>
    <mergeCell ref="C71:C75"/>
    <mergeCell ref="C77:C81"/>
    <mergeCell ref="C83:C91"/>
    <mergeCell ref="C30:C44"/>
    <mergeCell ref="B17:B44"/>
    <mergeCell ref="C56:C57"/>
    <mergeCell ref="B46:B57"/>
    <mergeCell ref="C59:C61"/>
    <mergeCell ref="C63:C69"/>
    <mergeCell ref="C21:C23"/>
    <mergeCell ref="B59:B91"/>
    <mergeCell ref="C82:K82"/>
    <mergeCell ref="C76:K76"/>
    <mergeCell ref="C70:K70"/>
    <mergeCell ref="C62:K62"/>
    <mergeCell ref="C50:K50"/>
  </mergeCells>
  <printOptions horizontalCentered="1" verticalCentered="1"/>
  <pageMargins left="0.94488188976377963" right="0.19685039370078741" top="0.31496062992125984" bottom="0.27559055118110237" header="0.31496062992125984" footer="0.31496062992125984"/>
  <pageSetup paperSize="5" scale="28" firstPageNumber="111" fitToWidth="15" fitToHeight="15" orientation="landscape" r:id="rId1"/>
  <headerFooter scaleWithDoc="0" alignWithMargins="0">
    <oddFooter>&amp;R&amp;P</oddFooter>
  </headerFooter>
  <rowBreaks count="4" manualBreakCount="4">
    <brk id="67" max="10" man="1"/>
    <brk id="92" max="10" man="1"/>
    <brk id="160" max="10" man="1"/>
    <brk id="182" max="1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N49"/>
  <sheetViews>
    <sheetView topLeftCell="D1" workbookViewId="0">
      <selection activeCell="J17" sqref="J17"/>
    </sheetView>
  </sheetViews>
  <sheetFormatPr baseColWidth="10" defaultRowHeight="15"/>
  <cols>
    <col min="1" max="1" width="3.85546875" customWidth="1"/>
    <col min="2" max="2" width="12.28515625" customWidth="1"/>
    <col min="3" max="3" width="13.28515625" bestFit="1" customWidth="1"/>
    <col min="4" max="4" width="12.140625" customWidth="1"/>
    <col min="5" max="5" width="15" customWidth="1"/>
    <col min="6" max="6" width="13.5703125" customWidth="1"/>
    <col min="7" max="7" width="16.28515625" customWidth="1"/>
    <col min="8" max="8" width="14.85546875" customWidth="1"/>
    <col min="9" max="9" width="14.42578125" customWidth="1"/>
    <col min="10" max="10" width="17.140625" customWidth="1"/>
    <col min="11" max="11" width="15.7109375" customWidth="1"/>
    <col min="12" max="12" width="15.42578125" customWidth="1"/>
    <col min="13" max="13" width="18.5703125" customWidth="1"/>
    <col min="14" max="14" width="23.5703125" customWidth="1"/>
    <col min="15" max="15" width="13.5703125" customWidth="1"/>
  </cols>
  <sheetData>
    <row r="1" spans="2:14" ht="15.75" thickBot="1"/>
    <row r="2" spans="2:14" ht="50.25" customHeight="1" thickBot="1">
      <c r="B2" s="940" t="s">
        <v>205</v>
      </c>
      <c r="C2" s="941"/>
      <c r="D2" s="941"/>
      <c r="E2" s="941"/>
      <c r="F2" s="941"/>
      <c r="G2" s="941"/>
      <c r="H2" s="941"/>
      <c r="I2" s="941"/>
      <c r="J2" s="941"/>
      <c r="K2" s="941"/>
      <c r="L2" s="941"/>
      <c r="M2" s="941"/>
      <c r="N2" s="942"/>
    </row>
    <row r="3" spans="2:14">
      <c r="H3" s="1"/>
    </row>
    <row r="4" spans="2:14" ht="15.75" thickBot="1">
      <c r="B4" s="1"/>
      <c r="C4" s="1"/>
      <c r="D4" s="1"/>
      <c r="E4" s="1"/>
      <c r="F4" s="1"/>
      <c r="H4" s="1"/>
    </row>
    <row r="5" spans="2:14" ht="29.25" customHeight="1" thickBot="1">
      <c r="B5" s="970" t="s">
        <v>210</v>
      </c>
      <c r="C5" s="971"/>
      <c r="D5" s="971"/>
      <c r="E5" s="971"/>
      <c r="F5" s="971"/>
      <c r="G5" s="971"/>
      <c r="H5" s="971"/>
      <c r="I5" s="971"/>
      <c r="J5" s="971"/>
      <c r="K5" s="971"/>
      <c r="L5" s="971"/>
      <c r="M5" s="971"/>
      <c r="N5" s="972"/>
    </row>
    <row r="6" spans="2:14" ht="33.75" customHeight="1">
      <c r="B6" s="973" t="s">
        <v>19</v>
      </c>
      <c r="C6" s="948" t="s">
        <v>194</v>
      </c>
      <c r="D6" s="975" t="s">
        <v>20</v>
      </c>
      <c r="E6" s="948" t="s">
        <v>195</v>
      </c>
      <c r="F6" s="968" t="s">
        <v>21</v>
      </c>
      <c r="G6" s="948" t="s">
        <v>196</v>
      </c>
      <c r="H6" s="943" t="s">
        <v>197</v>
      </c>
      <c r="I6" s="945" t="s">
        <v>136</v>
      </c>
      <c r="J6" s="943" t="s">
        <v>198</v>
      </c>
      <c r="K6" s="945" t="s">
        <v>199</v>
      </c>
      <c r="L6" s="945" t="s">
        <v>200</v>
      </c>
      <c r="M6" s="945" t="s">
        <v>201</v>
      </c>
      <c r="N6" s="945" t="s">
        <v>202</v>
      </c>
    </row>
    <row r="7" spans="2:14" ht="47.25" customHeight="1" thickBot="1">
      <c r="B7" s="974"/>
      <c r="C7" s="949"/>
      <c r="D7" s="976"/>
      <c r="E7" s="949"/>
      <c r="F7" s="969"/>
      <c r="G7" s="949"/>
      <c r="H7" s="944"/>
      <c r="I7" s="946"/>
      <c r="J7" s="944"/>
      <c r="K7" s="946"/>
      <c r="L7" s="947"/>
      <c r="M7" s="947"/>
      <c r="N7" s="946"/>
    </row>
    <row r="8" spans="2:14">
      <c r="B8" s="962" t="s">
        <v>23</v>
      </c>
      <c r="C8" s="960">
        <v>0.3</v>
      </c>
      <c r="D8" s="951" t="s">
        <v>24</v>
      </c>
      <c r="E8" s="954">
        <v>0.2</v>
      </c>
      <c r="F8" s="42" t="s">
        <v>25</v>
      </c>
      <c r="G8" s="8">
        <v>0.5</v>
      </c>
      <c r="H8" s="3">
        <v>30</v>
      </c>
      <c r="I8" s="3" t="s">
        <v>186</v>
      </c>
      <c r="J8" s="55">
        <v>20</v>
      </c>
      <c r="K8" s="56">
        <f>J8/H8*100</f>
        <v>66.666666666666657</v>
      </c>
      <c r="L8" s="56">
        <f>K8*G8</f>
        <v>33.333333333333329</v>
      </c>
      <c r="M8" s="56"/>
      <c r="N8" s="56">
        <f>K8*G8*E$8*C$8</f>
        <v>1.9999999999999998</v>
      </c>
    </row>
    <row r="9" spans="2:14" ht="15.75" thickBot="1">
      <c r="B9" s="962"/>
      <c r="C9" s="960"/>
      <c r="D9" s="951"/>
      <c r="E9" s="954"/>
      <c r="F9" s="43" t="s">
        <v>137</v>
      </c>
      <c r="G9" s="47">
        <v>0.5</v>
      </c>
      <c r="H9" s="46">
        <v>1000</v>
      </c>
      <c r="I9" s="6" t="s">
        <v>189</v>
      </c>
      <c r="J9" s="57">
        <v>950</v>
      </c>
      <c r="K9" s="58">
        <f>J9/H9*100</f>
        <v>95</v>
      </c>
      <c r="L9" s="58">
        <f t="shared" ref="L9:L41" si="0">K9*G9</f>
        <v>47.5</v>
      </c>
      <c r="M9" s="58"/>
      <c r="N9" s="58">
        <f>K9*G9*E$8*C$8</f>
        <v>2.85</v>
      </c>
    </row>
    <row r="10" spans="2:14" ht="15.75" thickBot="1">
      <c r="B10" s="962"/>
      <c r="C10" s="960"/>
      <c r="D10" s="952"/>
      <c r="E10" s="955"/>
      <c r="F10" s="15"/>
      <c r="G10" s="14">
        <f>SUM(G8:G9)</f>
        <v>1</v>
      </c>
      <c r="H10" s="45"/>
      <c r="I10" s="5"/>
      <c r="J10" s="59"/>
      <c r="K10" s="60"/>
      <c r="L10" s="60"/>
      <c r="M10" s="60">
        <f>L8+L9</f>
        <v>80.833333333333329</v>
      </c>
      <c r="N10" s="60"/>
    </row>
    <row r="11" spans="2:14">
      <c r="B11" s="962"/>
      <c r="C11" s="960"/>
      <c r="D11" s="950" t="s">
        <v>26</v>
      </c>
      <c r="E11" s="953">
        <v>0.5</v>
      </c>
      <c r="F11" s="11" t="s">
        <v>27</v>
      </c>
      <c r="G11" s="48">
        <v>0.25</v>
      </c>
      <c r="H11" s="50">
        <v>5000</v>
      </c>
      <c r="I11" s="4" t="s">
        <v>190</v>
      </c>
      <c r="J11" s="61">
        <v>3500</v>
      </c>
      <c r="K11" s="62">
        <f>J11/H11*100</f>
        <v>70</v>
      </c>
      <c r="L11" s="62">
        <f t="shared" si="0"/>
        <v>17.5</v>
      </c>
      <c r="M11" s="62"/>
      <c r="N11" s="62">
        <f>K11*G11*E$11*C$8</f>
        <v>2.625</v>
      </c>
    </row>
    <row r="12" spans="2:14">
      <c r="B12" s="962"/>
      <c r="C12" s="960"/>
      <c r="D12" s="951"/>
      <c r="E12" s="954"/>
      <c r="F12" s="9" t="s">
        <v>28</v>
      </c>
      <c r="G12" s="49">
        <v>0.35</v>
      </c>
      <c r="H12" s="50">
        <v>540</v>
      </c>
      <c r="I12" s="4" t="s">
        <v>191</v>
      </c>
      <c r="J12" s="61">
        <v>300</v>
      </c>
      <c r="K12" s="62">
        <f t="shared" ref="K12:K41" si="1">J12/H12*100</f>
        <v>55.555555555555557</v>
      </c>
      <c r="L12" s="62">
        <f t="shared" si="0"/>
        <v>19.444444444444443</v>
      </c>
      <c r="M12" s="62"/>
      <c r="N12" s="62">
        <f>K12*G12*E$11*C$8</f>
        <v>2.9166666666666665</v>
      </c>
    </row>
    <row r="13" spans="2:14" ht="15.75" thickBot="1">
      <c r="B13" s="962"/>
      <c r="C13" s="960"/>
      <c r="D13" s="951"/>
      <c r="E13" s="954"/>
      <c r="F13" s="9" t="s">
        <v>138</v>
      </c>
      <c r="G13" s="49">
        <v>0.4</v>
      </c>
      <c r="H13" s="51">
        <v>65</v>
      </c>
      <c r="I13" s="2" t="s">
        <v>192</v>
      </c>
      <c r="J13" s="63">
        <v>25</v>
      </c>
      <c r="K13" s="64">
        <f t="shared" si="1"/>
        <v>38.461538461538467</v>
      </c>
      <c r="L13" s="64">
        <f t="shared" si="0"/>
        <v>15.384615384615387</v>
      </c>
      <c r="M13" s="64"/>
      <c r="N13" s="64">
        <f>K13*G13*E$11*C$8</f>
        <v>2.3076923076923079</v>
      </c>
    </row>
    <row r="14" spans="2:14" ht="15.75" thickBot="1">
      <c r="B14" s="962"/>
      <c r="C14" s="960"/>
      <c r="D14" s="952"/>
      <c r="E14" s="955"/>
      <c r="F14" s="15"/>
      <c r="G14" s="14">
        <f>SUM(G11:G13)</f>
        <v>1</v>
      </c>
      <c r="H14" s="13"/>
      <c r="I14" s="44"/>
      <c r="J14" s="65"/>
      <c r="K14" s="66"/>
      <c r="L14" s="66"/>
      <c r="M14" s="66">
        <f>SUM(L11:L13)</f>
        <v>52.32905982905983</v>
      </c>
      <c r="N14" s="66"/>
    </row>
    <row r="15" spans="2:14">
      <c r="B15" s="962"/>
      <c r="C15" s="960"/>
      <c r="D15" s="950" t="s">
        <v>139</v>
      </c>
      <c r="E15" s="953">
        <v>0.3</v>
      </c>
      <c r="F15" s="43" t="s">
        <v>29</v>
      </c>
      <c r="G15" s="47">
        <v>0.5</v>
      </c>
      <c r="H15" s="52">
        <v>3</v>
      </c>
      <c r="I15" s="12" t="s">
        <v>192</v>
      </c>
      <c r="J15" s="67">
        <v>2</v>
      </c>
      <c r="K15" s="68">
        <f t="shared" si="1"/>
        <v>66.666666666666657</v>
      </c>
      <c r="L15" s="68">
        <f t="shared" si="0"/>
        <v>33.333333333333329</v>
      </c>
      <c r="M15" s="68"/>
      <c r="N15" s="68">
        <f>K15*G15*E$15*C$8</f>
        <v>2.9999999999999996</v>
      </c>
    </row>
    <row r="16" spans="2:14" ht="15.75" thickBot="1">
      <c r="B16" s="962"/>
      <c r="C16" s="960"/>
      <c r="D16" s="965"/>
      <c r="E16" s="966"/>
      <c r="F16" s="43" t="s">
        <v>140</v>
      </c>
      <c r="G16" s="49">
        <v>0.5</v>
      </c>
      <c r="H16" s="46">
        <v>100</v>
      </c>
      <c r="I16" s="6" t="s">
        <v>189</v>
      </c>
      <c r="J16" s="69">
        <v>50</v>
      </c>
      <c r="K16" s="70">
        <f t="shared" si="1"/>
        <v>50</v>
      </c>
      <c r="L16" s="70">
        <f t="shared" si="0"/>
        <v>25</v>
      </c>
      <c r="M16" s="70"/>
      <c r="N16" s="70">
        <f>K16*G16*E$15*C$8</f>
        <v>2.25</v>
      </c>
    </row>
    <row r="17" spans="2:14" ht="15.75" thickBot="1">
      <c r="B17" s="963"/>
      <c r="C17" s="964"/>
      <c r="D17" s="34"/>
      <c r="E17" s="14">
        <f>SUM(E8:E16)</f>
        <v>1</v>
      </c>
      <c r="F17" s="15"/>
      <c r="G17" s="14">
        <f>SUM(G15:G16)</f>
        <v>1</v>
      </c>
      <c r="H17" s="13"/>
      <c r="I17" s="44"/>
      <c r="J17" s="65"/>
      <c r="K17" s="66"/>
      <c r="L17" s="66"/>
      <c r="M17" s="60">
        <f>L15+L16</f>
        <v>58.333333333333329</v>
      </c>
      <c r="N17" s="60"/>
    </row>
    <row r="18" spans="2:14">
      <c r="B18" s="967" t="s">
        <v>14</v>
      </c>
      <c r="C18" s="959">
        <v>0.4</v>
      </c>
      <c r="D18" s="950" t="s">
        <v>30</v>
      </c>
      <c r="E18" s="954">
        <v>0.25</v>
      </c>
      <c r="F18" s="9" t="s">
        <v>31</v>
      </c>
      <c r="G18" s="49">
        <v>0.45</v>
      </c>
      <c r="H18" s="52">
        <v>4</v>
      </c>
      <c r="I18" s="12" t="s">
        <v>192</v>
      </c>
      <c r="J18" s="67">
        <v>3</v>
      </c>
      <c r="K18" s="68">
        <f t="shared" si="1"/>
        <v>75</v>
      </c>
      <c r="L18" s="68">
        <f t="shared" si="0"/>
        <v>33.75</v>
      </c>
      <c r="M18" s="68"/>
      <c r="N18" s="68">
        <f>K18*G18*E$18*C$18</f>
        <v>3.375</v>
      </c>
    </row>
    <row r="19" spans="2:14">
      <c r="B19" s="962"/>
      <c r="C19" s="960"/>
      <c r="D19" s="951"/>
      <c r="E19" s="954"/>
      <c r="F19" s="9" t="s">
        <v>32</v>
      </c>
      <c r="G19" s="49">
        <v>0.15</v>
      </c>
      <c r="H19" s="50">
        <v>50</v>
      </c>
      <c r="I19" s="4" t="s">
        <v>193</v>
      </c>
      <c r="J19" s="61">
        <v>45</v>
      </c>
      <c r="K19" s="62">
        <f t="shared" si="1"/>
        <v>90</v>
      </c>
      <c r="L19" s="62">
        <f t="shared" si="0"/>
        <v>13.5</v>
      </c>
      <c r="M19" s="62"/>
      <c r="N19" s="62">
        <f>K19*G19*E$18*C$18</f>
        <v>1.35</v>
      </c>
    </row>
    <row r="20" spans="2:14" ht="15.75" thickBot="1">
      <c r="B20" s="962"/>
      <c r="C20" s="960"/>
      <c r="D20" s="951"/>
      <c r="E20" s="954"/>
      <c r="F20" s="9" t="s">
        <v>141</v>
      </c>
      <c r="G20" s="49">
        <v>0.4</v>
      </c>
      <c r="H20" s="51">
        <v>689</v>
      </c>
      <c r="I20" s="2" t="s">
        <v>189</v>
      </c>
      <c r="J20" s="63">
        <v>500</v>
      </c>
      <c r="K20" s="64">
        <f t="shared" si="1"/>
        <v>72.568940493468787</v>
      </c>
      <c r="L20" s="64">
        <f t="shared" si="0"/>
        <v>29.027576197387518</v>
      </c>
      <c r="M20" s="64"/>
      <c r="N20" s="64">
        <f>K20*G20*E$18*C$18</f>
        <v>2.9027576197387521</v>
      </c>
    </row>
    <row r="21" spans="2:14" ht="15.75" thickBot="1">
      <c r="B21" s="962"/>
      <c r="C21" s="960"/>
      <c r="D21" s="952"/>
      <c r="E21" s="955"/>
      <c r="F21" s="15"/>
      <c r="G21" s="14">
        <f>SUM(G18:G20)</f>
        <v>1</v>
      </c>
      <c r="H21" s="13"/>
      <c r="I21" s="44"/>
      <c r="J21" s="65"/>
      <c r="K21" s="66"/>
      <c r="L21" s="66"/>
      <c r="M21" s="66">
        <f>SUM(L18:L20)</f>
        <v>76.277576197387518</v>
      </c>
      <c r="N21" s="66"/>
    </row>
    <row r="22" spans="2:14">
      <c r="B22" s="962"/>
      <c r="C22" s="960"/>
      <c r="D22" s="950" t="s">
        <v>33</v>
      </c>
      <c r="E22" s="953">
        <v>0.45</v>
      </c>
      <c r="F22" s="43" t="s">
        <v>34</v>
      </c>
      <c r="G22" s="47">
        <v>0.5</v>
      </c>
      <c r="H22" s="52">
        <v>400</v>
      </c>
      <c r="I22" s="12" t="s">
        <v>187</v>
      </c>
      <c r="J22" s="67">
        <v>300</v>
      </c>
      <c r="K22" s="68">
        <f t="shared" si="1"/>
        <v>75</v>
      </c>
      <c r="L22" s="68">
        <f t="shared" si="0"/>
        <v>37.5</v>
      </c>
      <c r="M22" s="68"/>
      <c r="N22" s="68">
        <f>K22*G22*E$22*C$18</f>
        <v>6.75</v>
      </c>
    </row>
    <row r="23" spans="2:14" ht="15.75" thickBot="1">
      <c r="B23" s="962"/>
      <c r="C23" s="960"/>
      <c r="D23" s="951"/>
      <c r="E23" s="954"/>
      <c r="F23" s="9" t="s">
        <v>142</v>
      </c>
      <c r="G23" s="49">
        <v>0.5</v>
      </c>
      <c r="H23" s="51">
        <v>100</v>
      </c>
      <c r="I23" s="2" t="s">
        <v>188</v>
      </c>
      <c r="J23" s="63">
        <v>90</v>
      </c>
      <c r="K23" s="64">
        <f t="shared" si="1"/>
        <v>90</v>
      </c>
      <c r="L23" s="64">
        <f t="shared" si="0"/>
        <v>45</v>
      </c>
      <c r="M23" s="64"/>
      <c r="N23" s="64">
        <f>K23*G23*E$22*C$18</f>
        <v>8.1</v>
      </c>
    </row>
    <row r="24" spans="2:14" ht="15.75" thickBot="1">
      <c r="B24" s="962"/>
      <c r="C24" s="960"/>
      <c r="D24" s="952"/>
      <c r="E24" s="955"/>
      <c r="F24" s="15"/>
      <c r="G24" s="14">
        <f>SUM(G22:G23)</f>
        <v>1</v>
      </c>
      <c r="H24" s="13"/>
      <c r="I24" s="44"/>
      <c r="J24" s="65"/>
      <c r="K24" s="66"/>
      <c r="L24" s="66"/>
      <c r="M24" s="66">
        <f>L22+L23</f>
        <v>82.5</v>
      </c>
      <c r="N24" s="66"/>
    </row>
    <row r="25" spans="2:14">
      <c r="B25" s="962"/>
      <c r="C25" s="960"/>
      <c r="D25" s="950" t="s">
        <v>143</v>
      </c>
      <c r="E25" s="953">
        <v>0.3</v>
      </c>
      <c r="F25" s="9" t="s">
        <v>35</v>
      </c>
      <c r="G25" s="49">
        <v>0.35</v>
      </c>
      <c r="H25" s="52">
        <v>45</v>
      </c>
      <c r="I25" s="12" t="s">
        <v>191</v>
      </c>
      <c r="J25" s="67">
        <v>35</v>
      </c>
      <c r="K25" s="68">
        <f t="shared" si="1"/>
        <v>77.777777777777786</v>
      </c>
      <c r="L25" s="68">
        <f t="shared" si="0"/>
        <v>27.222222222222225</v>
      </c>
      <c r="M25" s="68"/>
      <c r="N25" s="68">
        <f>K25*G25*E$25*C$18</f>
        <v>3.2666666666666675</v>
      </c>
    </row>
    <row r="26" spans="2:14">
      <c r="B26" s="962"/>
      <c r="C26" s="960"/>
      <c r="D26" s="951"/>
      <c r="E26" s="954"/>
      <c r="F26" s="9" t="s">
        <v>36</v>
      </c>
      <c r="G26" s="49">
        <v>0.45</v>
      </c>
      <c r="H26" s="50">
        <v>30</v>
      </c>
      <c r="I26" s="4" t="s">
        <v>189</v>
      </c>
      <c r="J26" s="61">
        <v>25</v>
      </c>
      <c r="K26" s="62">
        <f t="shared" si="1"/>
        <v>83.333333333333343</v>
      </c>
      <c r="L26" s="62">
        <f t="shared" si="0"/>
        <v>37.500000000000007</v>
      </c>
      <c r="M26" s="62"/>
      <c r="N26" s="62">
        <f>K26*G26*E$25*C$18</f>
        <v>4.5000000000000009</v>
      </c>
    </row>
    <row r="27" spans="2:14" ht="15.75" thickBot="1">
      <c r="B27" s="962"/>
      <c r="C27" s="960"/>
      <c r="D27" s="951"/>
      <c r="E27" s="954"/>
      <c r="F27" s="43" t="s">
        <v>144</v>
      </c>
      <c r="G27" s="47">
        <v>0.2</v>
      </c>
      <c r="H27" s="51">
        <v>80</v>
      </c>
      <c r="I27" s="2" t="s">
        <v>193</v>
      </c>
      <c r="J27" s="63">
        <v>70</v>
      </c>
      <c r="K27" s="64">
        <f t="shared" si="1"/>
        <v>87.5</v>
      </c>
      <c r="L27" s="64">
        <f t="shared" si="0"/>
        <v>17.5</v>
      </c>
      <c r="M27" s="64"/>
      <c r="N27" s="64">
        <f>K27*G27*E$25*C$18</f>
        <v>2.1</v>
      </c>
    </row>
    <row r="28" spans="2:14" ht="15.75" thickBot="1">
      <c r="B28" s="963"/>
      <c r="C28" s="964"/>
      <c r="D28" s="35"/>
      <c r="E28" s="14">
        <f>SUM(E18:E27)</f>
        <v>1</v>
      </c>
      <c r="F28" s="15"/>
      <c r="G28" s="14">
        <f>SUM(G25:G27)</f>
        <v>1</v>
      </c>
      <c r="H28" s="13"/>
      <c r="I28" s="44"/>
      <c r="J28" s="65"/>
      <c r="K28" s="66"/>
      <c r="L28" s="66"/>
      <c r="M28" s="66">
        <f>SUM(L25:L27)</f>
        <v>82.222222222222229</v>
      </c>
      <c r="N28" s="66"/>
    </row>
    <row r="29" spans="2:14">
      <c r="B29" s="956" t="s">
        <v>145</v>
      </c>
      <c r="C29" s="959">
        <v>0.3</v>
      </c>
      <c r="D29" s="950" t="s">
        <v>146</v>
      </c>
      <c r="E29" s="953">
        <v>0.15</v>
      </c>
      <c r="F29" s="9" t="s">
        <v>147</v>
      </c>
      <c r="G29" s="49">
        <v>0.3</v>
      </c>
      <c r="H29" s="52">
        <v>90</v>
      </c>
      <c r="I29" s="12" t="s">
        <v>192</v>
      </c>
      <c r="J29" s="67">
        <v>80</v>
      </c>
      <c r="K29" s="68">
        <f t="shared" si="1"/>
        <v>88.888888888888886</v>
      </c>
      <c r="L29" s="68">
        <f t="shared" si="0"/>
        <v>26.666666666666664</v>
      </c>
      <c r="M29" s="68"/>
      <c r="N29" s="68">
        <f>K29*G29*E$29*C$29</f>
        <v>1.1999999999999997</v>
      </c>
    </row>
    <row r="30" spans="2:14">
      <c r="B30" s="957"/>
      <c r="C30" s="960"/>
      <c r="D30" s="951"/>
      <c r="E30" s="954"/>
      <c r="F30" s="9" t="s">
        <v>148</v>
      </c>
      <c r="G30" s="49">
        <v>0.3</v>
      </c>
      <c r="H30" s="50">
        <v>4000</v>
      </c>
      <c r="I30" s="4" t="s">
        <v>187</v>
      </c>
      <c r="J30" s="61">
        <v>3500</v>
      </c>
      <c r="K30" s="62">
        <f t="shared" si="1"/>
        <v>87.5</v>
      </c>
      <c r="L30" s="62">
        <f t="shared" si="0"/>
        <v>26.25</v>
      </c>
      <c r="M30" s="62"/>
      <c r="N30" s="62">
        <f>K30*G30*E$29*C$29</f>
        <v>1.1812499999999999</v>
      </c>
    </row>
    <row r="31" spans="2:14" ht="15.75" thickBot="1">
      <c r="B31" s="957"/>
      <c r="C31" s="960"/>
      <c r="D31" s="951"/>
      <c r="E31" s="954"/>
      <c r="F31" s="9" t="s">
        <v>149</v>
      </c>
      <c r="G31" s="49">
        <v>0.4</v>
      </c>
      <c r="H31" s="51">
        <v>120</v>
      </c>
      <c r="I31" s="2" t="s">
        <v>188</v>
      </c>
      <c r="J31" s="63">
        <v>100</v>
      </c>
      <c r="K31" s="64">
        <f t="shared" si="1"/>
        <v>83.333333333333343</v>
      </c>
      <c r="L31" s="64">
        <f t="shared" si="0"/>
        <v>33.333333333333336</v>
      </c>
      <c r="M31" s="64"/>
      <c r="N31" s="64">
        <f>K31*G31*E$29*C$29</f>
        <v>1.5</v>
      </c>
    </row>
    <row r="32" spans="2:14" ht="15.75" thickBot="1">
      <c r="B32" s="957"/>
      <c r="C32" s="960"/>
      <c r="D32" s="952"/>
      <c r="E32" s="955"/>
      <c r="F32" s="15"/>
      <c r="G32" s="14">
        <f>SUM(G29:G31)</f>
        <v>1</v>
      </c>
      <c r="H32" s="13"/>
      <c r="I32" s="44"/>
      <c r="J32" s="65"/>
      <c r="K32" s="66"/>
      <c r="L32" s="66"/>
      <c r="M32" s="66">
        <f>SUM(L29:L31)</f>
        <v>86.25</v>
      </c>
      <c r="N32" s="66"/>
    </row>
    <row r="33" spans="2:14">
      <c r="B33" s="957"/>
      <c r="C33" s="960"/>
      <c r="D33" s="950" t="s">
        <v>150</v>
      </c>
      <c r="E33" s="953">
        <v>0.35</v>
      </c>
      <c r="F33" s="9" t="s">
        <v>151</v>
      </c>
      <c r="G33" s="49">
        <v>0.25</v>
      </c>
      <c r="H33" s="52">
        <v>7</v>
      </c>
      <c r="I33" s="12" t="s">
        <v>191</v>
      </c>
      <c r="J33" s="67">
        <v>6</v>
      </c>
      <c r="K33" s="68">
        <f t="shared" si="1"/>
        <v>85.714285714285708</v>
      </c>
      <c r="L33" s="68">
        <f t="shared" si="0"/>
        <v>21.428571428571427</v>
      </c>
      <c r="M33" s="68"/>
      <c r="N33" s="68">
        <f>K33*G33*E$33*C$29</f>
        <v>2.2499999999999996</v>
      </c>
    </row>
    <row r="34" spans="2:14">
      <c r="B34" s="957"/>
      <c r="C34" s="960"/>
      <c r="D34" s="951"/>
      <c r="E34" s="954"/>
      <c r="F34" s="9" t="s">
        <v>152</v>
      </c>
      <c r="G34" s="49">
        <v>0.25</v>
      </c>
      <c r="H34" s="50">
        <v>45</v>
      </c>
      <c r="I34" s="4" t="s">
        <v>192</v>
      </c>
      <c r="J34" s="61">
        <v>40</v>
      </c>
      <c r="K34" s="62">
        <f t="shared" si="1"/>
        <v>88.888888888888886</v>
      </c>
      <c r="L34" s="62">
        <f t="shared" si="0"/>
        <v>22.222222222222221</v>
      </c>
      <c r="M34" s="62"/>
      <c r="N34" s="62">
        <f>K34*G34*E$33*C$29</f>
        <v>2.333333333333333</v>
      </c>
    </row>
    <row r="35" spans="2:14" ht="15.75" thickBot="1">
      <c r="B35" s="957"/>
      <c r="C35" s="960"/>
      <c r="D35" s="951"/>
      <c r="E35" s="954"/>
      <c r="F35" s="9" t="s">
        <v>153</v>
      </c>
      <c r="G35" s="49">
        <v>0.5</v>
      </c>
      <c r="H35" s="51">
        <v>80</v>
      </c>
      <c r="I35" s="2" t="s">
        <v>186</v>
      </c>
      <c r="J35" s="63">
        <v>70</v>
      </c>
      <c r="K35" s="64">
        <f t="shared" si="1"/>
        <v>87.5</v>
      </c>
      <c r="L35" s="64">
        <f t="shared" si="0"/>
        <v>43.75</v>
      </c>
      <c r="M35" s="64"/>
      <c r="N35" s="64">
        <f>K35*G35*E$33*C$29</f>
        <v>4.5937499999999991</v>
      </c>
    </row>
    <row r="36" spans="2:14" ht="15.75" thickBot="1">
      <c r="B36" s="957"/>
      <c r="C36" s="960"/>
      <c r="D36" s="952"/>
      <c r="E36" s="955"/>
      <c r="F36" s="15"/>
      <c r="G36" s="14">
        <f>SUM(G33:G35)</f>
        <v>1</v>
      </c>
      <c r="H36" s="13"/>
      <c r="I36" s="44"/>
      <c r="J36" s="65"/>
      <c r="K36" s="66"/>
      <c r="L36" s="66"/>
      <c r="M36" s="66">
        <f>SUM(L33:L35)</f>
        <v>87.400793650793645</v>
      </c>
      <c r="N36" s="66"/>
    </row>
    <row r="37" spans="2:14">
      <c r="B37" s="957"/>
      <c r="C37" s="960"/>
      <c r="D37" s="950" t="s">
        <v>154</v>
      </c>
      <c r="E37" s="953">
        <v>0.45</v>
      </c>
      <c r="F37" s="10" t="s">
        <v>155</v>
      </c>
      <c r="G37" s="7">
        <v>0.5</v>
      </c>
      <c r="H37" s="52">
        <v>150</v>
      </c>
      <c r="I37" s="12" t="s">
        <v>187</v>
      </c>
      <c r="J37" s="67">
        <v>120</v>
      </c>
      <c r="K37" s="68">
        <f t="shared" si="1"/>
        <v>80</v>
      </c>
      <c r="L37" s="68">
        <f t="shared" si="0"/>
        <v>40</v>
      </c>
      <c r="M37" s="68"/>
      <c r="N37" s="68">
        <f>K37*G37*E$37*C$29</f>
        <v>5.3999999999999995</v>
      </c>
    </row>
    <row r="38" spans="2:14" ht="15.75" thickBot="1">
      <c r="B38" s="957"/>
      <c r="C38" s="960"/>
      <c r="D38" s="951"/>
      <c r="E38" s="954"/>
      <c r="F38" s="9" t="s">
        <v>156</v>
      </c>
      <c r="G38" s="49">
        <v>0.5</v>
      </c>
      <c r="H38" s="51">
        <v>100</v>
      </c>
      <c r="I38" s="2" t="s">
        <v>189</v>
      </c>
      <c r="J38" s="63">
        <v>80</v>
      </c>
      <c r="K38" s="64">
        <f t="shared" si="1"/>
        <v>80</v>
      </c>
      <c r="L38" s="64">
        <f t="shared" si="0"/>
        <v>40</v>
      </c>
      <c r="M38" s="64"/>
      <c r="N38" s="64">
        <f>K38*G38*E$37*C$29</f>
        <v>5.3999999999999995</v>
      </c>
    </row>
    <row r="39" spans="2:14" ht="15.75" thickBot="1">
      <c r="B39" s="957"/>
      <c r="C39" s="960"/>
      <c r="D39" s="952"/>
      <c r="E39" s="955"/>
      <c r="F39" s="15"/>
      <c r="G39" s="14">
        <f>SUM(G37:G38)</f>
        <v>1</v>
      </c>
      <c r="H39" s="13"/>
      <c r="I39" s="44"/>
      <c r="J39" s="65"/>
      <c r="K39" s="66"/>
      <c r="L39" s="66"/>
      <c r="M39" s="66">
        <f>L37+L38</f>
        <v>80</v>
      </c>
      <c r="N39" s="66"/>
    </row>
    <row r="40" spans="2:14">
      <c r="B40" s="957"/>
      <c r="C40" s="961"/>
      <c r="D40" s="950" t="s">
        <v>157</v>
      </c>
      <c r="E40" s="953">
        <v>0.05</v>
      </c>
      <c r="F40" s="9" t="s">
        <v>158</v>
      </c>
      <c r="G40" s="49">
        <v>0.5</v>
      </c>
      <c r="H40" s="52">
        <v>50</v>
      </c>
      <c r="I40" s="12" t="s">
        <v>191</v>
      </c>
      <c r="J40" s="67">
        <v>40</v>
      </c>
      <c r="K40" s="68">
        <f t="shared" si="1"/>
        <v>80</v>
      </c>
      <c r="L40" s="68">
        <f t="shared" si="0"/>
        <v>40</v>
      </c>
      <c r="M40" s="68"/>
      <c r="N40" s="68">
        <f>K40*G40*E$40*C$29</f>
        <v>0.6</v>
      </c>
    </row>
    <row r="41" spans="2:14" ht="15.75" thickBot="1">
      <c r="B41" s="957"/>
      <c r="C41" s="961"/>
      <c r="D41" s="951"/>
      <c r="E41" s="954"/>
      <c r="F41" s="43" t="s">
        <v>159</v>
      </c>
      <c r="G41" s="47">
        <v>0.5</v>
      </c>
      <c r="H41" s="50">
        <v>300</v>
      </c>
      <c r="I41" s="4" t="s">
        <v>188</v>
      </c>
      <c r="J41" s="61">
        <v>250</v>
      </c>
      <c r="K41" s="62">
        <f t="shared" si="1"/>
        <v>83.333333333333343</v>
      </c>
      <c r="L41" s="62">
        <f t="shared" si="0"/>
        <v>41.666666666666671</v>
      </c>
      <c r="M41" s="64"/>
      <c r="N41" s="64">
        <f>K41*G41*E$40*C$29</f>
        <v>0.625</v>
      </c>
    </row>
    <row r="42" spans="2:14" ht="15.75" thickBot="1">
      <c r="B42" s="958"/>
      <c r="C42" s="14">
        <f>SUM(C8:C41)</f>
        <v>1</v>
      </c>
      <c r="D42" s="36"/>
      <c r="E42" s="14">
        <f>SUM(E29:E41)</f>
        <v>1</v>
      </c>
      <c r="F42" s="15"/>
      <c r="G42" s="14">
        <f>SUM(G40:G41)</f>
        <v>1</v>
      </c>
      <c r="H42" s="53"/>
      <c r="I42" s="54"/>
      <c r="J42" s="65"/>
      <c r="K42" s="66"/>
      <c r="L42" s="66"/>
      <c r="M42" s="66">
        <f>L40+L41</f>
        <v>81.666666666666671</v>
      </c>
      <c r="N42" s="66"/>
    </row>
    <row r="43" spans="2:14" ht="15.75" thickBot="1">
      <c r="I43" s="29"/>
    </row>
    <row r="44" spans="2:14" ht="19.5" thickBot="1">
      <c r="J44" s="71" t="s">
        <v>204</v>
      </c>
      <c r="K44" s="73">
        <f>AVERAGE(K8:K41)</f>
        <v>77.547568364549491</v>
      </c>
      <c r="L44" s="41"/>
      <c r="M44" s="74" t="s">
        <v>203</v>
      </c>
      <c r="N44" s="72">
        <f>SUM(N8:N42)</f>
        <v>75.377116594097728</v>
      </c>
    </row>
    <row r="45" spans="2:14" ht="15.75" thickBot="1"/>
    <row r="46" spans="2:14" ht="30" customHeight="1">
      <c r="J46" s="934" t="s">
        <v>208</v>
      </c>
      <c r="K46" s="935"/>
      <c r="L46" s="28"/>
      <c r="M46" s="934" t="s">
        <v>209</v>
      </c>
      <c r="N46" s="935"/>
    </row>
    <row r="47" spans="2:14">
      <c r="J47" s="936"/>
      <c r="K47" s="937"/>
      <c r="L47" s="28"/>
      <c r="M47" s="936"/>
      <c r="N47" s="937"/>
    </row>
    <row r="48" spans="2:14" ht="15" customHeight="1">
      <c r="J48" s="936"/>
      <c r="K48" s="937"/>
      <c r="M48" s="936"/>
      <c r="N48" s="937"/>
    </row>
    <row r="49" spans="10:14" ht="15.75" thickBot="1">
      <c r="J49" s="938"/>
      <c r="K49" s="939"/>
      <c r="M49" s="938"/>
      <c r="N49" s="939"/>
    </row>
  </sheetData>
  <mergeCells count="43">
    <mergeCell ref="E6:E7"/>
    <mergeCell ref="F6:F7"/>
    <mergeCell ref="N6:N7"/>
    <mergeCell ref="B5:N5"/>
    <mergeCell ref="B6:B7"/>
    <mergeCell ref="C6:C7"/>
    <mergeCell ref="D6:D7"/>
    <mergeCell ref="E18:E21"/>
    <mergeCell ref="E22:E24"/>
    <mergeCell ref="B8:B17"/>
    <mergeCell ref="D8:D10"/>
    <mergeCell ref="E8:E10"/>
    <mergeCell ref="C8:C17"/>
    <mergeCell ref="D11:D14"/>
    <mergeCell ref="E11:E14"/>
    <mergeCell ref="D15:D16"/>
    <mergeCell ref="E15:E16"/>
    <mergeCell ref="B18:B28"/>
    <mergeCell ref="C18:C28"/>
    <mergeCell ref="D18:D21"/>
    <mergeCell ref="D22:D24"/>
    <mergeCell ref="D25:D27"/>
    <mergeCell ref="C29:C41"/>
    <mergeCell ref="D29:D32"/>
    <mergeCell ref="E29:E32"/>
    <mergeCell ref="D33:D36"/>
    <mergeCell ref="E33:E36"/>
    <mergeCell ref="J46:K49"/>
    <mergeCell ref="M46:N49"/>
    <mergeCell ref="B2:N2"/>
    <mergeCell ref="J6:J7"/>
    <mergeCell ref="H6:H7"/>
    <mergeCell ref="K6:K7"/>
    <mergeCell ref="L6:L7"/>
    <mergeCell ref="M6:M7"/>
    <mergeCell ref="G6:G7"/>
    <mergeCell ref="I6:I7"/>
    <mergeCell ref="D37:D39"/>
    <mergeCell ref="E37:E39"/>
    <mergeCell ref="D40:D41"/>
    <mergeCell ref="E40:E41"/>
    <mergeCell ref="E25:E27"/>
    <mergeCell ref="B29:B42"/>
  </mergeCells>
  <pageMargins left="0.70866141732283472" right="0.70866141732283472" top="0.74803149606299213" bottom="0.74803149606299213" header="0.31496062992125984" footer="0.31496062992125984"/>
  <pageSetup scale="5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1"/>
  <sheetViews>
    <sheetView view="pageBreakPreview" topLeftCell="A4" zoomScale="40" zoomScaleNormal="40" zoomScaleSheetLayoutView="40" zoomScalePageLayoutView="10" workbookViewId="0">
      <pane xSplit="5" ySplit="3" topLeftCell="F50" activePane="bottomRight" state="frozen"/>
      <selection activeCell="A4" sqref="A4"/>
      <selection pane="topRight" activeCell="F4" sqref="F4"/>
      <selection pane="bottomLeft" activeCell="A7" sqref="A7"/>
      <selection pane="bottomRight" activeCell="F6" sqref="F6"/>
    </sheetView>
  </sheetViews>
  <sheetFormatPr baseColWidth="10" defaultColWidth="11.42578125" defaultRowHeight="30"/>
  <cols>
    <col min="1" max="1" width="111.85546875" style="425" customWidth="1"/>
    <col min="2" max="2" width="59" style="749" customWidth="1"/>
    <col min="3" max="3" width="38" style="472" customWidth="1"/>
    <col min="4" max="4" width="35.42578125" style="418" customWidth="1"/>
    <col min="5" max="5" width="47.140625" style="430" customWidth="1"/>
    <col min="6" max="6" width="178.140625" style="423" customWidth="1"/>
    <col min="7" max="7" width="39.7109375" style="412" customWidth="1"/>
    <col min="8" max="8" width="30.42578125" style="442" customWidth="1"/>
    <col min="9" max="9" width="56.28515625" style="442" customWidth="1"/>
    <col min="10" max="10" width="40.28515625" style="442" customWidth="1"/>
    <col min="11" max="11" width="43.42578125" style="761" customWidth="1"/>
    <col min="12" max="12" width="37.7109375" style="430" customWidth="1"/>
    <col min="13" max="13" width="40.85546875" style="430" customWidth="1"/>
    <col min="14" max="14" width="41.28515625" style="426" customWidth="1"/>
    <col min="15" max="15" width="61.5703125" style="780" customWidth="1"/>
    <col min="16" max="16" width="58.85546875" style="330" customWidth="1"/>
    <col min="17" max="17" width="40.5703125" style="330" customWidth="1"/>
    <col min="18" max="19" width="56.42578125" style="412" customWidth="1"/>
    <col min="20" max="20" width="39.140625" style="412" customWidth="1"/>
    <col min="21" max="21" width="57.42578125" style="412" customWidth="1"/>
    <col min="22" max="22" width="38.85546875" style="425" customWidth="1"/>
    <col min="23" max="23" width="81.5703125" style="425" customWidth="1"/>
    <col min="24" max="24" width="52.28515625" style="425" customWidth="1"/>
    <col min="25" max="27" width="0" style="425" hidden="1" customWidth="1"/>
    <col min="28" max="16384" width="11.42578125" style="425"/>
  </cols>
  <sheetData>
    <row r="1" spans="1:26" ht="409.6" customHeight="1">
      <c r="A1" s="1018"/>
      <c r="B1" s="1018"/>
      <c r="C1" s="1018"/>
      <c r="D1" s="1018"/>
      <c r="E1" s="1018"/>
      <c r="F1" s="1018"/>
      <c r="G1" s="1018"/>
      <c r="H1" s="1018"/>
      <c r="I1" s="1018"/>
      <c r="J1" s="1018"/>
      <c r="K1" s="1018"/>
      <c r="L1" s="1018"/>
      <c r="M1" s="1018"/>
      <c r="N1" s="1018"/>
      <c r="O1" s="1018"/>
      <c r="P1" s="1018"/>
      <c r="Q1" s="1018"/>
      <c r="R1" s="1018"/>
      <c r="S1" s="1018"/>
      <c r="T1" s="1018"/>
      <c r="U1" s="1019"/>
    </row>
    <row r="2" spans="1:26" ht="65.25" customHeight="1">
      <c r="A2" s="1024" t="s">
        <v>767</v>
      </c>
      <c r="B2" s="1024"/>
      <c r="C2" s="1024"/>
      <c r="D2" s="1024"/>
      <c r="E2" s="1024"/>
      <c r="F2" s="1024"/>
      <c r="G2" s="1024"/>
      <c r="H2" s="1024"/>
      <c r="I2" s="1024"/>
      <c r="J2" s="1024"/>
      <c r="K2" s="1024"/>
      <c r="L2" s="1024"/>
      <c r="M2" s="1024"/>
      <c r="N2" s="1024"/>
      <c r="O2" s="1024"/>
      <c r="P2" s="1024"/>
      <c r="Q2" s="1024"/>
      <c r="R2" s="1024"/>
      <c r="S2" s="1024"/>
      <c r="T2" s="1024"/>
      <c r="U2" s="1024"/>
      <c r="V2" s="446"/>
    </row>
    <row r="3" spans="1:26" s="448" customFormat="1" ht="105" customHeight="1">
      <c r="A3" s="1025" t="s">
        <v>766</v>
      </c>
      <c r="B3" s="1025"/>
      <c r="C3" s="1025"/>
      <c r="D3" s="1025"/>
      <c r="E3" s="1025"/>
      <c r="F3" s="1025"/>
      <c r="G3" s="1025"/>
      <c r="H3" s="1025"/>
      <c r="I3" s="1025"/>
      <c r="J3" s="1025"/>
      <c r="K3" s="1025"/>
      <c r="L3" s="1025"/>
      <c r="M3" s="1025"/>
      <c r="N3" s="1025"/>
      <c r="O3" s="1025"/>
      <c r="P3" s="1025"/>
      <c r="Q3" s="1025"/>
      <c r="R3" s="1025"/>
      <c r="S3" s="1025"/>
      <c r="T3" s="1025"/>
      <c r="U3" s="1025"/>
      <c r="V3" s="446"/>
      <c r="W3" s="447"/>
      <c r="X3" s="447"/>
      <c r="Y3" s="447"/>
      <c r="Z3" s="447"/>
    </row>
    <row r="4" spans="1:26" s="448" customFormat="1" ht="84.75" customHeight="1" thickBot="1">
      <c r="A4" s="1086" t="s">
        <v>1165</v>
      </c>
      <c r="B4" s="1087"/>
      <c r="C4" s="1087"/>
      <c r="D4" s="1087"/>
      <c r="E4" s="1087"/>
      <c r="F4" s="1087"/>
      <c r="G4" s="1087"/>
      <c r="H4" s="1087"/>
      <c r="I4" s="1087"/>
      <c r="J4" s="1087"/>
      <c r="K4" s="1087"/>
      <c r="L4" s="1087"/>
      <c r="M4" s="1087"/>
      <c r="N4" s="1087"/>
      <c r="O4" s="1087"/>
      <c r="P4" s="1087"/>
      <c r="Q4" s="1087"/>
      <c r="R4" s="1087"/>
      <c r="S4" s="1087"/>
      <c r="T4" s="1087"/>
      <c r="U4" s="1087"/>
      <c r="V4" s="1087"/>
      <c r="W4" s="1087"/>
      <c r="X4" s="1087"/>
      <c r="Y4" s="447"/>
      <c r="Z4" s="447"/>
    </row>
    <row r="5" spans="1:26" ht="30" customHeight="1">
      <c r="A5" s="1026" t="s">
        <v>1081</v>
      </c>
      <c r="B5" s="1027" t="s">
        <v>85</v>
      </c>
      <c r="C5" s="1027"/>
      <c r="D5" s="1027"/>
      <c r="E5" s="1027"/>
      <c r="F5" s="1027"/>
      <c r="G5" s="1027"/>
      <c r="H5" s="1027"/>
      <c r="I5" s="1027"/>
      <c r="J5" s="1027"/>
      <c r="K5" s="1027"/>
      <c r="L5" s="449"/>
      <c r="M5" s="449"/>
      <c r="N5" s="473"/>
      <c r="O5" s="1028" t="s">
        <v>1154</v>
      </c>
      <c r="P5" s="1028"/>
      <c r="Q5" s="1028"/>
      <c r="R5" s="1028"/>
      <c r="S5" s="1028"/>
      <c r="T5" s="1028"/>
      <c r="U5" s="1026" t="s">
        <v>86</v>
      </c>
      <c r="V5" s="1079" t="s">
        <v>1107</v>
      </c>
      <c r="W5" s="1081" t="s">
        <v>1108</v>
      </c>
      <c r="X5" s="1083" t="s">
        <v>1109</v>
      </c>
      <c r="Y5" s="817"/>
    </row>
    <row r="6" spans="1:26" ht="277.5">
      <c r="A6" s="1026"/>
      <c r="B6" s="673" t="s">
        <v>87</v>
      </c>
      <c r="C6" s="464" t="s">
        <v>88</v>
      </c>
      <c r="D6" s="465" t="s">
        <v>89</v>
      </c>
      <c r="E6" s="450" t="s">
        <v>90</v>
      </c>
      <c r="F6" s="673" t="s">
        <v>91</v>
      </c>
      <c r="G6" s="674" t="s">
        <v>92</v>
      </c>
      <c r="H6" s="675" t="s">
        <v>212</v>
      </c>
      <c r="I6" s="675" t="s">
        <v>93</v>
      </c>
      <c r="J6" s="675" t="s">
        <v>94</v>
      </c>
      <c r="K6" s="762" t="s">
        <v>206</v>
      </c>
      <c r="L6" s="676" t="s">
        <v>455</v>
      </c>
      <c r="M6" s="676" t="s">
        <v>454</v>
      </c>
      <c r="N6" s="677" t="s">
        <v>667</v>
      </c>
      <c r="O6" s="794" t="s">
        <v>95</v>
      </c>
      <c r="P6" s="678" t="s">
        <v>96</v>
      </c>
      <c r="Q6" s="678" t="s">
        <v>97</v>
      </c>
      <c r="R6" s="679" t="s">
        <v>207</v>
      </c>
      <c r="S6" s="679" t="s">
        <v>98</v>
      </c>
      <c r="T6" s="679" t="s">
        <v>99</v>
      </c>
      <c r="U6" s="1026"/>
      <c r="V6" s="1080"/>
      <c r="W6" s="1082"/>
      <c r="X6" s="1084"/>
      <c r="Y6" s="817"/>
    </row>
    <row r="7" spans="1:26" s="453" customFormat="1" ht="118.5" customHeight="1">
      <c r="A7" s="451" t="str">
        <f>'TABLA 7 ESTRUCTURA PROGRAMÁTICA'!B8</f>
        <v xml:space="preserve"> 1. RESTAURACIÓN ECOLÓGICA VERIFICABLE Y SUSTENTABLE</v>
      </c>
      <c r="B7" s="751"/>
      <c r="C7" s="466"/>
      <c r="D7" s="467"/>
      <c r="E7" s="432"/>
      <c r="F7" s="435"/>
      <c r="G7" s="399"/>
      <c r="H7" s="440"/>
      <c r="I7" s="440"/>
      <c r="J7" s="443"/>
      <c r="K7" s="805">
        <v>0.2</v>
      </c>
      <c r="L7" s="432"/>
      <c r="M7" s="432"/>
      <c r="N7" s="474"/>
      <c r="O7" s="400"/>
      <c r="P7" s="400"/>
      <c r="Q7" s="400"/>
      <c r="R7" s="399"/>
      <c r="S7" s="401"/>
      <c r="T7" s="401"/>
      <c r="U7" s="399"/>
      <c r="V7" s="399"/>
      <c r="W7" s="399"/>
      <c r="X7" s="399"/>
      <c r="Y7" s="452"/>
      <c r="Z7" s="452"/>
    </row>
    <row r="8" spans="1:26" s="455" customFormat="1" ht="117.75" customHeight="1">
      <c r="A8" s="454" t="str">
        <f>'TABLA 7 ESTRUCTURA PROGRAMÁTICA'!C8</f>
        <v xml:space="preserve">1.1. Gestión e implentación de acciones integrales para la restauración ecológica en el departamento del Cesar </v>
      </c>
      <c r="B8" s="752"/>
      <c r="C8" s="468"/>
      <c r="D8" s="414"/>
      <c r="E8" s="429">
        <f>E9*$K9</f>
        <v>1</v>
      </c>
      <c r="F8" s="359"/>
      <c r="G8" s="429">
        <f>G9*$K9</f>
        <v>1</v>
      </c>
      <c r="H8" s="358"/>
      <c r="I8" s="358"/>
      <c r="J8" s="429">
        <f>J9*$K9</f>
        <v>1</v>
      </c>
      <c r="K8" s="415">
        <v>0.6</v>
      </c>
      <c r="L8" s="429"/>
      <c r="M8" s="429"/>
      <c r="N8" s="475"/>
      <c r="O8" s="403"/>
      <c r="P8" s="403"/>
      <c r="Q8" s="404"/>
      <c r="R8" s="402"/>
      <c r="S8" s="405"/>
      <c r="T8" s="405"/>
      <c r="U8" s="406"/>
      <c r="V8" s="406"/>
      <c r="W8" s="406"/>
      <c r="X8" s="406"/>
      <c r="Y8" s="452"/>
      <c r="Z8" s="452"/>
    </row>
    <row r="9" spans="1:26" s="455" customFormat="1" ht="90">
      <c r="A9" s="456" t="str">
        <f>'TABLA 7 ESTRUCTURA PROGRAMÁTICA'!D8</f>
        <v xml:space="preserve">1.1.1 Identificación y priorización de las zonas prioritarias para restaurar y recuperar en las 5 ERE del departamento </v>
      </c>
      <c r="B9" s="837" t="str">
        <f>'TABLA 7 ESTRUCTURA PROGRAMÁTICA'!K8</f>
        <v xml:space="preserve">ERE con  zonas identificadas y priorizadas para restaurar y recuperar. </v>
      </c>
      <c r="C9" s="838">
        <f>'TABLA 7 ESTRUCTURA PROGRAMÁTICA'!E8</f>
        <v>1</v>
      </c>
      <c r="D9" s="839">
        <v>1</v>
      </c>
      <c r="E9" s="840">
        <f>IF(C9=0,"N.A",(D9/C9)*1)</f>
        <v>1</v>
      </c>
      <c r="F9" s="423" t="s">
        <v>1262</v>
      </c>
      <c r="G9" s="806">
        <f>E9</f>
        <v>1</v>
      </c>
      <c r="H9" s="681">
        <f>'TABLA 7 ESTRUCTURA PROGRAMÁTICA'!I8</f>
        <v>5</v>
      </c>
      <c r="I9" s="478">
        <f>G9</f>
        <v>1</v>
      </c>
      <c r="J9" s="682">
        <f>I9</f>
        <v>1</v>
      </c>
      <c r="K9" s="420">
        <v>1</v>
      </c>
      <c r="L9" s="430">
        <f>IF(C9=0,E9,(G9*K9))</f>
        <v>1</v>
      </c>
      <c r="M9" s="430">
        <f>IF(L9="N.A","N.A",L9*$K$7*$K$8)</f>
        <v>0.12</v>
      </c>
      <c r="N9" s="809">
        <f>IF(M9="N.A",0,0)</f>
        <v>0</v>
      </c>
      <c r="O9" s="999">
        <v>100000000</v>
      </c>
      <c r="P9" s="999">
        <v>8919489</v>
      </c>
      <c r="Q9" s="1011">
        <f>P9/O9</f>
        <v>8.9194889999999999E-2</v>
      </c>
      <c r="R9" s="999">
        <f>O9</f>
        <v>100000000</v>
      </c>
      <c r="S9" s="999">
        <f>O9</f>
        <v>100000000</v>
      </c>
      <c r="T9" s="1011">
        <f>S9/R9</f>
        <v>1</v>
      </c>
      <c r="U9" s="999"/>
      <c r="V9" s="1016" t="s">
        <v>1115</v>
      </c>
      <c r="W9" s="1044" t="s">
        <v>1133</v>
      </c>
      <c r="X9" s="1044" t="s">
        <v>1123</v>
      </c>
      <c r="Y9" s="452"/>
      <c r="Z9" s="452"/>
    </row>
    <row r="10" spans="1:26" s="455" customFormat="1" ht="120">
      <c r="A10" s="456" t="str">
        <f>'TABLA 7 ESTRUCTURA PROGRAMÁTICA'!D9</f>
        <v>1.1.2 Formulación e implementación de proyectos de Restauración Ecológica Integral</v>
      </c>
      <c r="B10" s="837" t="str">
        <f>'TABLA 7 ESTRUCTURA PROGRAMÁTICA'!K9</f>
        <v xml:space="preserve">Proyectos de restauración Ecologica Integral - REI- gestionados y en implementaciòn. </v>
      </c>
      <c r="C10" s="838">
        <f>'TABLA 7 ESTRUCTURA PROGRAMÁTICA'!E9</f>
        <v>0</v>
      </c>
      <c r="D10" s="839">
        <v>0</v>
      </c>
      <c r="E10" s="840" t="str">
        <f t="shared" ref="E10:E12" si="0">IF(C10=0,"N.A",(D10/C10)*1)</f>
        <v>N.A</v>
      </c>
      <c r="F10" s="423" t="s">
        <v>1103</v>
      </c>
      <c r="G10" s="806" t="str">
        <f t="shared" ref="G10:G12" si="1">E10</f>
        <v>N.A</v>
      </c>
      <c r="H10" s="681">
        <f>'TABLA 7 ESTRUCTURA PROGRAMÁTICA'!I9</f>
        <v>2</v>
      </c>
      <c r="I10" s="478" t="str">
        <f t="shared" ref="I10:I12" si="2">E10</f>
        <v>N.A</v>
      </c>
      <c r="J10" s="682" t="str">
        <f t="shared" ref="J10:J73" si="3">I10</f>
        <v>N.A</v>
      </c>
      <c r="K10" s="793">
        <v>0</v>
      </c>
      <c r="L10" s="430" t="str">
        <f t="shared" ref="L10:L12" si="4">IF(C10=0,E10,(E10*K10))</f>
        <v>N.A</v>
      </c>
      <c r="M10" s="430" t="str">
        <f t="shared" ref="M10:M13" si="5">IF(L10="N.A","N.A",L10*$K$7*$K$8)</f>
        <v>N.A</v>
      </c>
      <c r="N10" s="809">
        <f>(IF(M10="N.A",0,M10))+N9</f>
        <v>0</v>
      </c>
      <c r="O10" s="1000"/>
      <c r="P10" s="1000"/>
      <c r="Q10" s="1012"/>
      <c r="R10" s="1000"/>
      <c r="S10" s="1000"/>
      <c r="T10" s="1012"/>
      <c r="U10" s="1000"/>
      <c r="V10" s="1085"/>
      <c r="W10" s="1045"/>
      <c r="X10" s="1045"/>
      <c r="Y10" s="452"/>
      <c r="Z10" s="452"/>
    </row>
    <row r="11" spans="1:26" s="455" customFormat="1" ht="60">
      <c r="A11" s="456" t="str">
        <f>'TABLA 7 ESTRUCTURA PROGRAMÁTICA'!D10</f>
        <v>1.1.3 Monitoreo, seguimiento y evaluaciòn de  las acciones de REI en implementaciòn</v>
      </c>
      <c r="B11" s="1016" t="str">
        <f>'TABLA 7 ESTRUCTURA PROGRAMÁTICA'!K10</f>
        <v>Sistema de monitoreo y reporte implementado por proyecto.</v>
      </c>
      <c r="C11" s="838">
        <f>'TABLA 7 ESTRUCTURA PROGRAMÁTICA'!E10</f>
        <v>0</v>
      </c>
      <c r="D11" s="839">
        <v>0</v>
      </c>
      <c r="E11" s="840" t="str">
        <f t="shared" si="0"/>
        <v>N.A</v>
      </c>
      <c r="F11" s="423" t="s">
        <v>1103</v>
      </c>
      <c r="G11" s="806" t="str">
        <f t="shared" si="1"/>
        <v>N.A</v>
      </c>
      <c r="H11" s="681">
        <f>'TABLA 7 ESTRUCTURA PROGRAMÁTICA'!I10</f>
        <v>2</v>
      </c>
      <c r="I11" s="478" t="str">
        <f t="shared" si="2"/>
        <v>N.A</v>
      </c>
      <c r="J11" s="682" t="str">
        <f t="shared" si="3"/>
        <v>N.A</v>
      </c>
      <c r="K11" s="793">
        <v>0</v>
      </c>
      <c r="L11" s="430" t="str">
        <f t="shared" si="4"/>
        <v>N.A</v>
      </c>
      <c r="M11" s="430" t="str">
        <f t="shared" si="5"/>
        <v>N.A</v>
      </c>
      <c r="N11" s="809">
        <f t="shared" ref="N11:N12" si="6">(IF(M11="N.A",0,M11))+N10</f>
        <v>0</v>
      </c>
      <c r="O11" s="1000"/>
      <c r="P11" s="1000"/>
      <c r="Q11" s="1012"/>
      <c r="R11" s="1000"/>
      <c r="S11" s="1000"/>
      <c r="T11" s="1012"/>
      <c r="U11" s="1000"/>
      <c r="V11" s="1085"/>
      <c r="W11" s="1045"/>
      <c r="X11" s="1045"/>
      <c r="Y11" s="452"/>
      <c r="Z11" s="452"/>
    </row>
    <row r="12" spans="1:26" s="455" customFormat="1" ht="60">
      <c r="A12" s="456" t="str">
        <f>'TABLA 7 ESTRUCTURA PROGRAMÁTICA'!D11</f>
        <v xml:space="preserve">1.1.4 Reporte, comunicación y divulgación de la evolución del proceso de REI. </v>
      </c>
      <c r="B12" s="1017"/>
      <c r="C12" s="838">
        <f>'TABLA 7 ESTRUCTURA PROGRAMÁTICA'!E11</f>
        <v>0</v>
      </c>
      <c r="D12" s="839">
        <v>0</v>
      </c>
      <c r="E12" s="840" t="str">
        <f t="shared" si="0"/>
        <v>N.A</v>
      </c>
      <c r="F12" s="423" t="s">
        <v>1103</v>
      </c>
      <c r="G12" s="806" t="str">
        <f t="shared" si="1"/>
        <v>N.A</v>
      </c>
      <c r="H12" s="681">
        <f>'TABLA 7 ESTRUCTURA PROGRAMÁTICA'!I11</f>
        <v>2</v>
      </c>
      <c r="I12" s="478" t="str">
        <f t="shared" si="2"/>
        <v>N.A</v>
      </c>
      <c r="J12" s="682" t="str">
        <f t="shared" si="3"/>
        <v>N.A</v>
      </c>
      <c r="K12" s="793">
        <v>0</v>
      </c>
      <c r="L12" s="430" t="str">
        <f t="shared" si="4"/>
        <v>N.A</v>
      </c>
      <c r="M12" s="430" t="str">
        <f t="shared" si="5"/>
        <v>N.A</v>
      </c>
      <c r="N12" s="809">
        <f t="shared" si="6"/>
        <v>0</v>
      </c>
      <c r="O12" s="1001"/>
      <c r="P12" s="1001"/>
      <c r="Q12" s="1013"/>
      <c r="R12" s="1001"/>
      <c r="S12" s="1001"/>
      <c r="T12" s="1013"/>
      <c r="U12" s="1001"/>
      <c r="V12" s="1017"/>
      <c r="W12" s="1046"/>
      <c r="X12" s="1046"/>
      <c r="Y12" s="452"/>
      <c r="Z12" s="452"/>
    </row>
    <row r="13" spans="1:26" s="455" customFormat="1" ht="30" customHeight="1">
      <c r="A13" s="989" t="s">
        <v>643</v>
      </c>
      <c r="B13" s="990"/>
      <c r="C13" s="990"/>
      <c r="D13" s="990"/>
      <c r="E13" s="990"/>
      <c r="F13" s="991"/>
      <c r="G13" s="773"/>
      <c r="H13" s="681"/>
      <c r="I13" s="681"/>
      <c r="J13" s="682">
        <f t="shared" si="3"/>
        <v>0</v>
      </c>
      <c r="K13" s="761"/>
      <c r="L13" s="430">
        <f>SUM(L9:L12)</f>
        <v>1</v>
      </c>
      <c r="M13" s="430">
        <f t="shared" si="5"/>
        <v>0.12</v>
      </c>
      <c r="N13" s="774"/>
      <c r="O13" s="775"/>
      <c r="P13" s="775"/>
      <c r="Q13" s="776"/>
      <c r="R13" s="777"/>
      <c r="S13" s="778"/>
      <c r="T13" s="411"/>
      <c r="U13" s="779"/>
      <c r="V13" s="779"/>
      <c r="W13" s="422"/>
      <c r="X13" s="422"/>
      <c r="Y13" s="452"/>
      <c r="Z13" s="452"/>
    </row>
    <row r="14" spans="1:26" s="792" customFormat="1" ht="60">
      <c r="A14" s="458" t="s">
        <v>787</v>
      </c>
      <c r="B14" s="781"/>
      <c r="C14" s="782"/>
      <c r="D14" s="783"/>
      <c r="E14" s="433"/>
      <c r="F14" s="436"/>
      <c r="G14" s="784"/>
      <c r="H14" s="785"/>
      <c r="I14" s="785"/>
      <c r="J14" s="785"/>
      <c r="K14" s="444">
        <v>0.2</v>
      </c>
      <c r="L14" s="433"/>
      <c r="M14" s="433"/>
      <c r="N14" s="786"/>
      <c r="O14" s="787"/>
      <c r="P14" s="787"/>
      <c r="Q14" s="788"/>
      <c r="R14" s="789"/>
      <c r="S14" s="790"/>
      <c r="T14" s="409"/>
      <c r="U14" s="791"/>
      <c r="V14" s="791"/>
      <c r="W14" s="810"/>
      <c r="X14" s="810"/>
    </row>
    <row r="15" spans="1:26" s="455" customFormat="1" ht="180">
      <c r="A15" s="454" t="str">
        <f>'TABLA 7 ESTRUCTURA PROGRAMÁTICA'!C12</f>
        <v xml:space="preserve">1.2 Coordinación y Desarrollo de portafolios de sistemas sostenibles de conservación - SSC- (conservación, restauración, manejo sostenible, agroforestales, reconversión productiva) en el departamento del Cesar
</v>
      </c>
      <c r="B15" s="752"/>
      <c r="C15" s="468"/>
      <c r="D15" s="768"/>
      <c r="E15" s="429">
        <f>E16*$K16+E17*$K17</f>
        <v>1</v>
      </c>
      <c r="F15" s="359"/>
      <c r="G15" s="429">
        <f>G16*$K16+G17*$K17</f>
        <v>1</v>
      </c>
      <c r="H15" s="358"/>
      <c r="I15" s="358"/>
      <c r="J15" s="429">
        <f>J16*$K16+J17*$K17</f>
        <v>1</v>
      </c>
      <c r="K15" s="415">
        <v>0.4</v>
      </c>
      <c r="L15" s="429"/>
      <c r="M15" s="429"/>
      <c r="N15" s="475"/>
      <c r="O15" s="769"/>
      <c r="P15" s="769"/>
      <c r="Q15" s="770"/>
      <c r="R15" s="771"/>
      <c r="S15" s="772"/>
      <c r="T15" s="405"/>
      <c r="U15" s="406"/>
      <c r="V15" s="406"/>
      <c r="W15" s="811"/>
      <c r="X15" s="811"/>
    </row>
    <row r="16" spans="1:26" s="457" customFormat="1" ht="129.75" customHeight="1">
      <c r="A16" s="456" t="str">
        <f>'TABLA 7 ESTRUCTURA PROGRAMÁTICA'!D12</f>
        <v>1.2.1 Coordinación, concienciación de actores entorno al proceso de visión de sistemas sostenibles de conservación -SSC-</v>
      </c>
      <c r="B16" s="837" t="str">
        <f>'TABLA 7 ESTRUCTURA PROGRAMÁTICA'!K12</f>
        <v>Grupos de actores conformados para el desarrollo del SSC</v>
      </c>
      <c r="C16" s="838">
        <f>'TABLA 7 ESTRUCTURA PROGRAMÁTICA'!E12</f>
        <v>1</v>
      </c>
      <c r="D16" s="841">
        <v>1</v>
      </c>
      <c r="E16" s="842">
        <f>IF(C16=0,"N.A",(D16/C16)*1)</f>
        <v>1</v>
      </c>
      <c r="F16" s="423" t="s">
        <v>1166</v>
      </c>
      <c r="G16" s="808">
        <f>E16</f>
        <v>1</v>
      </c>
      <c r="H16" s="416">
        <f>'TABLA 7 ESTRUCTURA PROGRAMÁTICA'!I12</f>
        <v>3</v>
      </c>
      <c r="I16" s="420">
        <f>G16</f>
        <v>1</v>
      </c>
      <c r="J16" s="682">
        <f t="shared" si="3"/>
        <v>1</v>
      </c>
      <c r="K16" s="478">
        <v>0.5</v>
      </c>
      <c r="L16" s="431">
        <f>IF(C16=0,G16,(G16*K16))</f>
        <v>0.5</v>
      </c>
      <c r="M16" s="431">
        <f>IF(L16="N.A","N.A",L16*$K$14*$K$15)</f>
        <v>4.0000000000000008E-2</v>
      </c>
      <c r="N16" s="688">
        <f>(IF(M16="N.A",0,M16))+N12</f>
        <v>4.0000000000000008E-2</v>
      </c>
      <c r="O16" s="1014">
        <v>100000000</v>
      </c>
      <c r="P16" s="977">
        <v>5000000</v>
      </c>
      <c r="Q16" s="986">
        <f>P16/O16</f>
        <v>0.05</v>
      </c>
      <c r="R16" s="1005">
        <f>O16</f>
        <v>100000000</v>
      </c>
      <c r="S16" s="1005">
        <f>O16</f>
        <v>100000000</v>
      </c>
      <c r="T16" s="986">
        <f>S16/R16</f>
        <v>1</v>
      </c>
      <c r="U16" s="1002"/>
      <c r="V16" s="1016" t="s">
        <v>1115</v>
      </c>
      <c r="W16" s="1016" t="s">
        <v>1133</v>
      </c>
      <c r="X16" s="1044" t="s">
        <v>1123</v>
      </c>
    </row>
    <row r="17" spans="1:26" s="457" customFormat="1" ht="90">
      <c r="A17" s="456" t="str">
        <f>'TABLA 7 ESTRUCTURA PROGRAMÁTICA'!D13</f>
        <v>1.2.2 Diseño conjunto de un modelo y estrategias para la implementación de SSC</v>
      </c>
      <c r="B17" s="837" t="str">
        <f>'TABLA 7 ESTRUCTURA PROGRAMÁTICA'!K13</f>
        <v>Porcentaje de avance del modelo de SSC</v>
      </c>
      <c r="C17" s="838">
        <f>'TABLA 7 ESTRUCTURA PROGRAMÁTICA'!E13</f>
        <v>30</v>
      </c>
      <c r="D17" s="681">
        <v>30</v>
      </c>
      <c r="E17" s="842">
        <f t="shared" ref="E17:E18" si="7">IF(C17=0,"N.A",(D17/C17)*1)</f>
        <v>1</v>
      </c>
      <c r="F17" s="423" t="s">
        <v>1153</v>
      </c>
      <c r="G17" s="808">
        <f t="shared" ref="G17:G19" si="8">E17</f>
        <v>1</v>
      </c>
      <c r="H17" s="416">
        <f>'TABLA 7 ESTRUCTURA PROGRAMÁTICA'!I13</f>
        <v>100</v>
      </c>
      <c r="I17" s="420">
        <f t="shared" ref="I17:I19" si="9">E17</f>
        <v>1</v>
      </c>
      <c r="J17" s="682">
        <f t="shared" si="3"/>
        <v>1</v>
      </c>
      <c r="K17" s="478">
        <v>0.5</v>
      </c>
      <c r="L17" s="431">
        <f t="shared" ref="L17:L19" si="10">IF(C17=0,E17,(E17*K17))</f>
        <v>0.5</v>
      </c>
      <c r="M17" s="431">
        <f t="shared" ref="M17:M19" si="11">IF(L17="N.A","N.A",L17*$K$14*$K$15)</f>
        <v>4.0000000000000008E-2</v>
      </c>
      <c r="N17" s="688">
        <f>(IF(M17="N.A",0,M17))+N16</f>
        <v>8.0000000000000016E-2</v>
      </c>
      <c r="O17" s="1015"/>
      <c r="P17" s="978"/>
      <c r="Q17" s="987"/>
      <c r="R17" s="1006"/>
      <c r="S17" s="1006"/>
      <c r="T17" s="987"/>
      <c r="U17" s="1003"/>
      <c r="V17" s="1085"/>
      <c r="W17" s="1085"/>
      <c r="X17" s="1045"/>
    </row>
    <row r="18" spans="1:26" s="457" customFormat="1" ht="90">
      <c r="A18" s="456" t="str">
        <f>'TABLA 7 ESTRUCTURA PROGRAMÁTICA'!D14</f>
        <v>1.2.3 Gestión sinérgica para la promoción y creación de capacidad técnica para la implementación del manejo SSC.</v>
      </c>
      <c r="B18" s="837" t="str">
        <f>'TABLA 7 ESTRUCTURA PROGRAMÁTICA'!K14</f>
        <v xml:space="preserve">Grupos asistidos técnicamente </v>
      </c>
      <c r="C18" s="838">
        <f>'TABLA 7 ESTRUCTURA PROGRAMÁTICA'!E14</f>
        <v>0</v>
      </c>
      <c r="D18" s="594">
        <v>0</v>
      </c>
      <c r="E18" s="842" t="str">
        <f t="shared" si="7"/>
        <v>N.A</v>
      </c>
      <c r="F18" s="843" t="s">
        <v>1103</v>
      </c>
      <c r="G18" s="808" t="str">
        <f t="shared" si="8"/>
        <v>N.A</v>
      </c>
      <c r="H18" s="416">
        <f>'TABLA 7 ESTRUCTURA PROGRAMÁTICA'!I14</f>
        <v>3</v>
      </c>
      <c r="I18" s="420" t="str">
        <f t="shared" si="9"/>
        <v>N.A</v>
      </c>
      <c r="J18" s="682" t="str">
        <f t="shared" si="3"/>
        <v>N.A</v>
      </c>
      <c r="K18" s="761">
        <v>0</v>
      </c>
      <c r="L18" s="431" t="str">
        <f t="shared" si="10"/>
        <v>N.A</v>
      </c>
      <c r="M18" s="431" t="str">
        <f t="shared" si="11"/>
        <v>N.A</v>
      </c>
      <c r="N18" s="688">
        <f t="shared" ref="N18:N19" si="12">(IF(M18="N.A",0,M18))+N17</f>
        <v>8.0000000000000016E-2</v>
      </c>
      <c r="O18" s="1015"/>
      <c r="P18" s="978"/>
      <c r="Q18" s="987"/>
      <c r="R18" s="1006"/>
      <c r="S18" s="1006"/>
      <c r="T18" s="987"/>
      <c r="U18" s="1003"/>
      <c r="V18" s="1085"/>
      <c r="W18" s="1085"/>
      <c r="X18" s="1045"/>
    </row>
    <row r="19" spans="1:26" s="457" customFormat="1" ht="90">
      <c r="A19" s="476" t="str">
        <f>'TABLA 7 ESTRUCTURA PROGRAMÁTICA'!D15</f>
        <v xml:space="preserve">1.2.4 Apoyo a la implementación,  seguimiento y evaluación de proyectos pilotos y/o estratégicos  de SSC. </v>
      </c>
      <c r="B19" s="837" t="str">
        <f>'TABLA 7 ESTRUCTURA PROGRAMÁTICA'!K15</f>
        <v xml:space="preserve">Proyectos formulados y apoyados con seguimiento y evaluación. </v>
      </c>
      <c r="C19" s="838">
        <f>'TABLA 7 ESTRUCTURA PROGRAMÁTICA'!E15</f>
        <v>0</v>
      </c>
      <c r="D19" s="681">
        <v>0</v>
      </c>
      <c r="E19" s="842" t="str">
        <f>IF(C19=0,"N.A",(D19/C19)*1)</f>
        <v>N.A</v>
      </c>
      <c r="F19" s="423" t="s">
        <v>1103</v>
      </c>
      <c r="G19" s="808" t="str">
        <f t="shared" si="8"/>
        <v>N.A</v>
      </c>
      <c r="H19" s="416">
        <f>'TABLA 7 ESTRUCTURA PROGRAMÁTICA'!I15</f>
        <v>5</v>
      </c>
      <c r="I19" s="420" t="str">
        <f t="shared" si="9"/>
        <v>N.A</v>
      </c>
      <c r="J19" s="682" t="str">
        <f t="shared" si="3"/>
        <v>N.A</v>
      </c>
      <c r="K19" s="761">
        <v>0</v>
      </c>
      <c r="L19" s="431" t="str">
        <f t="shared" si="10"/>
        <v>N.A</v>
      </c>
      <c r="M19" s="431" t="str">
        <f t="shared" si="11"/>
        <v>N.A</v>
      </c>
      <c r="N19" s="688">
        <f t="shared" si="12"/>
        <v>8.0000000000000016E-2</v>
      </c>
      <c r="O19" s="1015"/>
      <c r="P19" s="978"/>
      <c r="Q19" s="988"/>
      <c r="R19" s="1007"/>
      <c r="S19" s="1007"/>
      <c r="T19" s="988"/>
      <c r="U19" s="1004"/>
      <c r="V19" s="1017"/>
      <c r="W19" s="1017"/>
      <c r="X19" s="1046"/>
    </row>
    <row r="20" spans="1:26" s="457" customFormat="1" ht="32.25" customHeight="1">
      <c r="A20" s="989" t="s">
        <v>643</v>
      </c>
      <c r="B20" s="990"/>
      <c r="C20" s="990"/>
      <c r="D20" s="990"/>
      <c r="E20" s="990"/>
      <c r="F20" s="991"/>
      <c r="G20" s="407"/>
      <c r="H20" s="416"/>
      <c r="I20" s="416"/>
      <c r="J20" s="682">
        <f t="shared" si="3"/>
        <v>0</v>
      </c>
      <c r="K20" s="761"/>
      <c r="L20" s="428">
        <f>SUM(L16:L19)</f>
        <v>1</v>
      </c>
      <c r="M20" s="431"/>
      <c r="N20" s="481"/>
      <c r="O20" s="795"/>
      <c r="P20" s="482"/>
      <c r="Q20" s="420"/>
      <c r="R20" s="482"/>
      <c r="S20" s="482"/>
      <c r="T20" s="420"/>
      <c r="U20" s="483"/>
      <c r="V20" s="812"/>
      <c r="W20" s="422"/>
      <c r="X20" s="422"/>
    </row>
    <row r="21" spans="1:26" s="424" customFormat="1" ht="90">
      <c r="A21" s="739" t="str">
        <f>'TABLA 7 ESTRUCTURA PROGRAMÁTICA'!B17</f>
        <v>2. GESTIÓN INTEGRAL DEL RIESGO AMBIENTAL,  CLIMÁTICO, Y DEL RECURSO HÍDRICO.</v>
      </c>
      <c r="B21" s="408"/>
      <c r="C21" s="469"/>
      <c r="D21" s="470"/>
      <c r="E21" s="433"/>
      <c r="F21" s="436"/>
      <c r="G21" s="409"/>
      <c r="H21" s="441"/>
      <c r="I21" s="441"/>
      <c r="J21" s="441"/>
      <c r="K21" s="444">
        <v>0.2</v>
      </c>
      <c r="L21" s="445"/>
      <c r="M21" s="433"/>
      <c r="N21" s="484"/>
      <c r="O21" s="796"/>
      <c r="P21" s="485"/>
      <c r="Q21" s="444"/>
      <c r="R21" s="485"/>
      <c r="S21" s="485"/>
      <c r="T21" s="444"/>
      <c r="U21" s="486"/>
      <c r="V21" s="486"/>
      <c r="W21" s="486"/>
      <c r="X21" s="486"/>
      <c r="Y21" s="457"/>
      <c r="Z21" s="457"/>
    </row>
    <row r="22" spans="1:26" s="459" customFormat="1" ht="90">
      <c r="A22" s="454" t="str">
        <f>'TABLA 7 ESTRUCTURA PROGRAMÁTICA'!C17</f>
        <v>2.1  Implementación y evaluación de acciones del Plan Integral de Gestión de Cambio Climático -PIGCC- Territorial del Cesar</v>
      </c>
      <c r="B22" s="410"/>
      <c r="C22" s="471"/>
      <c r="D22" s="414"/>
      <c r="E22" s="429">
        <f>E23*$K23+E25*$K25</f>
        <v>1</v>
      </c>
      <c r="F22" s="359"/>
      <c r="G22" s="429">
        <f>G23*$K23+G25*$K25</f>
        <v>1</v>
      </c>
      <c r="H22" s="357"/>
      <c r="I22" s="357"/>
      <c r="J22" s="429">
        <f>J23*$K23+J25*$K25</f>
        <v>1</v>
      </c>
      <c r="K22" s="415">
        <v>0.3</v>
      </c>
      <c r="L22" s="428"/>
      <c r="M22" s="429"/>
      <c r="N22" s="487"/>
      <c r="O22" s="797"/>
      <c r="P22" s="488"/>
      <c r="Q22" s="415"/>
      <c r="R22" s="488"/>
      <c r="S22" s="488"/>
      <c r="T22" s="415"/>
      <c r="U22" s="489"/>
      <c r="V22" s="489"/>
      <c r="W22" s="489"/>
      <c r="X22" s="489"/>
      <c r="Y22" s="457"/>
      <c r="Z22" s="457"/>
    </row>
    <row r="23" spans="1:26" s="457" customFormat="1" ht="409.5" customHeight="1">
      <c r="A23" s="701" t="str">
        <f>'TABLA 7 ESTRUCTURA PROGRAMÁTICA'!D17</f>
        <v>2.1.1 Gestión e implementación de  Estrategias y/o Proyectos de mitigación y adaptación al cambio climático, en el marco de los planteamientos del -PIGCC- Territorial del Cesar</v>
      </c>
      <c r="B23" s="741" t="str">
        <f>'TABLA 7 ESTRUCTURA PROGRAMÁTICA'!K17</f>
        <v>No. de estrategias y/o proyectos del PIGCC, implementados o promovidos</v>
      </c>
      <c r="C23" s="741">
        <f>'TABLA 7 ESTRUCTURA PROGRAMÁTICA'!E17</f>
        <v>2</v>
      </c>
      <c r="D23" s="477">
        <v>4</v>
      </c>
      <c r="E23" s="427">
        <v>1</v>
      </c>
      <c r="F23" s="423" t="s">
        <v>1158</v>
      </c>
      <c r="G23" s="808">
        <f t="shared" ref="G23:G25" si="13">E23</f>
        <v>1</v>
      </c>
      <c r="H23" s="416">
        <f>'TABLA 7 ESTRUCTURA PROGRAMÁTICA'!I17</f>
        <v>15</v>
      </c>
      <c r="I23" s="431">
        <f>E23</f>
        <v>1</v>
      </c>
      <c r="J23" s="682">
        <f t="shared" si="3"/>
        <v>1</v>
      </c>
      <c r="K23" s="478">
        <v>0.5</v>
      </c>
      <c r="L23" s="427">
        <f>IF(C23=0,E23,(E23*K23))</f>
        <v>0.5</v>
      </c>
      <c r="M23" s="431">
        <f>IF(L23="N.A","N.A",L23*$K$21*$K$22)</f>
        <v>0.03</v>
      </c>
      <c r="N23" s="481">
        <f>(IF(M23="N.A",0,M23))+N19</f>
        <v>0.11000000000000001</v>
      </c>
      <c r="O23" s="1020">
        <f>300000000+10550000+14171666</f>
        <v>324721666</v>
      </c>
      <c r="P23" s="977">
        <f>10550000+150000000+12993333</f>
        <v>173543333</v>
      </c>
      <c r="Q23" s="986">
        <f>P23/O23</f>
        <v>0.534437184736543</v>
      </c>
      <c r="R23" s="1005">
        <f>O23</f>
        <v>324721666</v>
      </c>
      <c r="S23" s="1005">
        <f>O23</f>
        <v>324721666</v>
      </c>
      <c r="T23" s="986">
        <f>S23/R23</f>
        <v>1</v>
      </c>
      <c r="U23" s="1005"/>
      <c r="V23" s="1036" t="s">
        <v>1116</v>
      </c>
      <c r="W23" s="1044" t="s">
        <v>1138</v>
      </c>
      <c r="X23" s="1076"/>
    </row>
    <row r="24" spans="1:26" s="457" customFormat="1" ht="120">
      <c r="A24" s="456" t="str">
        <f>'TABLA 7 ESTRUCTURA PROGRAMÁTICA'!D18</f>
        <v xml:space="preserve">2.1.2 Implementación del SIA de cambio climático dptal  y apoyo efectivo  al sistema  de Registro Nacional de Reducción de Emisiones de Gases de Efecto Invernadero - RENARE  </v>
      </c>
      <c r="B24" s="741" t="str">
        <f>'TABLA 7 ESTRUCTURA PROGRAMÁTICA'!K18</f>
        <v xml:space="preserve">Avance del SIA -CC  y  apoyo a RENARE </v>
      </c>
      <c r="C24" s="741">
        <f>'TABLA 7 ESTRUCTURA PROGRAMÁTICA'!E18</f>
        <v>0</v>
      </c>
      <c r="D24" s="477">
        <v>0</v>
      </c>
      <c r="E24" s="427" t="str">
        <f>IF(C24=0,"N.A",(D24/C24)*1)</f>
        <v>N.A</v>
      </c>
      <c r="F24" s="423" t="s">
        <v>1103</v>
      </c>
      <c r="G24" s="808" t="str">
        <f t="shared" si="13"/>
        <v>N.A</v>
      </c>
      <c r="H24" s="416">
        <f>'TABLA 7 ESTRUCTURA PROGRAMÁTICA'!I18</f>
        <v>100</v>
      </c>
      <c r="I24" s="431" t="str">
        <f t="shared" ref="I24:I25" si="14">E24</f>
        <v>N.A</v>
      </c>
      <c r="J24" s="682" t="str">
        <f t="shared" si="3"/>
        <v>N.A</v>
      </c>
      <c r="K24" s="761">
        <v>0</v>
      </c>
      <c r="L24" s="427" t="str">
        <f t="shared" ref="L24:L25" si="15">IF(C24=0,E24,(E24*K24))</f>
        <v>N.A</v>
      </c>
      <c r="M24" s="431" t="str">
        <f t="shared" ref="M24:M25" si="16">IF(L24="N.A","N.A",L24*$K$21*$K$22)</f>
        <v>N.A</v>
      </c>
      <c r="N24" s="481">
        <f>(IF(M24="N.A",0,M24))+N23</f>
        <v>0.11000000000000001</v>
      </c>
      <c r="O24" s="1021"/>
      <c r="P24" s="978"/>
      <c r="Q24" s="987"/>
      <c r="R24" s="1006"/>
      <c r="S24" s="1006"/>
      <c r="T24" s="987"/>
      <c r="U24" s="1006"/>
      <c r="V24" s="1056"/>
      <c r="W24" s="1045"/>
      <c r="X24" s="1074"/>
    </row>
    <row r="25" spans="1:26" s="457" customFormat="1" ht="247.5" customHeight="1">
      <c r="A25" s="702" t="str">
        <f>'TABLA 7 ESTRUCTURA PROGRAMÁTICA'!D19</f>
        <v>2.1.3 Fortalecimiento de la participación y gestión de Corpocesar, en el nodo Regional de Cambio Climático -NRCC- del Caribe</v>
      </c>
      <c r="B25" s="741" t="str">
        <f>'TABLA 7 ESTRUCTURA PROGRAMÁTICA'!K19</f>
        <v>Agenda intersectorial del  NRCC Caribe articulada y apoyada.</v>
      </c>
      <c r="C25" s="741">
        <f>'TABLA 7 ESTRUCTURA PROGRAMÁTICA'!E19</f>
        <v>100</v>
      </c>
      <c r="D25" s="681">
        <v>100</v>
      </c>
      <c r="E25" s="427">
        <f t="shared" ref="E25" si="17">IF(C25=0,"N.A",(D25/C25)*1)</f>
        <v>1</v>
      </c>
      <c r="F25" s="844" t="s">
        <v>1159</v>
      </c>
      <c r="G25" s="808">
        <f t="shared" si="13"/>
        <v>1</v>
      </c>
      <c r="H25" s="416">
        <f>'TABLA 7 ESTRUCTURA PROGRAMÁTICA'!I19</f>
        <v>100</v>
      </c>
      <c r="I25" s="431">
        <f t="shared" si="14"/>
        <v>1</v>
      </c>
      <c r="J25" s="682">
        <f t="shared" si="3"/>
        <v>1</v>
      </c>
      <c r="K25" s="478">
        <v>0.5</v>
      </c>
      <c r="L25" s="427">
        <f t="shared" si="15"/>
        <v>0.5</v>
      </c>
      <c r="M25" s="431">
        <f t="shared" si="16"/>
        <v>0.03</v>
      </c>
      <c r="N25" s="481">
        <f>(IF(M25="N.A",0,M25))+N24</f>
        <v>0.14000000000000001</v>
      </c>
      <c r="O25" s="1022"/>
      <c r="P25" s="979"/>
      <c r="Q25" s="988"/>
      <c r="R25" s="1006"/>
      <c r="S25" s="1007"/>
      <c r="T25" s="988"/>
      <c r="U25" s="1007"/>
      <c r="V25" s="1037"/>
      <c r="W25" s="1046"/>
      <c r="X25" s="1075"/>
    </row>
    <row r="26" spans="1:26" s="457" customFormat="1" ht="32.25" customHeight="1">
      <c r="A26" s="989" t="s">
        <v>643</v>
      </c>
      <c r="B26" s="990"/>
      <c r="C26" s="990"/>
      <c r="D26" s="990"/>
      <c r="E26" s="990"/>
      <c r="F26" s="991"/>
      <c r="G26" s="407"/>
      <c r="H26" s="416"/>
      <c r="I26" s="416"/>
      <c r="J26" s="682">
        <f t="shared" si="3"/>
        <v>0</v>
      </c>
      <c r="K26" s="761"/>
      <c r="L26" s="428">
        <f>SUM(L23:L25)</f>
        <v>1</v>
      </c>
      <c r="M26" s="431"/>
      <c r="N26" s="481"/>
      <c r="O26" s="795"/>
      <c r="P26" s="482"/>
      <c r="Q26" s="420"/>
      <c r="R26" s="482"/>
      <c r="S26" s="482"/>
      <c r="T26" s="420"/>
      <c r="U26" s="483"/>
      <c r="V26" s="812"/>
      <c r="W26" s="422"/>
      <c r="X26" s="422"/>
    </row>
    <row r="27" spans="1:26" s="460" customFormat="1" ht="102" customHeight="1">
      <c r="A27" s="451" t="str">
        <f>A21</f>
        <v>2. GESTIÓN INTEGRAL DEL RIESGO AMBIENTAL,  CLIMÁTICO, Y DEL RECURSO HÍDRICO.</v>
      </c>
      <c r="B27" s="751"/>
      <c r="C27" s="466"/>
      <c r="D27" s="467"/>
      <c r="E27" s="434"/>
      <c r="F27" s="435"/>
      <c r="G27" s="399"/>
      <c r="H27" s="440"/>
      <c r="I27" s="440"/>
      <c r="J27" s="440"/>
      <c r="K27" s="805">
        <v>0.2</v>
      </c>
      <c r="L27" s="432"/>
      <c r="M27" s="432"/>
      <c r="N27" s="490"/>
      <c r="O27" s="491"/>
      <c r="P27" s="491"/>
      <c r="Q27" s="491"/>
      <c r="R27" s="492"/>
      <c r="S27" s="493"/>
      <c r="T27" s="493"/>
      <c r="U27" s="492"/>
      <c r="V27" s="773"/>
      <c r="W27" s="422"/>
      <c r="X27" s="422"/>
      <c r="Y27" s="457"/>
      <c r="Z27" s="457"/>
    </row>
    <row r="28" spans="1:26" s="459" customFormat="1" ht="90">
      <c r="A28" s="454" t="str">
        <f>'TABLA 7 ESTRUCTURA PROGRAMÁTICA'!C21</f>
        <v xml:space="preserve">2.2 Implementación de acciones para la operación de la EDANA en el área de jurisdicción de Corpocesar. </v>
      </c>
      <c r="B28" s="752"/>
      <c r="C28" s="468"/>
      <c r="D28" s="414"/>
      <c r="E28" s="428">
        <f>E29*$K29</f>
        <v>0.25</v>
      </c>
      <c r="F28" s="359"/>
      <c r="G28" s="428"/>
      <c r="H28" s="358"/>
      <c r="I28" s="358"/>
      <c r="J28" s="428">
        <f>J29*$K29</f>
        <v>0.25</v>
      </c>
      <c r="K28" s="415">
        <v>0.1</v>
      </c>
      <c r="L28" s="429"/>
      <c r="M28" s="429"/>
      <c r="N28" s="487"/>
      <c r="O28" s="494"/>
      <c r="P28" s="494"/>
      <c r="Q28" s="494"/>
      <c r="R28" s="495"/>
      <c r="S28" s="496"/>
      <c r="T28" s="496"/>
      <c r="U28" s="495"/>
      <c r="V28" s="773"/>
      <c r="W28" s="422"/>
      <c r="X28" s="422"/>
      <c r="Y28" s="457"/>
      <c r="Z28" s="457"/>
    </row>
    <row r="29" spans="1:26" s="457" customFormat="1" ht="210" customHeight="1">
      <c r="A29" s="456" t="str">
        <f>'TABLA 7 ESTRUCTURA PROGRAMÁTICA'!D21</f>
        <v>2.2.1 Gestión para la implementación de la Metodología que permita al sector ambiente realizar una evaluación de daños y necesidades ambientales -EDANA en zonas continentales impactadas por desastres naturales, socionaturales y/o antrópicos</v>
      </c>
      <c r="B29" s="741" t="str">
        <f>'TABLA 7 ESTRUCTURA PROGRAMÁTICA'!K21</f>
        <v>Adopción de la Metodología EDANA</v>
      </c>
      <c r="C29" s="741">
        <f>'TABLA 7 ESTRUCTURA PROGRAMÁTICA'!E21</f>
        <v>20</v>
      </c>
      <c r="D29" s="477">
        <v>5</v>
      </c>
      <c r="E29" s="427">
        <f t="shared" ref="E29:E31" si="18">IF(C29=0,"N.A",(D29/C29)*1)</f>
        <v>0.25</v>
      </c>
      <c r="F29" s="1042" t="s">
        <v>1160</v>
      </c>
      <c r="G29" s="806">
        <f t="shared" ref="G29:G31" si="19">E29</f>
        <v>0.25</v>
      </c>
      <c r="H29" s="442">
        <f>'TABLA 7 ESTRUCTURA PROGRAMÁTICA'!I21</f>
        <v>100</v>
      </c>
      <c r="I29" s="477">
        <f>E29</f>
        <v>0.25</v>
      </c>
      <c r="J29" s="682">
        <f t="shared" si="3"/>
        <v>0.25</v>
      </c>
      <c r="K29" s="478">
        <v>1</v>
      </c>
      <c r="L29" s="430">
        <f>IF(C29=0,E29,(E29*K29))</f>
        <v>0.25</v>
      </c>
      <c r="M29" s="431">
        <f>IF(L29="N.A","N.A",L29*$K$27*$K$28)</f>
        <v>5.000000000000001E-3</v>
      </c>
      <c r="N29" s="481">
        <f>(IF(M29="N.A",0,M29))+N25</f>
        <v>0.14500000000000002</v>
      </c>
      <c r="O29" s="997">
        <v>200000000</v>
      </c>
      <c r="P29" s="977">
        <v>0</v>
      </c>
      <c r="Q29" s="992">
        <f>P29/O29</f>
        <v>0</v>
      </c>
      <c r="R29" s="977">
        <f>O29</f>
        <v>200000000</v>
      </c>
      <c r="S29" s="977">
        <f>O29</f>
        <v>200000000</v>
      </c>
      <c r="T29" s="980">
        <f>S29/R29</f>
        <v>1</v>
      </c>
      <c r="U29" s="977"/>
      <c r="V29" s="1036" t="s">
        <v>1116</v>
      </c>
      <c r="W29" s="1067"/>
      <c r="X29" s="1032" t="s">
        <v>1124</v>
      </c>
    </row>
    <row r="30" spans="1:26" s="457" customFormat="1" ht="149.25" customHeight="1">
      <c r="A30" s="456" t="str">
        <f>'TABLA 7 ESTRUCTURA PROGRAMÁTICA'!D22</f>
        <v xml:space="preserve">2.2.2 Implementación PILOTO de EDANA en zona priorizada </v>
      </c>
      <c r="B30" s="741" t="str">
        <f>'TABLA 7 ESTRUCTURA PROGRAMÁTICA'!K22</f>
        <v>Avance del piloto EDANA</v>
      </c>
      <c r="C30" s="741">
        <f>'TABLA 7 ESTRUCTURA PROGRAMÁTICA'!E22</f>
        <v>0</v>
      </c>
      <c r="D30" s="477">
        <v>0</v>
      </c>
      <c r="E30" s="427" t="str">
        <f t="shared" si="18"/>
        <v>N.A</v>
      </c>
      <c r="F30" s="1043"/>
      <c r="G30" s="806" t="str">
        <f t="shared" si="19"/>
        <v>N.A</v>
      </c>
      <c r="H30" s="442">
        <f>'TABLA 7 ESTRUCTURA PROGRAMÁTICA'!I22</f>
        <v>100</v>
      </c>
      <c r="I30" s="477" t="str">
        <f t="shared" ref="I30:I31" si="20">E30</f>
        <v>N.A</v>
      </c>
      <c r="J30" s="682" t="str">
        <f t="shared" si="3"/>
        <v>N.A</v>
      </c>
      <c r="K30" s="478">
        <v>0</v>
      </c>
      <c r="L30" s="430" t="str">
        <f t="shared" ref="L30:L31" si="21">IF(C30=0,E30,(E30*K30))</f>
        <v>N.A</v>
      </c>
      <c r="M30" s="431" t="str">
        <f t="shared" ref="M30:M31" si="22">IF(L30="N.A","N.A",L30*$K$27*$K$28)</f>
        <v>N.A</v>
      </c>
      <c r="N30" s="481">
        <f>(IF(M30="N.A",0,M30))+N29</f>
        <v>0.14500000000000002</v>
      </c>
      <c r="O30" s="998"/>
      <c r="P30" s="978"/>
      <c r="Q30" s="993"/>
      <c r="R30" s="978"/>
      <c r="S30" s="978"/>
      <c r="T30" s="981"/>
      <c r="U30" s="978"/>
      <c r="V30" s="1056"/>
      <c r="W30" s="1068"/>
      <c r="X30" s="1070"/>
    </row>
    <row r="31" spans="1:26" s="457" customFormat="1" ht="112.5" customHeight="1">
      <c r="A31" s="701" t="str">
        <f>'TABLA 7 ESTRUCTURA PROGRAMÁTICA'!D23</f>
        <v xml:space="preserve">2.2.3 Diseño, Gestión e institucionalización operativa  de EDANA Corpocesar.  </v>
      </c>
      <c r="B31" s="741" t="str">
        <f>'TABLA 7 ESTRUCTURA PROGRAMÁTICA'!K23</f>
        <v>EDANA en operación</v>
      </c>
      <c r="C31" s="741">
        <f>'TABLA 7 ESTRUCTURA PROGRAMÁTICA'!E23</f>
        <v>0</v>
      </c>
      <c r="D31" s="477">
        <v>0</v>
      </c>
      <c r="E31" s="427" t="str">
        <f t="shared" si="18"/>
        <v>N.A</v>
      </c>
      <c r="F31" s="683" t="s">
        <v>1103</v>
      </c>
      <c r="G31" s="806" t="str">
        <f t="shared" si="19"/>
        <v>N.A</v>
      </c>
      <c r="H31" s="594">
        <f>'TABLA 7 ESTRUCTURA PROGRAMÁTICA'!I23</f>
        <v>1</v>
      </c>
      <c r="I31" s="477" t="str">
        <f t="shared" si="20"/>
        <v>N.A</v>
      </c>
      <c r="J31" s="682" t="str">
        <f t="shared" si="3"/>
        <v>N.A</v>
      </c>
      <c r="K31" s="761">
        <v>0</v>
      </c>
      <c r="L31" s="430" t="str">
        <f t="shared" si="21"/>
        <v>N.A</v>
      </c>
      <c r="M31" s="431" t="str">
        <f t="shared" si="22"/>
        <v>N.A</v>
      </c>
      <c r="N31" s="481">
        <f>(IF(M31="N.A",0,M31))+N30</f>
        <v>0.14500000000000002</v>
      </c>
      <c r="O31" s="998"/>
      <c r="P31" s="978"/>
      <c r="Q31" s="993"/>
      <c r="R31" s="978"/>
      <c r="S31" s="978"/>
      <c r="T31" s="981"/>
      <c r="U31" s="978"/>
      <c r="V31" s="1037"/>
      <c r="W31" s="1069"/>
      <c r="X31" s="1033"/>
    </row>
    <row r="32" spans="1:26" s="457" customFormat="1">
      <c r="A32" s="989" t="s">
        <v>643</v>
      </c>
      <c r="B32" s="990"/>
      <c r="C32" s="990"/>
      <c r="D32" s="990"/>
      <c r="E32" s="990"/>
      <c r="F32" s="991"/>
      <c r="G32" s="422"/>
      <c r="H32" s="442"/>
      <c r="I32" s="442"/>
      <c r="J32" s="682">
        <f t="shared" si="3"/>
        <v>0</v>
      </c>
      <c r="K32" s="761"/>
      <c r="L32" s="428">
        <f>SUM(L29:L31)</f>
        <v>0.25</v>
      </c>
      <c r="M32" s="431"/>
      <c r="N32" s="481"/>
      <c r="O32" s="798"/>
      <c r="P32" s="480"/>
      <c r="Q32" s="478"/>
      <c r="R32" s="479"/>
      <c r="S32" s="479"/>
      <c r="T32" s="478"/>
      <c r="U32" s="497"/>
      <c r="V32" s="813"/>
      <c r="W32" s="422"/>
      <c r="X32" s="422"/>
    </row>
    <row r="33" spans="1:26" s="424" customFormat="1" ht="90">
      <c r="A33" s="458" t="str">
        <f>A21</f>
        <v>2. GESTIÓN INTEGRAL DEL RIESGO AMBIENTAL,  CLIMÁTICO, Y DEL RECURSO HÍDRICO.</v>
      </c>
      <c r="B33" s="753"/>
      <c r="C33" s="469"/>
      <c r="D33" s="470"/>
      <c r="E33" s="433"/>
      <c r="F33" s="436"/>
      <c r="G33" s="409"/>
      <c r="H33" s="441"/>
      <c r="I33" s="441"/>
      <c r="J33" s="441"/>
      <c r="K33" s="444">
        <v>0.2</v>
      </c>
      <c r="L33" s="445"/>
      <c r="M33" s="433"/>
      <c r="N33" s="484"/>
      <c r="O33" s="796"/>
      <c r="P33" s="485"/>
      <c r="Q33" s="444"/>
      <c r="R33" s="485"/>
      <c r="S33" s="485"/>
      <c r="T33" s="444"/>
      <c r="U33" s="486"/>
      <c r="V33" s="812"/>
      <c r="W33" s="422"/>
      <c r="X33" s="422"/>
      <c r="Y33" s="457"/>
      <c r="Z33" s="457"/>
    </row>
    <row r="34" spans="1:26" s="459" customFormat="1" ht="120">
      <c r="A34" s="462" t="str">
        <f>'TABLA 7 ESTRUCTURA PROGRAMÁTICA'!C25</f>
        <v xml:space="preserve">2.3 Gestión de conocimiento e implementación de medidas para la  reducción del riesgo ambiental en áreas prioritarias del dpto. del Cesar. </v>
      </c>
      <c r="B34" s="410"/>
      <c r="C34" s="471"/>
      <c r="D34" s="414"/>
      <c r="E34" s="429">
        <f>E35*$K35+E36*$K$36</f>
        <v>1</v>
      </c>
      <c r="F34" s="359"/>
      <c r="G34" s="429">
        <f>G35*$K35+G36*$K$36</f>
        <v>1</v>
      </c>
      <c r="H34" s="357"/>
      <c r="I34" s="357"/>
      <c r="J34" s="429">
        <f>J35*$K35</f>
        <v>0.5</v>
      </c>
      <c r="K34" s="415">
        <v>0.3</v>
      </c>
      <c r="L34" s="428"/>
      <c r="M34" s="429"/>
      <c r="N34" s="487"/>
      <c r="O34" s="797"/>
      <c r="P34" s="488"/>
      <c r="Q34" s="415"/>
      <c r="R34" s="488"/>
      <c r="S34" s="488"/>
      <c r="T34" s="415"/>
      <c r="U34" s="489"/>
      <c r="V34" s="812"/>
      <c r="W34" s="422"/>
      <c r="X34" s="422"/>
      <c r="Y34" s="457"/>
      <c r="Z34" s="457"/>
    </row>
    <row r="35" spans="1:26" s="457" customFormat="1" ht="409.6" customHeight="1">
      <c r="A35" s="456" t="str">
        <f>'TABLA 7 ESTRUCTURA PROGRAMÁTICA'!D25</f>
        <v>2.3.1 Gestión y ejecución de Acciones de conocimiento para la reducción del riesgo asociado al cambio climático, enmarcadas en la GRD. (Estudios de detalle)</v>
      </c>
      <c r="B35" s="741" t="str">
        <f>'TABLA 7 ESTRUCTURA PROGRAMÁTICA'!K25</f>
        <v xml:space="preserve">Acciones de conocimiento del riesgo ejecutadas </v>
      </c>
      <c r="C35" s="741">
        <f>'TABLA 7 ESTRUCTURA PROGRAMÁTICA'!E25</f>
        <v>1</v>
      </c>
      <c r="D35" s="477">
        <v>1</v>
      </c>
      <c r="E35" s="430">
        <f t="shared" ref="E35:E38" si="23">IF(C35=0,"N.A",(D35/C35)*1)</f>
        <v>1</v>
      </c>
      <c r="F35" s="456" t="s">
        <v>1161</v>
      </c>
      <c r="G35" s="806">
        <f>E35</f>
        <v>1</v>
      </c>
      <c r="H35" s="442">
        <f>'TABLA 7 ESTRUCTURA PROGRAMÁTICA'!I25</f>
        <v>3</v>
      </c>
      <c r="I35" s="478">
        <f>G35</f>
        <v>1</v>
      </c>
      <c r="J35" s="682">
        <f t="shared" si="3"/>
        <v>1</v>
      </c>
      <c r="K35" s="478">
        <v>0.5</v>
      </c>
      <c r="L35" s="427">
        <f>IF(C35=0,G35,(G35*K35))</f>
        <v>0.5</v>
      </c>
      <c r="M35" s="430">
        <f>IF(L35="N.A","N.A",L35*$K$33*$K$34)</f>
        <v>0.03</v>
      </c>
      <c r="N35" s="426">
        <f>(IF(M35="N.A",0,M35))+N31</f>
        <v>0.17500000000000002</v>
      </c>
      <c r="O35" s="997">
        <f>1500000000+19792000</f>
        <v>1519792000</v>
      </c>
      <c r="P35" s="977">
        <f>202365800</f>
        <v>202365800</v>
      </c>
      <c r="Q35" s="992">
        <f>P35/O35</f>
        <v>0.13315361575794582</v>
      </c>
      <c r="R35" s="1008">
        <f>O35</f>
        <v>1519792000</v>
      </c>
      <c r="S35" s="977">
        <f>O35</f>
        <v>1519792000</v>
      </c>
      <c r="T35" s="980">
        <f>S35/R35</f>
        <v>1</v>
      </c>
      <c r="U35" s="977"/>
      <c r="V35" s="1044" t="s">
        <v>1116</v>
      </c>
      <c r="W35" s="1032" t="s">
        <v>1138</v>
      </c>
      <c r="X35" s="1032" t="s">
        <v>1124</v>
      </c>
    </row>
    <row r="36" spans="1:26" s="457" customFormat="1" ht="145.5" customHeight="1">
      <c r="A36" s="456" t="str">
        <f>'TABLA 7 ESTRUCTURA PROGRAMÁTICA'!D26</f>
        <v xml:space="preserve">2.3.2 Gestión e implementación de Medidas estructurales y/o proyectos para la REDUCCION del riesgo </v>
      </c>
      <c r="B36" s="741" t="str">
        <f>'TABLA 7 ESTRUCTURA PROGRAMÁTICA'!K26</f>
        <v>Medidas estructurales ejecutadas</v>
      </c>
      <c r="C36" s="741">
        <f>'TABLA 7 ESTRUCTURA PROGRAMÁTICA'!E26</f>
        <v>10</v>
      </c>
      <c r="D36" s="684">
        <v>10</v>
      </c>
      <c r="E36" s="430">
        <f t="shared" si="23"/>
        <v>1</v>
      </c>
      <c r="F36" s="456" t="s">
        <v>1183</v>
      </c>
      <c r="G36" s="806">
        <f>E36</f>
        <v>1</v>
      </c>
      <c r="H36" s="594">
        <f>'TABLA 7 ESTRUCTURA PROGRAMÁTICA'!I26</f>
        <v>100</v>
      </c>
      <c r="I36" s="478">
        <f t="shared" ref="I36:I38" si="24">E36</f>
        <v>1</v>
      </c>
      <c r="J36" s="682">
        <f t="shared" si="3"/>
        <v>1</v>
      </c>
      <c r="K36" s="478">
        <v>0.5</v>
      </c>
      <c r="L36" s="427">
        <f t="shared" ref="L36:L38" si="25">IF(C36=0,E36,(E36*K36))</f>
        <v>0.5</v>
      </c>
      <c r="M36" s="430">
        <f t="shared" ref="M36:M38" si="26">IF(L36="N.A","N.A",L36*$K$33*$K$34)</f>
        <v>0.03</v>
      </c>
      <c r="N36" s="426">
        <f>(IF(M36="N.A",0,M36))+N35</f>
        <v>0.20500000000000002</v>
      </c>
      <c r="O36" s="998"/>
      <c r="P36" s="978"/>
      <c r="Q36" s="993"/>
      <c r="R36" s="1009"/>
      <c r="S36" s="978"/>
      <c r="T36" s="981"/>
      <c r="U36" s="978"/>
      <c r="V36" s="1045"/>
      <c r="W36" s="1070"/>
      <c r="X36" s="1070"/>
    </row>
    <row r="37" spans="1:26" s="457" customFormat="1" ht="79.5" customHeight="1">
      <c r="A37" s="1029" t="str">
        <f>'TABLA 7 ESTRUCTURA PROGRAMÁTICA'!D27</f>
        <v xml:space="preserve">2.3.3 Gestión,  implementación y evaluación de Medidas  no estructurales y/o proyectos para la REDUCCION del riesgo </v>
      </c>
      <c r="B37" s="741" t="str">
        <f>'TABLA 7 ESTRUCTURA PROGRAMÁTICA'!K27</f>
        <v>Medidas no estructurales ejecutadas</v>
      </c>
      <c r="C37" s="741">
        <f>'TABLA 7 ESTRUCTURA PROGRAMÁTICA'!E27</f>
        <v>0</v>
      </c>
      <c r="D37" s="684">
        <v>0</v>
      </c>
      <c r="E37" s="430" t="str">
        <f t="shared" si="23"/>
        <v>N.A</v>
      </c>
      <c r="F37" s="845" t="s">
        <v>1103</v>
      </c>
      <c r="G37" s="497" t="str">
        <f t="shared" ref="G37:G38" si="27">E37</f>
        <v>N.A</v>
      </c>
      <c r="H37" s="594">
        <f>'TABLA 7 ESTRUCTURA PROGRAMÁTICA'!I27</f>
        <v>5</v>
      </c>
      <c r="I37" s="478" t="str">
        <f t="shared" si="24"/>
        <v>N.A</v>
      </c>
      <c r="J37" s="682" t="str">
        <f t="shared" si="3"/>
        <v>N.A</v>
      </c>
      <c r="K37" s="761">
        <v>0</v>
      </c>
      <c r="L37" s="427" t="str">
        <f t="shared" si="25"/>
        <v>N.A</v>
      </c>
      <c r="M37" s="430" t="str">
        <f t="shared" si="26"/>
        <v>N.A</v>
      </c>
      <c r="N37" s="426">
        <f t="shared" ref="N37:N38" si="28">(IF(M37="N.A",0,M37))+N36</f>
        <v>0.20500000000000002</v>
      </c>
      <c r="O37" s="998"/>
      <c r="P37" s="978"/>
      <c r="Q37" s="993"/>
      <c r="R37" s="1009"/>
      <c r="S37" s="978"/>
      <c r="T37" s="981"/>
      <c r="U37" s="978"/>
      <c r="V37" s="1045"/>
      <c r="W37" s="1070"/>
      <c r="X37" s="1070"/>
    </row>
    <row r="38" spans="1:26" s="457" customFormat="1" ht="93" customHeight="1">
      <c r="A38" s="1031"/>
      <c r="B38" s="741" t="str">
        <f>'TABLA 7 ESTRUCTURA PROGRAMÁTICA'!K28</f>
        <v>Medidas no estructurales evaluadas</v>
      </c>
      <c r="C38" s="741">
        <f>'TABLA 7 ESTRUCTURA PROGRAMÁTICA'!E28</f>
        <v>0</v>
      </c>
      <c r="D38" s="684">
        <v>0</v>
      </c>
      <c r="E38" s="430" t="str">
        <f t="shared" si="23"/>
        <v>N.A</v>
      </c>
      <c r="F38" s="845" t="s">
        <v>1103</v>
      </c>
      <c r="G38" s="497" t="str">
        <f t="shared" si="27"/>
        <v>N.A</v>
      </c>
      <c r="H38" s="594">
        <f>'TABLA 7 ESTRUCTURA PROGRAMÁTICA'!I28</f>
        <v>5</v>
      </c>
      <c r="I38" s="478" t="str">
        <f t="shared" si="24"/>
        <v>N.A</v>
      </c>
      <c r="J38" s="682" t="str">
        <f t="shared" si="3"/>
        <v>N.A</v>
      </c>
      <c r="K38" s="761">
        <f t="shared" ref="K38" si="29">K37</f>
        <v>0</v>
      </c>
      <c r="L38" s="427" t="str">
        <f t="shared" si="25"/>
        <v>N.A</v>
      </c>
      <c r="M38" s="430" t="str">
        <f t="shared" si="26"/>
        <v>N.A</v>
      </c>
      <c r="N38" s="426">
        <f t="shared" si="28"/>
        <v>0.20500000000000002</v>
      </c>
      <c r="O38" s="1023"/>
      <c r="P38" s="979"/>
      <c r="Q38" s="994"/>
      <c r="R38" s="1010"/>
      <c r="S38" s="979"/>
      <c r="T38" s="982"/>
      <c r="U38" s="979"/>
      <c r="V38" s="1046"/>
      <c r="W38" s="1033"/>
      <c r="X38" s="1033"/>
    </row>
    <row r="39" spans="1:26" s="457" customFormat="1">
      <c r="A39" s="989" t="s">
        <v>643</v>
      </c>
      <c r="B39" s="990"/>
      <c r="C39" s="990"/>
      <c r="D39" s="990"/>
      <c r="E39" s="990"/>
      <c r="F39" s="991"/>
      <c r="G39" s="411"/>
      <c r="H39" s="442"/>
      <c r="I39" s="442"/>
      <c r="J39" s="682">
        <f t="shared" si="3"/>
        <v>0</v>
      </c>
      <c r="K39" s="761"/>
      <c r="L39" s="428">
        <f>SUM(L33:L36)</f>
        <v>1</v>
      </c>
      <c r="M39" s="430"/>
      <c r="N39" s="426"/>
      <c r="O39" s="798"/>
      <c r="P39" s="479"/>
      <c r="Q39" s="478"/>
      <c r="R39" s="479"/>
      <c r="S39" s="479"/>
      <c r="T39" s="478"/>
      <c r="U39" s="498"/>
      <c r="V39" s="812"/>
      <c r="W39" s="422"/>
      <c r="X39" s="422"/>
    </row>
    <row r="40" spans="1:26" s="424" customFormat="1" ht="90">
      <c r="A40" s="458" t="str">
        <f>A21</f>
        <v>2. GESTIÓN INTEGRAL DEL RIESGO AMBIENTAL,  CLIMÁTICO, Y DEL RECURSO HÍDRICO.</v>
      </c>
      <c r="B40" s="753"/>
      <c r="C40" s="469"/>
      <c r="D40" s="470"/>
      <c r="E40" s="433"/>
      <c r="F40" s="436"/>
      <c r="G40" s="409"/>
      <c r="H40" s="441"/>
      <c r="I40" s="441"/>
      <c r="J40" s="441"/>
      <c r="K40" s="444">
        <v>0.2</v>
      </c>
      <c r="L40" s="445"/>
      <c r="M40" s="433"/>
      <c r="N40" s="484"/>
      <c r="O40" s="796"/>
      <c r="P40" s="485"/>
      <c r="Q40" s="444"/>
      <c r="R40" s="485"/>
      <c r="S40" s="485"/>
      <c r="T40" s="444"/>
      <c r="U40" s="486"/>
      <c r="V40" s="812"/>
      <c r="W40" s="422"/>
      <c r="X40" s="422"/>
      <c r="Y40" s="457"/>
      <c r="Z40" s="457"/>
    </row>
    <row r="41" spans="1:26" s="459" customFormat="1" ht="90">
      <c r="A41" s="462" t="str">
        <f>'TABLA 7 ESTRUCTURA PROGRAMÁTICA'!C30</f>
        <v>2.4 Gestión integral del recurso hídrico y materialización de la ZOAT en el area de jurisdiccion de Corpocesar.</v>
      </c>
      <c r="B41" s="410"/>
      <c r="C41" s="471"/>
      <c r="D41" s="414"/>
      <c r="E41" s="832">
        <f>E43*$K43+E44*$K44+E47*$K47+E50*$K50+E51*$K51+E52*$K52+E53*$K53+E55*$K55+E56*$K56</f>
        <v>0.76</v>
      </c>
      <c r="F41" s="359"/>
      <c r="G41" s="429">
        <f>G43*$K43+G44*$K44+G47*$K47+G50*$K50+G51*$K51+G52*$K52+G53*$K53+G55*$K55+G56*$K56</f>
        <v>0.76</v>
      </c>
      <c r="H41" s="357"/>
      <c r="I41" s="357"/>
      <c r="J41" s="429">
        <f>J43*$K43+J44*$K44+J47*$K47+J50*$K50+J51*$K51+J52*$K52+J53*$K53+J55*$K55+J56*$K56</f>
        <v>0.76</v>
      </c>
      <c r="K41" s="415">
        <v>0.3</v>
      </c>
      <c r="L41" s="428"/>
      <c r="M41" s="429"/>
      <c r="N41" s="487"/>
      <c r="O41" s="797"/>
      <c r="P41" s="488"/>
      <c r="Q41" s="415"/>
      <c r="R41" s="488"/>
      <c r="S41" s="488"/>
      <c r="T41" s="415"/>
      <c r="U41" s="489"/>
      <c r="V41" s="812"/>
      <c r="W41" s="422"/>
      <c r="X41" s="422"/>
      <c r="Y41" s="457"/>
      <c r="Z41" s="457"/>
    </row>
    <row r="42" spans="1:26" s="457" customFormat="1" ht="91.5" customHeight="1">
      <c r="A42" s="1029" t="str">
        <f>'TABLA 7 ESTRUCTURA PROGRAMÁTICA'!D30</f>
        <v>2.4.1 Desarrollo de instrumentos de planificación y administración del recurso hídrico, y contribución a la ejecución de Plan Hídrico Nacional -PHN- fase III, en el marco de la PNGIRH.</v>
      </c>
      <c r="B42" s="741" t="str">
        <f>'TABLA 7 ESTRUCTURA PROGRAMÁTICA'!K30</f>
        <v xml:space="preserve">Fases de nuevos POMCAS adelantadas (4 fases) </v>
      </c>
      <c r="C42" s="741">
        <f>'TABLA 7 ESTRUCTURA PROGRAMÁTICA'!E30</f>
        <v>0</v>
      </c>
      <c r="D42" s="681">
        <v>0</v>
      </c>
      <c r="E42" s="478" t="str">
        <f t="shared" ref="E42:E56" si="30">IF(C42=0,"N.A",(D42/C42)*1)</f>
        <v>N.A</v>
      </c>
      <c r="F42" s="846" t="s">
        <v>1103</v>
      </c>
      <c r="G42" s="497" t="str">
        <f t="shared" ref="G42:G56" si="31">E42</f>
        <v>N.A</v>
      </c>
      <c r="H42" s="442">
        <f>'TABLA 7 ESTRUCTURA PROGRAMÁTICA'!I30</f>
        <v>4</v>
      </c>
      <c r="I42" s="478" t="str">
        <f>E42</f>
        <v>N.A</v>
      </c>
      <c r="J42" s="682" t="str">
        <f t="shared" si="3"/>
        <v>N.A</v>
      </c>
      <c r="K42" s="478">
        <v>0</v>
      </c>
      <c r="L42" s="427" t="str">
        <f>IF(C42=0,E42,(E42*K42))</f>
        <v>N.A</v>
      </c>
      <c r="M42" s="430" t="str">
        <f>IF(L42="N.A","N.A",L42*$K$40*$K$41)</f>
        <v>N.A</v>
      </c>
      <c r="N42" s="426">
        <f>(IF(M42="N.A",0,M42))+N38</f>
        <v>0.20500000000000002</v>
      </c>
      <c r="O42" s="997">
        <f>2000000000+534258749</f>
        <v>2534258749</v>
      </c>
      <c r="P42" s="977">
        <f>530279082+1133386091</f>
        <v>1663665173</v>
      </c>
      <c r="Q42" s="992">
        <f>P42/O42</f>
        <v>0.65647013102212637</v>
      </c>
      <c r="R42" s="977">
        <f>O42</f>
        <v>2534258749</v>
      </c>
      <c r="S42" s="977">
        <f>P42</f>
        <v>1663665173</v>
      </c>
      <c r="T42" s="980">
        <f>S42/R42</f>
        <v>0.65647013102212637</v>
      </c>
      <c r="U42" s="977"/>
      <c r="V42" s="1044" t="s">
        <v>1117</v>
      </c>
      <c r="W42" s="1088" t="s">
        <v>1134</v>
      </c>
      <c r="X42" s="1044" t="s">
        <v>1125</v>
      </c>
    </row>
    <row r="43" spans="1:26" s="457" customFormat="1" ht="361.5" customHeight="1">
      <c r="A43" s="1030"/>
      <c r="B43" s="741" t="str">
        <f>'TABLA 7 ESTRUCTURA PROGRAMÁTICA'!K31</f>
        <v>Acciones de POMCA  implementadas (componentes de la fase 4)</v>
      </c>
      <c r="C43" s="741">
        <f>'TABLA 7 ESTRUCTURA PROGRAMÁTICA'!E31</f>
        <v>4</v>
      </c>
      <c r="D43" s="684">
        <v>4</v>
      </c>
      <c r="E43" s="478">
        <f t="shared" si="30"/>
        <v>1</v>
      </c>
      <c r="F43" s="846" t="s">
        <v>1205</v>
      </c>
      <c r="G43" s="806">
        <f t="shared" si="31"/>
        <v>1</v>
      </c>
      <c r="H43" s="594">
        <f>'TABLA 7 ESTRUCTURA PROGRAMÁTICA'!I31</f>
        <v>28</v>
      </c>
      <c r="I43" s="478">
        <f>G43</f>
        <v>1</v>
      </c>
      <c r="J43" s="682">
        <f t="shared" si="3"/>
        <v>1</v>
      </c>
      <c r="K43" s="478">
        <v>0.15</v>
      </c>
      <c r="L43" s="427">
        <f>IF(C43=0,G43,(G43*K43))</f>
        <v>0.15</v>
      </c>
      <c r="M43" s="430">
        <f t="shared" ref="M43:M56" si="32">IF(L43="N.A","N.A",L43*$K$40*$K$41)</f>
        <v>8.9999999999999993E-3</v>
      </c>
      <c r="N43" s="426">
        <f>(IF(M43="N.A",0,M43))+N42</f>
        <v>0.21400000000000002</v>
      </c>
      <c r="O43" s="998"/>
      <c r="P43" s="978"/>
      <c r="Q43" s="993"/>
      <c r="R43" s="978"/>
      <c r="S43" s="978"/>
      <c r="T43" s="981"/>
      <c r="U43" s="978"/>
      <c r="V43" s="1045"/>
      <c r="W43" s="1089"/>
      <c r="X43" s="1045"/>
    </row>
    <row r="44" spans="1:26" s="457" customFormat="1" ht="162" customHeight="1">
      <c r="A44" s="1030"/>
      <c r="B44" s="741" t="str">
        <f>'TABLA 7 ESTRUCTURA PROGRAMÁTICA'!K32</f>
        <v>POMCA con seguimiento, coordinación y evaluación/año</v>
      </c>
      <c r="C44" s="741">
        <f>'TABLA 7 ESTRUCTURA PROGRAMÁTICA'!E32</f>
        <v>8</v>
      </c>
      <c r="D44" s="681">
        <v>8</v>
      </c>
      <c r="E44" s="478">
        <f t="shared" si="30"/>
        <v>1</v>
      </c>
      <c r="F44" s="846" t="s">
        <v>1206</v>
      </c>
      <c r="G44" s="806">
        <f t="shared" si="31"/>
        <v>1</v>
      </c>
      <c r="H44" s="594">
        <f>'TABLA 7 ESTRUCTURA PROGRAMÁTICA'!I32</f>
        <v>8</v>
      </c>
      <c r="I44" s="478">
        <f t="shared" ref="I44:I70" si="33">E44</f>
        <v>1</v>
      </c>
      <c r="J44" s="682">
        <f t="shared" si="3"/>
        <v>1</v>
      </c>
      <c r="K44" s="478">
        <v>0.1</v>
      </c>
      <c r="L44" s="427">
        <f t="shared" ref="L44:L55" si="34">IF(C44=0,E44,(E44*K44))</f>
        <v>0.1</v>
      </c>
      <c r="M44" s="430">
        <f t="shared" si="32"/>
        <v>6.000000000000001E-3</v>
      </c>
      <c r="N44" s="426">
        <f t="shared" ref="N44:N56" si="35">(IF(M44="N.A",0,M44))+N43</f>
        <v>0.22000000000000003</v>
      </c>
      <c r="O44" s="998"/>
      <c r="P44" s="978"/>
      <c r="Q44" s="993"/>
      <c r="R44" s="978"/>
      <c r="S44" s="978"/>
      <c r="T44" s="981"/>
      <c r="U44" s="978"/>
      <c r="V44" s="1045"/>
      <c r="W44" s="1089"/>
      <c r="X44" s="1045"/>
    </row>
    <row r="45" spans="1:26" s="457" customFormat="1" ht="118.5" customHeight="1">
      <c r="A45" s="1030"/>
      <c r="B45" s="741" t="str">
        <f>'TABLA 7 ESTRUCTURA PROGRAMÁTICA'!K33</f>
        <v>Nuevas Fases de los PMA  de Microcuenca formulados.</v>
      </c>
      <c r="C45" s="741">
        <f>'TABLA 7 ESTRUCTURA PROGRAMÁTICA'!E33</f>
        <v>0</v>
      </c>
      <c r="D45" s="681">
        <v>0</v>
      </c>
      <c r="E45" s="478" t="str">
        <f t="shared" si="30"/>
        <v>N.A</v>
      </c>
      <c r="F45" s="846" t="s">
        <v>1103</v>
      </c>
      <c r="G45" s="497" t="str">
        <f t="shared" si="31"/>
        <v>N.A</v>
      </c>
      <c r="H45" s="594">
        <f>'TABLA 7 ESTRUCTURA PROGRAMÁTICA'!I33</f>
        <v>3</v>
      </c>
      <c r="I45" s="478" t="str">
        <f t="shared" si="33"/>
        <v>N.A</v>
      </c>
      <c r="J45" s="682" t="str">
        <f t="shared" si="3"/>
        <v>N.A</v>
      </c>
      <c r="K45" s="478">
        <v>0</v>
      </c>
      <c r="L45" s="427" t="str">
        <f t="shared" si="34"/>
        <v>N.A</v>
      </c>
      <c r="M45" s="430" t="str">
        <f t="shared" si="32"/>
        <v>N.A</v>
      </c>
      <c r="N45" s="426">
        <f t="shared" si="35"/>
        <v>0.22000000000000003</v>
      </c>
      <c r="O45" s="998"/>
      <c r="P45" s="978"/>
      <c r="Q45" s="993"/>
      <c r="R45" s="978"/>
      <c r="S45" s="978"/>
      <c r="T45" s="981"/>
      <c r="U45" s="978"/>
      <c r="V45" s="1045"/>
      <c r="W45" s="1089"/>
      <c r="X45" s="1045"/>
    </row>
    <row r="46" spans="1:26" s="457" customFormat="1" ht="114" customHeight="1">
      <c r="A46" s="1030"/>
      <c r="B46" s="741" t="str">
        <f>'TABLA 7 ESTRUCTURA PROGRAMÁTICA'!K34</f>
        <v xml:space="preserve">Acciones de PMA de  Microcuencas Implementadas/año </v>
      </c>
      <c r="C46" s="741">
        <f>'TABLA 7 ESTRUCTURA PROGRAMÁTICA'!E34</f>
        <v>0</v>
      </c>
      <c r="D46" s="681">
        <v>0</v>
      </c>
      <c r="E46" s="478" t="str">
        <f t="shared" si="30"/>
        <v>N.A</v>
      </c>
      <c r="F46" s="846" t="s">
        <v>1103</v>
      </c>
      <c r="G46" s="497" t="str">
        <f t="shared" si="31"/>
        <v>N.A</v>
      </c>
      <c r="H46" s="594">
        <f>'TABLA 7 ESTRUCTURA PROGRAMÁTICA'!I34</f>
        <v>5</v>
      </c>
      <c r="I46" s="478" t="str">
        <f t="shared" si="33"/>
        <v>N.A</v>
      </c>
      <c r="J46" s="682" t="str">
        <f t="shared" si="3"/>
        <v>N.A</v>
      </c>
      <c r="K46" s="478">
        <v>0</v>
      </c>
      <c r="L46" s="427" t="str">
        <f t="shared" si="34"/>
        <v>N.A</v>
      </c>
      <c r="M46" s="430" t="str">
        <f t="shared" si="32"/>
        <v>N.A</v>
      </c>
      <c r="N46" s="426">
        <f t="shared" si="35"/>
        <v>0.22000000000000003</v>
      </c>
      <c r="O46" s="998"/>
      <c r="P46" s="978"/>
      <c r="Q46" s="993"/>
      <c r="R46" s="978"/>
      <c r="S46" s="978"/>
      <c r="T46" s="981"/>
      <c r="U46" s="978"/>
      <c r="V46" s="1045"/>
      <c r="W46" s="1089"/>
      <c r="X46" s="1045"/>
    </row>
    <row r="47" spans="1:26" s="457" customFormat="1" ht="330">
      <c r="A47" s="1030"/>
      <c r="B47" s="741" t="str">
        <f>'TABLA 7 ESTRUCTURA PROGRAMÁTICA'!K35</f>
        <v xml:space="preserve">Acciones de PMA de Acuíferos  Implementadas/año </v>
      </c>
      <c r="C47" s="741">
        <f>'TABLA 7 ESTRUCTURA PROGRAMÁTICA'!E35</f>
        <v>1</v>
      </c>
      <c r="D47" s="681">
        <v>1</v>
      </c>
      <c r="E47" s="478">
        <f t="shared" si="30"/>
        <v>1</v>
      </c>
      <c r="F47" s="846" t="s">
        <v>1162</v>
      </c>
      <c r="G47" s="806">
        <f t="shared" si="31"/>
        <v>1</v>
      </c>
      <c r="H47" s="594">
        <f>'TABLA 7 ESTRUCTURA PROGRAMÁTICA'!I35</f>
        <v>7</v>
      </c>
      <c r="I47" s="478">
        <f t="shared" si="33"/>
        <v>1</v>
      </c>
      <c r="J47" s="682">
        <f t="shared" si="3"/>
        <v>1</v>
      </c>
      <c r="K47" s="478">
        <v>0.15</v>
      </c>
      <c r="L47" s="427">
        <f t="shared" si="34"/>
        <v>0.15</v>
      </c>
      <c r="M47" s="430">
        <f t="shared" si="32"/>
        <v>8.9999999999999993E-3</v>
      </c>
      <c r="N47" s="426">
        <f t="shared" si="35"/>
        <v>0.22900000000000004</v>
      </c>
      <c r="O47" s="998"/>
      <c r="P47" s="978"/>
      <c r="Q47" s="993"/>
      <c r="R47" s="978"/>
      <c r="S47" s="978"/>
      <c r="T47" s="981"/>
      <c r="U47" s="978"/>
      <c r="V47" s="1045"/>
      <c r="W47" s="1089"/>
      <c r="X47" s="1045"/>
    </row>
    <row r="48" spans="1:26" s="457" customFormat="1" ht="120">
      <c r="A48" s="1031"/>
      <c r="B48" s="741" t="str">
        <f>'TABLA 7 ESTRUCTURA PROGRAMÁTICA'!K36</f>
        <v xml:space="preserve">Otras acciones de planeación y gestión de  Acuíferos  Implementadas/año </v>
      </c>
      <c r="C48" s="741">
        <f>'TABLA 7 ESTRUCTURA PROGRAMÁTICA'!E36</f>
        <v>0</v>
      </c>
      <c r="D48" s="681">
        <v>0</v>
      </c>
      <c r="E48" s="478" t="str">
        <f t="shared" si="30"/>
        <v>N.A</v>
      </c>
      <c r="F48" s="846" t="s">
        <v>1103</v>
      </c>
      <c r="G48" s="497" t="str">
        <f t="shared" si="31"/>
        <v>N.A</v>
      </c>
      <c r="H48" s="594">
        <f>'TABLA 7 ESTRUCTURA PROGRAMÁTICA'!I36</f>
        <v>3</v>
      </c>
      <c r="I48" s="478" t="str">
        <f t="shared" si="33"/>
        <v>N.A</v>
      </c>
      <c r="J48" s="682" t="str">
        <f t="shared" si="3"/>
        <v>N.A</v>
      </c>
      <c r="K48" s="478">
        <v>0</v>
      </c>
      <c r="L48" s="427" t="str">
        <f t="shared" si="34"/>
        <v>N.A</v>
      </c>
      <c r="M48" s="430" t="str">
        <f t="shared" si="32"/>
        <v>N.A</v>
      </c>
      <c r="N48" s="426">
        <f t="shared" si="35"/>
        <v>0.22900000000000004</v>
      </c>
      <c r="O48" s="998"/>
      <c r="P48" s="978"/>
      <c r="Q48" s="993"/>
      <c r="R48" s="978"/>
      <c r="S48" s="978"/>
      <c r="T48" s="981"/>
      <c r="U48" s="978"/>
      <c r="V48" s="1045"/>
      <c r="W48" s="1090"/>
      <c r="X48" s="1045"/>
    </row>
    <row r="49" spans="1:26" s="457" customFormat="1" ht="99.75" customHeight="1">
      <c r="A49" s="1029" t="str">
        <f>'TABLA 7 ESTRUCTURA PROGRAMÁTICA'!D37</f>
        <v>2.4.2 Gestión, formulación e  Implementación de PORH.</v>
      </c>
      <c r="B49" s="741" t="str">
        <f>'TABLA 7 ESTRUCTURA PROGRAMÁTICA'!K37</f>
        <v>Nuevo PORH formulado (S/. Prioridad)</v>
      </c>
      <c r="C49" s="741">
        <f>'TABLA 7 ESTRUCTURA PROGRAMÁTICA'!E37</f>
        <v>0</v>
      </c>
      <c r="D49" s="681">
        <v>0</v>
      </c>
      <c r="E49" s="478" t="str">
        <f t="shared" si="30"/>
        <v>N.A</v>
      </c>
      <c r="F49" s="846" t="s">
        <v>1103</v>
      </c>
      <c r="G49" s="497" t="str">
        <f t="shared" si="31"/>
        <v>N.A</v>
      </c>
      <c r="H49" s="594">
        <f>'TABLA 7 ESTRUCTURA PROGRAMÁTICA'!I37</f>
        <v>1</v>
      </c>
      <c r="I49" s="478" t="str">
        <f t="shared" si="33"/>
        <v>N.A</v>
      </c>
      <c r="J49" s="682" t="str">
        <f t="shared" si="3"/>
        <v>N.A</v>
      </c>
      <c r="K49" s="478">
        <v>0</v>
      </c>
      <c r="L49" s="427" t="str">
        <f t="shared" si="34"/>
        <v>N.A</v>
      </c>
      <c r="M49" s="430" t="str">
        <f t="shared" si="32"/>
        <v>N.A</v>
      </c>
      <c r="N49" s="426">
        <f t="shared" si="35"/>
        <v>0.22900000000000004</v>
      </c>
      <c r="O49" s="998"/>
      <c r="P49" s="978"/>
      <c r="Q49" s="993"/>
      <c r="R49" s="978"/>
      <c r="S49" s="978"/>
      <c r="T49" s="981"/>
      <c r="U49" s="978"/>
      <c r="V49" s="1045"/>
      <c r="W49" s="1044" t="s">
        <v>1135</v>
      </c>
      <c r="X49" s="1045"/>
    </row>
    <row r="50" spans="1:26" s="457" customFormat="1" ht="137.25" customHeight="1">
      <c r="A50" s="1031"/>
      <c r="B50" s="741" t="str">
        <f>'TABLA 7 ESTRUCTURA PROGRAMÁTICA'!K38</f>
        <v xml:space="preserve">Acciones de PORH implementadas/plan (R. Cesar, Calenturitas y Chiriaimo). </v>
      </c>
      <c r="C50" s="741">
        <f>'TABLA 7 ESTRUCTURA PROGRAMÁTICA'!E38</f>
        <v>1</v>
      </c>
      <c r="D50" s="681">
        <v>1</v>
      </c>
      <c r="E50" s="478">
        <f t="shared" si="30"/>
        <v>1</v>
      </c>
      <c r="F50" s="683" t="s">
        <v>1208</v>
      </c>
      <c r="G50" s="806">
        <f t="shared" si="31"/>
        <v>1</v>
      </c>
      <c r="H50" s="594">
        <f>'TABLA 7 ESTRUCTURA PROGRAMÁTICA'!I38</f>
        <v>10</v>
      </c>
      <c r="I50" s="478">
        <f t="shared" si="33"/>
        <v>1</v>
      </c>
      <c r="J50" s="682">
        <f t="shared" si="3"/>
        <v>1</v>
      </c>
      <c r="K50" s="478">
        <v>0.1</v>
      </c>
      <c r="L50" s="427">
        <f t="shared" si="34"/>
        <v>0.1</v>
      </c>
      <c r="M50" s="430">
        <f>IF(L50="N.A","N.A",L50*$K$40*$K$41)</f>
        <v>6.000000000000001E-3</v>
      </c>
      <c r="N50" s="426">
        <f t="shared" si="35"/>
        <v>0.23500000000000004</v>
      </c>
      <c r="O50" s="998"/>
      <c r="P50" s="978"/>
      <c r="Q50" s="993"/>
      <c r="R50" s="978"/>
      <c r="S50" s="978"/>
      <c r="T50" s="981"/>
      <c r="U50" s="978"/>
      <c r="V50" s="1045"/>
      <c r="W50" s="1046"/>
      <c r="X50" s="1045"/>
    </row>
    <row r="51" spans="1:26" s="457" customFormat="1" ht="90">
      <c r="A51" s="1029" t="str">
        <f>'TABLA 7 ESTRUCTURA PROGRAMÁTICA'!D39</f>
        <v>2.4.3 Control, seguimiento y apoyo a implementación de  los PSMV y PUEAA aprobados por la Corporación e implementación de acciones para el uso eficiente y descontaminación del recurso hídrico en el dpto. del Cesar. (armonización con proyecto 4.1)</v>
      </c>
      <c r="B51" s="741" t="str">
        <f>'TABLA 7 ESTRUCTURA PROGRAMÁTICA'!K39</f>
        <v xml:space="preserve"> PSMV´s con seguimiento/año</v>
      </c>
      <c r="C51" s="741">
        <f>'TABLA 7 ESTRUCTURA PROGRAMÁTICA'!E39</f>
        <v>25</v>
      </c>
      <c r="D51" s="681">
        <v>25</v>
      </c>
      <c r="E51" s="478">
        <f t="shared" si="30"/>
        <v>1</v>
      </c>
      <c r="F51" s="683" t="s">
        <v>1198</v>
      </c>
      <c r="G51" s="806">
        <f t="shared" si="31"/>
        <v>1</v>
      </c>
      <c r="H51" s="594">
        <f>'TABLA 7 ESTRUCTURA PROGRAMÁTICA'!I39</f>
        <v>25</v>
      </c>
      <c r="I51" s="478">
        <f t="shared" si="33"/>
        <v>1</v>
      </c>
      <c r="J51" s="682">
        <f t="shared" si="3"/>
        <v>1</v>
      </c>
      <c r="K51" s="478">
        <v>0.1</v>
      </c>
      <c r="L51" s="427">
        <f t="shared" si="34"/>
        <v>0.1</v>
      </c>
      <c r="M51" s="430">
        <f t="shared" si="32"/>
        <v>6.000000000000001E-3</v>
      </c>
      <c r="N51" s="426">
        <f>(IF(M51="N.A",0,M51))+N50</f>
        <v>0.24100000000000005</v>
      </c>
      <c r="O51" s="998"/>
      <c r="P51" s="978"/>
      <c r="Q51" s="993"/>
      <c r="R51" s="978"/>
      <c r="S51" s="978"/>
      <c r="T51" s="981"/>
      <c r="U51" s="978"/>
      <c r="V51" s="1045"/>
      <c r="W51" s="498" t="s">
        <v>1136</v>
      </c>
      <c r="X51" s="1045"/>
    </row>
    <row r="52" spans="1:26" s="457" customFormat="1" ht="120">
      <c r="A52" s="1030"/>
      <c r="B52" s="741" t="str">
        <f>'TABLA 7 ESTRUCTURA PROGRAMÁTICA'!K40</f>
        <v xml:space="preserve">STAR apoyados (medida estructural y no estructural para disminuir la contaminación hídrica)/año </v>
      </c>
      <c r="C52" s="741">
        <f>'TABLA 7 ESTRUCTURA PROGRAMÁTICA'!E40</f>
        <v>1</v>
      </c>
      <c r="D52" s="477">
        <v>1</v>
      </c>
      <c r="E52" s="478">
        <f t="shared" si="30"/>
        <v>1</v>
      </c>
      <c r="F52" s="683" t="s">
        <v>1197</v>
      </c>
      <c r="G52" s="806">
        <f t="shared" si="31"/>
        <v>1</v>
      </c>
      <c r="H52" s="594">
        <f>'TABLA 7 ESTRUCTURA PROGRAMÁTICA'!I40</f>
        <v>4</v>
      </c>
      <c r="I52" s="478">
        <f>G52</f>
        <v>1</v>
      </c>
      <c r="J52" s="682">
        <f t="shared" si="3"/>
        <v>1</v>
      </c>
      <c r="K52" s="478">
        <v>0.1</v>
      </c>
      <c r="L52" s="427">
        <f>IF(C52=0,G52,(G52*K52))</f>
        <v>0.1</v>
      </c>
      <c r="M52" s="430">
        <f t="shared" si="32"/>
        <v>6.000000000000001E-3</v>
      </c>
      <c r="N52" s="426">
        <f t="shared" si="35"/>
        <v>0.24700000000000005</v>
      </c>
      <c r="O52" s="998"/>
      <c r="P52" s="978"/>
      <c r="Q52" s="993"/>
      <c r="R52" s="978"/>
      <c r="S52" s="978"/>
      <c r="T52" s="981"/>
      <c r="U52" s="978"/>
      <c r="V52" s="1045"/>
      <c r="W52" s="498" t="s">
        <v>1137</v>
      </c>
      <c r="X52" s="1045"/>
    </row>
    <row r="53" spans="1:26" s="457" customFormat="1" ht="109.5" customHeight="1">
      <c r="A53" s="1031"/>
      <c r="B53" s="741" t="str">
        <f>'TABLA 7 ESTRUCTURA PROGRAMÁTICA'!K41</f>
        <v>Cobertura de PUEAA con seguimiento (PUEAA seguimiento/Aprobados)</v>
      </c>
      <c r="C53" s="741">
        <f>'TABLA 7 ESTRUCTURA PROGRAMÁTICA'!E41</f>
        <v>100</v>
      </c>
      <c r="D53" s="681">
        <v>20</v>
      </c>
      <c r="E53" s="478">
        <f t="shared" si="30"/>
        <v>0.2</v>
      </c>
      <c r="F53" s="456" t="s">
        <v>1246</v>
      </c>
      <c r="G53" s="806">
        <f t="shared" si="31"/>
        <v>0.2</v>
      </c>
      <c r="H53" s="594">
        <f>'TABLA 7 ESTRUCTURA PROGRAMÁTICA'!I41</f>
        <v>100</v>
      </c>
      <c r="I53" s="478">
        <f t="shared" si="33"/>
        <v>0.2</v>
      </c>
      <c r="J53" s="682">
        <f t="shared" si="3"/>
        <v>0.2</v>
      </c>
      <c r="K53" s="478">
        <v>0.1</v>
      </c>
      <c r="L53" s="427">
        <f t="shared" si="34"/>
        <v>2.0000000000000004E-2</v>
      </c>
      <c r="M53" s="430">
        <f t="shared" si="32"/>
        <v>1.2000000000000003E-3</v>
      </c>
      <c r="N53" s="426">
        <f t="shared" si="35"/>
        <v>0.24820000000000006</v>
      </c>
      <c r="O53" s="998"/>
      <c r="P53" s="978"/>
      <c r="Q53" s="993"/>
      <c r="R53" s="978"/>
      <c r="S53" s="978"/>
      <c r="T53" s="981"/>
      <c r="U53" s="978"/>
      <c r="V53" s="1045"/>
      <c r="W53" s="818"/>
      <c r="X53" s="1045"/>
    </row>
    <row r="54" spans="1:26" s="457" customFormat="1" ht="265.5" customHeight="1">
      <c r="A54" s="701" t="str">
        <f>'TABLA 7 ESTRUCTURA PROGRAMÁTICA'!D42</f>
        <v xml:space="preserve">2.4.4 Acotamiento de rondas hídricas e incorporación a las Determinantes ambientales (Cuerpos de agua priorizados: R. Guatapurí no 1). Armonización con el proyecto 3.1 </v>
      </c>
      <c r="B54" s="741" t="str">
        <f>'TABLA 7 ESTRUCTURA PROGRAMÁTICA'!K42</f>
        <v>Ronda hídrica acotada/año</v>
      </c>
      <c r="C54" s="741">
        <f>'TABLA 7 ESTRUCTURA PROGRAMÁTICA'!E42</f>
        <v>0</v>
      </c>
      <c r="D54" s="477">
        <v>0</v>
      </c>
      <c r="E54" s="478" t="str">
        <f t="shared" si="30"/>
        <v>N.A</v>
      </c>
      <c r="F54" s="456" t="s">
        <v>1207</v>
      </c>
      <c r="G54" s="497" t="str">
        <f t="shared" si="31"/>
        <v>N.A</v>
      </c>
      <c r="H54" s="594">
        <f>'TABLA 7 ESTRUCTURA PROGRAMÁTICA'!I42</f>
        <v>2</v>
      </c>
      <c r="I54" s="478" t="str">
        <f>G54</f>
        <v>N.A</v>
      </c>
      <c r="J54" s="682" t="str">
        <f t="shared" si="3"/>
        <v>N.A</v>
      </c>
      <c r="K54" s="478">
        <v>0</v>
      </c>
      <c r="L54" s="427" t="str">
        <f>IF(C54=0,G54,(G54*K54))</f>
        <v>N.A</v>
      </c>
      <c r="M54" s="430" t="str">
        <f t="shared" si="32"/>
        <v>N.A</v>
      </c>
      <c r="N54" s="426">
        <f t="shared" si="35"/>
        <v>0.24820000000000006</v>
      </c>
      <c r="O54" s="998"/>
      <c r="P54" s="978"/>
      <c r="Q54" s="993"/>
      <c r="R54" s="978"/>
      <c r="S54" s="978"/>
      <c r="T54" s="981"/>
      <c r="U54" s="978"/>
      <c r="V54" s="1045"/>
      <c r="W54" s="818"/>
      <c r="X54" s="1045"/>
    </row>
    <row r="55" spans="1:26" s="457" customFormat="1" ht="137.25" customHeight="1">
      <c r="A55" s="456" t="str">
        <f>'TABLA 7 ESTRUCTURA PROGRAMÁTICA'!D43</f>
        <v xml:space="preserve">2.4.5 Estructuración e implementación de una estrategia integral para la recuperación de ecosistemas en la cuenca del río Cesar (tipo APP). En armonía con el programa 5 y la actividad 2.4.2 </v>
      </c>
      <c r="B55" s="741" t="str">
        <f>'TABLA 7 ESTRUCTURA PROGRAMÁTICA'!K43</f>
        <v>Avance de la Estrategia integral estructurada e implementada</v>
      </c>
      <c r="C55" s="741">
        <f>'TABLA 7 ESTRUCTURA PROGRAMÁTICA'!E43</f>
        <v>10</v>
      </c>
      <c r="D55" s="681">
        <v>1</v>
      </c>
      <c r="E55" s="478">
        <f t="shared" si="30"/>
        <v>0.1</v>
      </c>
      <c r="F55" s="683" t="s">
        <v>1104</v>
      </c>
      <c r="G55" s="806">
        <f t="shared" si="31"/>
        <v>0.1</v>
      </c>
      <c r="H55" s="594">
        <f>'TABLA 7 ESTRUCTURA PROGRAMÁTICA'!I43</f>
        <v>100</v>
      </c>
      <c r="I55" s="478">
        <f t="shared" si="33"/>
        <v>0.1</v>
      </c>
      <c r="J55" s="682">
        <f t="shared" si="3"/>
        <v>0.1</v>
      </c>
      <c r="K55" s="478">
        <v>0.1</v>
      </c>
      <c r="L55" s="427">
        <f t="shared" si="34"/>
        <v>1.0000000000000002E-2</v>
      </c>
      <c r="M55" s="430">
        <f t="shared" si="32"/>
        <v>6.0000000000000016E-4</v>
      </c>
      <c r="N55" s="426">
        <f t="shared" si="35"/>
        <v>0.24880000000000005</v>
      </c>
      <c r="O55" s="998"/>
      <c r="P55" s="978"/>
      <c r="Q55" s="993"/>
      <c r="R55" s="978"/>
      <c r="S55" s="978"/>
      <c r="T55" s="981"/>
      <c r="U55" s="978"/>
      <c r="V55" s="1045"/>
      <c r="W55" s="818"/>
      <c r="X55" s="1045"/>
    </row>
    <row r="56" spans="1:26" s="457" customFormat="1" ht="150">
      <c r="A56" s="702" t="str">
        <f>'TABLA 7 ESTRUCTURA PROGRAMÁTICA'!D44</f>
        <v>2.4.6 Instalación de las denominadas "plataformas colaborativas" con el MADS,  para la articulación de inversiones y acciones para la recuperación de ecosistemas degradados en torno a cuencas hidrográficas.</v>
      </c>
      <c r="B56" s="741" t="str">
        <f>'TABLA 7 ESTRUCTURA PROGRAMÁTICA'!K44</f>
        <v xml:space="preserve">Plataforma  colaborativa CAR-MADS, en operación </v>
      </c>
      <c r="C56" s="741">
        <f>'TABLA 7 ESTRUCTURA PROGRAMÁTICA'!E44</f>
        <v>1</v>
      </c>
      <c r="D56" s="684">
        <v>0.3</v>
      </c>
      <c r="E56" s="478">
        <f t="shared" si="30"/>
        <v>0.3</v>
      </c>
      <c r="F56" s="847" t="s">
        <v>1235</v>
      </c>
      <c r="G56" s="806">
        <f t="shared" si="31"/>
        <v>0.3</v>
      </c>
      <c r="H56" s="594">
        <f>'TABLA 7 ESTRUCTURA PROGRAMÁTICA'!I44</f>
        <v>1</v>
      </c>
      <c r="I56" s="478">
        <f>G56</f>
        <v>0.3</v>
      </c>
      <c r="J56" s="682">
        <f t="shared" si="3"/>
        <v>0.3</v>
      </c>
      <c r="K56" s="478">
        <v>0.1</v>
      </c>
      <c r="L56" s="427">
        <f>IF(C56=0,G56,(G56*K56))</f>
        <v>0.03</v>
      </c>
      <c r="M56" s="430">
        <f t="shared" si="32"/>
        <v>1.8E-3</v>
      </c>
      <c r="N56" s="426">
        <f t="shared" si="35"/>
        <v>0.25060000000000004</v>
      </c>
      <c r="O56" s="1023"/>
      <c r="P56" s="979"/>
      <c r="Q56" s="994"/>
      <c r="R56" s="979"/>
      <c r="S56" s="979"/>
      <c r="T56" s="982"/>
      <c r="U56" s="979"/>
      <c r="V56" s="1046"/>
      <c r="W56" s="818"/>
      <c r="X56" s="1046"/>
    </row>
    <row r="57" spans="1:26" s="457" customFormat="1">
      <c r="A57" s="989"/>
      <c r="B57" s="990"/>
      <c r="C57" s="990"/>
      <c r="D57" s="990"/>
      <c r="E57" s="990"/>
      <c r="F57" s="991"/>
      <c r="G57" s="411"/>
      <c r="H57" s="442"/>
      <c r="I57" s="477"/>
      <c r="J57" s="682">
        <f t="shared" si="3"/>
        <v>0</v>
      </c>
      <c r="K57" s="427"/>
      <c r="L57" s="428">
        <f>SUM(L42:L56)</f>
        <v>0.76</v>
      </c>
      <c r="M57" s="430"/>
      <c r="N57" s="426"/>
      <c r="O57" s="798"/>
      <c r="P57" s="479"/>
      <c r="Q57" s="478"/>
      <c r="R57" s="479"/>
      <c r="S57" s="479"/>
      <c r="T57" s="478"/>
      <c r="U57" s="498"/>
      <c r="V57" s="812"/>
      <c r="W57" s="422"/>
      <c r="X57" s="422"/>
    </row>
    <row r="58" spans="1:26" s="424" customFormat="1">
      <c r="A58" s="458" t="str">
        <f>'TABLA 7 ESTRUCTURA PROGRAMÁTICA'!B46</f>
        <v>3. OCUPACIÓN TERRITORIAL INTEGRAL</v>
      </c>
      <c r="B58" s="753"/>
      <c r="C58" s="469"/>
      <c r="D58" s="470"/>
      <c r="E58" s="433"/>
      <c r="F58" s="436"/>
      <c r="G58" s="409"/>
      <c r="H58" s="441"/>
      <c r="I58" s="441"/>
      <c r="J58" s="441"/>
      <c r="K58" s="444">
        <v>0.1</v>
      </c>
      <c r="L58" s="445"/>
      <c r="M58" s="433"/>
      <c r="N58" s="484"/>
      <c r="O58" s="796"/>
      <c r="P58" s="485"/>
      <c r="Q58" s="444"/>
      <c r="R58" s="485"/>
      <c r="S58" s="485"/>
      <c r="T58" s="444"/>
      <c r="U58" s="486"/>
      <c r="V58" s="812"/>
      <c r="W58" s="422"/>
      <c r="X58" s="422"/>
      <c r="Y58" s="457"/>
      <c r="Z58" s="457"/>
    </row>
    <row r="59" spans="1:26" s="459" customFormat="1" ht="120">
      <c r="A59" s="462" t="str">
        <f>'TABLA 7 ESTRUCTURA PROGRAMÁTICA'!C46</f>
        <v xml:space="preserve">3.1  Fortalecimiento del proceso de Ordenamiento Territorial como estrategia  para promover el  desarrollo terrirorial sostenible, en el dpto del Cesar.   </v>
      </c>
      <c r="B59" s="410"/>
      <c r="C59" s="471"/>
      <c r="D59" s="414"/>
      <c r="E59" s="429">
        <f>E60*$K60+E62*$K62+E63*$K63</f>
        <v>1</v>
      </c>
      <c r="F59" s="359"/>
      <c r="G59" s="429">
        <f>G60*$K60+G62*$K62+G63*$K63</f>
        <v>1</v>
      </c>
      <c r="H59" s="357"/>
      <c r="I59" s="357"/>
      <c r="J59" s="429">
        <f>J60*$K60+J62*$K62+J63*$K63</f>
        <v>1</v>
      </c>
      <c r="K59" s="415">
        <v>0.5</v>
      </c>
      <c r="L59" s="428"/>
      <c r="M59" s="429"/>
      <c r="N59" s="487"/>
      <c r="O59" s="797"/>
      <c r="P59" s="488"/>
      <c r="Q59" s="415"/>
      <c r="R59" s="488"/>
      <c r="S59" s="488"/>
      <c r="T59" s="415"/>
      <c r="U59" s="489"/>
      <c r="V59" s="812"/>
      <c r="W59" s="422"/>
      <c r="X59" s="422"/>
      <c r="Y59" s="457"/>
      <c r="Z59" s="457"/>
    </row>
    <row r="60" spans="1:26" s="457" customFormat="1" ht="90">
      <c r="A60" s="702" t="str">
        <f>'TABLA 7 ESTRUCTURA PROGRAMÁTICA'!D46</f>
        <v xml:space="preserve">3.1.1 Actualización de las determinantes ambientales para el Ordenamiento territorial (énfasis en cambio climático, GRD, suelo suburbano, EEP)  </v>
      </c>
      <c r="B60" s="1032" t="str">
        <f>'TABLA 7 ESTRUCTURA PROGRAMÁTICA'!K46</f>
        <v xml:space="preserve">Avance de Determinantes Ambientales revisadas, actualizadas y socializadas                                                                                                                                                              </v>
      </c>
      <c r="C60" s="848">
        <f>'TABLA 7 ESTRUCTURA PROGRAMÁTICA'!E46</f>
        <v>50</v>
      </c>
      <c r="D60" s="681">
        <v>90</v>
      </c>
      <c r="E60" s="682">
        <v>1</v>
      </c>
      <c r="F60" s="683" t="s">
        <v>1233</v>
      </c>
      <c r="G60" s="806">
        <f t="shared" ref="G60:G63" si="36">E60</f>
        <v>1</v>
      </c>
      <c r="H60" s="442">
        <f>'TABLA 7 ESTRUCTURA PROGRAMÁTICA'!I46</f>
        <v>100</v>
      </c>
      <c r="I60" s="478">
        <f t="shared" si="33"/>
        <v>1</v>
      </c>
      <c r="J60" s="682">
        <f t="shared" si="3"/>
        <v>1</v>
      </c>
      <c r="K60" s="478">
        <v>0.7</v>
      </c>
      <c r="L60" s="427">
        <f>IF(C60=0,E60,(E60*K60))</f>
        <v>0.7</v>
      </c>
      <c r="M60" s="430">
        <f>IF(L60="N.A","N.A",L60*$K$58*$K$59)</f>
        <v>3.4999999999999996E-2</v>
      </c>
      <c r="N60" s="426">
        <f>(IF(M60="N.A",0,M60))+N56</f>
        <v>0.28560000000000002</v>
      </c>
      <c r="O60" s="997">
        <f>100000000+69994500</f>
        <v>169994500</v>
      </c>
      <c r="P60" s="977">
        <f>20387000+64338500</f>
        <v>84725500</v>
      </c>
      <c r="Q60" s="992">
        <f>P60/O60</f>
        <v>0.49840141886943401</v>
      </c>
      <c r="R60" s="977">
        <f>O60</f>
        <v>169994500</v>
      </c>
      <c r="S60" s="977">
        <f>P60</f>
        <v>84725500</v>
      </c>
      <c r="T60" s="992">
        <f>Q60</f>
        <v>0.49840141886943401</v>
      </c>
      <c r="U60" s="977"/>
      <c r="V60" s="1044" t="s">
        <v>1118</v>
      </c>
      <c r="W60" s="1044" t="s">
        <v>1142</v>
      </c>
      <c r="X60" s="1076"/>
    </row>
    <row r="61" spans="1:26" s="457" customFormat="1" ht="60">
      <c r="A61" s="701" t="str">
        <f>'TABLA 7 ESTRUCTURA PROGRAMÁTICA'!D47</f>
        <v xml:space="preserve">3.1.2 Socialización y divulgación de las DA para el OT (cartografía temática compartida)  </v>
      </c>
      <c r="B61" s="1033"/>
      <c r="C61" s="848">
        <f>'TABLA 7 ESTRUCTURA PROGRAMÁTICA'!E47</f>
        <v>0</v>
      </c>
      <c r="D61" s="681">
        <v>0</v>
      </c>
      <c r="E61" s="430" t="str">
        <f t="shared" ref="E61:E63" si="37">IF(C61=0,"N.A",(D61/C61)*1)</f>
        <v>N.A</v>
      </c>
      <c r="F61" s="683" t="s">
        <v>1103</v>
      </c>
      <c r="G61" s="806" t="str">
        <f t="shared" si="36"/>
        <v>N.A</v>
      </c>
      <c r="H61" s="594">
        <f>'TABLA 7 ESTRUCTURA PROGRAMÁTICA'!I47</f>
        <v>100</v>
      </c>
      <c r="I61" s="478" t="str">
        <f t="shared" si="33"/>
        <v>N.A</v>
      </c>
      <c r="J61" s="682" t="str">
        <f t="shared" si="3"/>
        <v>N.A</v>
      </c>
      <c r="K61" s="761">
        <v>0</v>
      </c>
      <c r="L61" s="427" t="str">
        <f t="shared" ref="L61:L63" si="38">IF(C61=0,E61,(E61*K61))</f>
        <v>N.A</v>
      </c>
      <c r="M61" s="430" t="str">
        <f t="shared" ref="M61:M63" si="39">IF(L61="N.A","N.A",L61*$K$58*$K$59)</f>
        <v>N.A</v>
      </c>
      <c r="N61" s="426">
        <f>(IF(M61="N.A",0,M61))+N60</f>
        <v>0.28560000000000002</v>
      </c>
      <c r="O61" s="998"/>
      <c r="P61" s="978"/>
      <c r="Q61" s="993"/>
      <c r="R61" s="978"/>
      <c r="S61" s="978"/>
      <c r="T61" s="993"/>
      <c r="U61" s="978"/>
      <c r="V61" s="1045"/>
      <c r="W61" s="1074"/>
      <c r="X61" s="1074"/>
    </row>
    <row r="62" spans="1:26" s="457" customFormat="1" ht="144.75" customHeight="1">
      <c r="A62" s="456" t="str">
        <f>'TABLA 7 ESTRUCTURA PROGRAMÁTICA'!D48</f>
        <v xml:space="preserve">3.1.3 Fortalecimiento operativo del proceso de evaluación (verificación  de componentes claves del diagnóstico territorial descrito en el DTS del proyecto de revisión y/o ajuste del POT).  </v>
      </c>
      <c r="B62" s="700" t="str">
        <f>'TABLA 7 ESTRUCTURA PROGRAMÁTICA'!K48</f>
        <v xml:space="preserve">Diagnósticos relevantes del DTS de proyectos de ajustes verificados </v>
      </c>
      <c r="C62" s="848">
        <f>'TABLA 7 ESTRUCTURA PROGRAMÁTICA'!E48</f>
        <v>100</v>
      </c>
      <c r="D62" s="681">
        <v>100</v>
      </c>
      <c r="E62" s="430">
        <f t="shared" si="37"/>
        <v>1</v>
      </c>
      <c r="F62" s="683" t="s">
        <v>1234</v>
      </c>
      <c r="G62" s="806">
        <f t="shared" si="36"/>
        <v>1</v>
      </c>
      <c r="H62" s="594">
        <f>'TABLA 7 ESTRUCTURA PROGRAMÁTICA'!I48</f>
        <v>100</v>
      </c>
      <c r="I62" s="478">
        <f t="shared" si="33"/>
        <v>1</v>
      </c>
      <c r="J62" s="682">
        <f t="shared" si="3"/>
        <v>1</v>
      </c>
      <c r="K62" s="478">
        <v>0.1</v>
      </c>
      <c r="L62" s="427">
        <f t="shared" si="38"/>
        <v>0.1</v>
      </c>
      <c r="M62" s="430">
        <f t="shared" si="39"/>
        <v>5.000000000000001E-3</v>
      </c>
      <c r="N62" s="426">
        <f t="shared" ref="N62:N63" si="40">(IF(M62="N.A",0,M62))+N61</f>
        <v>0.29060000000000002</v>
      </c>
      <c r="O62" s="998"/>
      <c r="P62" s="978"/>
      <c r="Q62" s="993"/>
      <c r="R62" s="978"/>
      <c r="S62" s="978"/>
      <c r="T62" s="993"/>
      <c r="U62" s="978"/>
      <c r="V62" s="1045"/>
      <c r="W62" s="1074"/>
      <c r="X62" s="1074"/>
    </row>
    <row r="63" spans="1:26" s="457" customFormat="1" ht="120">
      <c r="A63" s="456" t="str">
        <f>'TABLA 7 ESTRUCTURA PROGRAMÁTICA'!D49</f>
        <v>3.1.4 Control, Seguimiento y evaluación de los asuntos ambientales  concertados en el proceso de revisión y/o ajustes de los POT, PBOT y EOT del Cesar</v>
      </c>
      <c r="B63" s="700" t="str">
        <f>'TABLA 7 ESTRUCTURA PROGRAMÁTICA'!K49</f>
        <v>Actos administrativos del proceso, con seguimiento, control y evaluación</v>
      </c>
      <c r="C63" s="848">
        <f>'TABLA 7 ESTRUCTURA PROGRAMÁTICA'!E49</f>
        <v>100</v>
      </c>
      <c r="D63" s="681">
        <v>100</v>
      </c>
      <c r="E63" s="682">
        <f t="shared" si="37"/>
        <v>1</v>
      </c>
      <c r="F63" s="683" t="s">
        <v>1167</v>
      </c>
      <c r="G63" s="806">
        <f t="shared" si="36"/>
        <v>1</v>
      </c>
      <c r="H63" s="594">
        <f>'TABLA 7 ESTRUCTURA PROGRAMÁTICA'!I49</f>
        <v>100</v>
      </c>
      <c r="I63" s="478">
        <f t="shared" si="33"/>
        <v>1</v>
      </c>
      <c r="J63" s="682">
        <f t="shared" si="3"/>
        <v>1</v>
      </c>
      <c r="K63" s="478">
        <v>0.2</v>
      </c>
      <c r="L63" s="427">
        <f t="shared" si="38"/>
        <v>0.2</v>
      </c>
      <c r="M63" s="430">
        <f t="shared" si="39"/>
        <v>1.0000000000000002E-2</v>
      </c>
      <c r="N63" s="426">
        <f t="shared" si="40"/>
        <v>0.30060000000000003</v>
      </c>
      <c r="O63" s="1023"/>
      <c r="P63" s="979"/>
      <c r="Q63" s="994"/>
      <c r="R63" s="979"/>
      <c r="S63" s="979"/>
      <c r="T63" s="994"/>
      <c r="U63" s="979"/>
      <c r="V63" s="1046"/>
      <c r="W63" s="1075"/>
      <c r="X63" s="1075"/>
    </row>
    <row r="64" spans="1:26" s="457" customFormat="1">
      <c r="A64" s="989" t="s">
        <v>643</v>
      </c>
      <c r="B64" s="990"/>
      <c r="C64" s="990"/>
      <c r="D64" s="990"/>
      <c r="E64" s="990"/>
      <c r="F64" s="991"/>
      <c r="G64" s="411"/>
      <c r="H64" s="442"/>
      <c r="I64" s="477"/>
      <c r="J64" s="682">
        <f t="shared" si="3"/>
        <v>0</v>
      </c>
      <c r="K64" s="761"/>
      <c r="L64" s="428">
        <f>SUM(L59:L63)</f>
        <v>1</v>
      </c>
      <c r="M64" s="430"/>
      <c r="N64" s="426"/>
      <c r="O64" s="798"/>
      <c r="P64" s="479"/>
      <c r="Q64" s="478"/>
      <c r="R64" s="479"/>
      <c r="S64" s="479"/>
      <c r="T64" s="478"/>
      <c r="U64" s="498"/>
      <c r="V64" s="812"/>
      <c r="W64" s="422"/>
      <c r="X64" s="422"/>
    </row>
    <row r="65" spans="1:26" s="424" customFormat="1">
      <c r="A65" s="458" t="str">
        <f>A58</f>
        <v>3. OCUPACIÓN TERRITORIAL INTEGRAL</v>
      </c>
      <c r="B65" s="753"/>
      <c r="C65" s="469"/>
      <c r="D65" s="470"/>
      <c r="E65" s="433"/>
      <c r="F65" s="436"/>
      <c r="G65" s="409"/>
      <c r="H65" s="441"/>
      <c r="I65" s="441"/>
      <c r="J65" s="441"/>
      <c r="K65" s="444">
        <v>0.1</v>
      </c>
      <c r="L65" s="445"/>
      <c r="M65" s="433"/>
      <c r="N65" s="484"/>
      <c r="O65" s="796"/>
      <c r="P65" s="485"/>
      <c r="Q65" s="444"/>
      <c r="R65" s="485"/>
      <c r="S65" s="485"/>
      <c r="T65" s="444"/>
      <c r="U65" s="486"/>
      <c r="V65" s="812"/>
      <c r="W65" s="422"/>
      <c r="X65" s="422"/>
      <c r="Y65" s="457"/>
      <c r="Z65" s="457"/>
    </row>
    <row r="66" spans="1:26" s="459" customFormat="1" ht="90">
      <c r="A66" s="462" t="str">
        <f>'TABLA 7 ESTRUCTURA PROGRAMÁTICA'!C51</f>
        <v>3.2 Asistencia técnica a todos los municipios de la jurisdicción en los procesos de revisión y ajuste de los POT, siguiendo guias del SINA</v>
      </c>
      <c r="B66" s="410"/>
      <c r="C66" s="471"/>
      <c r="D66" s="414"/>
      <c r="E66" s="429">
        <f>E67*$K67+E68*$K68+E69*$K69+E70*$K70</f>
        <v>1</v>
      </c>
      <c r="F66" s="359"/>
      <c r="G66" s="429">
        <f>G67*$K67+G68*$K68+G69*$K69+G70*$K70</f>
        <v>1</v>
      </c>
      <c r="H66" s="357"/>
      <c r="I66" s="357"/>
      <c r="J66" s="429">
        <f>J67*$K67+J68*$K68+J69*$K69+J70*$K70</f>
        <v>1</v>
      </c>
      <c r="K66" s="415">
        <v>0.5</v>
      </c>
      <c r="L66" s="428"/>
      <c r="M66" s="429"/>
      <c r="N66" s="487"/>
      <c r="O66" s="797"/>
      <c r="P66" s="488"/>
      <c r="Q66" s="415"/>
      <c r="R66" s="488"/>
      <c r="S66" s="488"/>
      <c r="T66" s="415"/>
      <c r="U66" s="489"/>
      <c r="V66" s="812"/>
      <c r="W66" s="422"/>
      <c r="X66" s="422"/>
      <c r="Y66" s="457"/>
      <c r="Z66" s="457"/>
    </row>
    <row r="67" spans="1:26" s="457" customFormat="1" ht="210">
      <c r="A67" s="702" t="str">
        <f>'TABLA 7 ESTRUCTURA PROGRAMÁTICA'!D51</f>
        <v>3.2.1Capacitación o asistencia técnica a los ETM,  en todos los temas asociados al proceso de revisión de los POT (incluye perfil climático municipal y gestión del CC, GRD, desarrollo urbano sostenible, Expediente municipal del POT, UPR, planes parciales).</v>
      </c>
      <c r="B67" s="741" t="str">
        <f>'TABLA 7 ESTRUCTURA PROGRAMÁTICA'!K51</f>
        <v xml:space="preserve">ETM asitidos </v>
      </c>
      <c r="C67" s="848">
        <f>'TABLA 7 ESTRUCTURA PROGRAMÁTICA'!E51</f>
        <v>25</v>
      </c>
      <c r="D67" s="681">
        <v>25</v>
      </c>
      <c r="E67" s="682">
        <f t="shared" ref="E67:E70" si="41">IF(C67=0,"N.A",(D67/C67)*1)</f>
        <v>1</v>
      </c>
      <c r="F67" s="683" t="s">
        <v>1105</v>
      </c>
      <c r="G67" s="806">
        <f t="shared" ref="G67:G70" si="42">E67</f>
        <v>1</v>
      </c>
      <c r="H67" s="442">
        <f>'TABLA 7 ESTRUCTURA PROGRAMÁTICA'!I51</f>
        <v>25</v>
      </c>
      <c r="I67" s="478">
        <f t="shared" si="33"/>
        <v>1</v>
      </c>
      <c r="J67" s="682">
        <f t="shared" si="3"/>
        <v>1</v>
      </c>
      <c r="K67" s="478">
        <v>0.5</v>
      </c>
      <c r="L67" s="427">
        <f>IF(C67=0,E67,(E67*K67))</f>
        <v>0.5</v>
      </c>
      <c r="M67" s="430">
        <f>IF(L67="N.A","N.A",L67*$K$65*$K$66)</f>
        <v>2.5000000000000001E-2</v>
      </c>
      <c r="N67" s="426">
        <f>(IF(M67="N.A",0,M67))+N63</f>
        <v>0.32560000000000006</v>
      </c>
      <c r="O67" s="997">
        <f>100000000</f>
        <v>100000000</v>
      </c>
      <c r="P67" s="977">
        <v>7086500</v>
      </c>
      <c r="Q67" s="992">
        <f>P67/O67</f>
        <v>7.0864999999999997E-2</v>
      </c>
      <c r="R67" s="977">
        <f>O67</f>
        <v>100000000</v>
      </c>
      <c r="S67" s="977">
        <f>P67</f>
        <v>7086500</v>
      </c>
      <c r="T67" s="992">
        <f>Q67</f>
        <v>7.0864999999999997E-2</v>
      </c>
      <c r="U67" s="977"/>
      <c r="V67" s="1044" t="s">
        <v>1118</v>
      </c>
      <c r="W67" s="1044" t="s">
        <v>1143</v>
      </c>
      <c r="X67" s="1044" t="s">
        <v>1126</v>
      </c>
      <c r="Y67" s="1076"/>
      <c r="Z67" s="1076"/>
    </row>
    <row r="68" spans="1:26" s="457" customFormat="1" ht="240">
      <c r="A68" s="702" t="str">
        <f>'TABLA 7 ESTRUCTURA PROGRAMÁTICA'!D52</f>
        <v>3.2.2 Apoyo y orientación a demás actores del proceso de revisión y ajuste de los POT (CTP, concejales, gremios, IGAC).</v>
      </c>
      <c r="B68" s="741" t="str">
        <f>'TABLA 7 ESTRUCTURA PROGRAMÁTICA'!K52</f>
        <v>Actores asistidos</v>
      </c>
      <c r="C68" s="848">
        <f>'TABLA 7 ESTRUCTURA PROGRAMÁTICA'!E52</f>
        <v>100</v>
      </c>
      <c r="D68" s="681">
        <v>100</v>
      </c>
      <c r="E68" s="682">
        <f t="shared" si="41"/>
        <v>1</v>
      </c>
      <c r="F68" s="683" t="s">
        <v>1209</v>
      </c>
      <c r="G68" s="806">
        <f t="shared" si="42"/>
        <v>1</v>
      </c>
      <c r="H68" s="594">
        <f>'TABLA 7 ESTRUCTURA PROGRAMÁTICA'!I52</f>
        <v>100</v>
      </c>
      <c r="I68" s="478">
        <f t="shared" si="33"/>
        <v>1</v>
      </c>
      <c r="J68" s="682">
        <f t="shared" si="3"/>
        <v>1</v>
      </c>
      <c r="K68" s="478">
        <v>0.2</v>
      </c>
      <c r="L68" s="427">
        <f t="shared" ref="L68:L70" si="43">IF(C68=0,E68,(E68*K68))</f>
        <v>0.2</v>
      </c>
      <c r="M68" s="430">
        <f t="shared" ref="M68:M70" si="44">IF(L68="N.A","N.A",L68*$K$65*$K$66)</f>
        <v>1.0000000000000002E-2</v>
      </c>
      <c r="N68" s="426">
        <f>(IF(M68="N.A",0,M68))+N67</f>
        <v>0.33560000000000006</v>
      </c>
      <c r="O68" s="998"/>
      <c r="P68" s="978"/>
      <c r="Q68" s="993"/>
      <c r="R68" s="978"/>
      <c r="S68" s="978"/>
      <c r="T68" s="993"/>
      <c r="U68" s="978"/>
      <c r="V68" s="1045"/>
      <c r="W68" s="1045"/>
      <c r="X68" s="1045"/>
      <c r="Y68" s="1074"/>
      <c r="Z68" s="1074"/>
    </row>
    <row r="69" spans="1:26" s="457" customFormat="1" ht="153.75" customHeight="1">
      <c r="A69" s="702" t="str">
        <f>'TABLA 7 ESTRUCTURA PROGRAMÁTICA'!D53</f>
        <v>3.2.3 Apoyo a los municipios PDET en la Incorporación de la zonificación ambiental en la planeación del desarrollo territorial (POT y PDM)</v>
      </c>
      <c r="B69" s="741" t="str">
        <f>'TABLA 7 ESTRUCTURA PROGRAMÁTICA'!K53</f>
        <v>Municipios PDET asistidos</v>
      </c>
      <c r="C69" s="848">
        <f>'TABLA 7 ESTRUCTURA PROGRAMÁTICA'!E53</f>
        <v>8</v>
      </c>
      <c r="D69" s="681">
        <v>8</v>
      </c>
      <c r="E69" s="682">
        <f t="shared" si="41"/>
        <v>1</v>
      </c>
      <c r="F69" s="847" t="s">
        <v>1210</v>
      </c>
      <c r="G69" s="806">
        <f t="shared" si="42"/>
        <v>1</v>
      </c>
      <c r="H69" s="594">
        <f>'TABLA 7 ESTRUCTURA PROGRAMÁTICA'!I53</f>
        <v>8</v>
      </c>
      <c r="I69" s="478">
        <f t="shared" si="33"/>
        <v>1</v>
      </c>
      <c r="J69" s="682">
        <f t="shared" si="3"/>
        <v>1</v>
      </c>
      <c r="K69" s="478">
        <v>0.1</v>
      </c>
      <c r="L69" s="427">
        <f t="shared" si="43"/>
        <v>0.1</v>
      </c>
      <c r="M69" s="430">
        <f t="shared" si="44"/>
        <v>5.000000000000001E-3</v>
      </c>
      <c r="N69" s="426">
        <f t="shared" ref="N69:N70" si="45">(IF(M69="N.A",0,M69))+N68</f>
        <v>0.34060000000000007</v>
      </c>
      <c r="O69" s="998"/>
      <c r="P69" s="978"/>
      <c r="Q69" s="993"/>
      <c r="R69" s="978"/>
      <c r="S69" s="978"/>
      <c r="T69" s="993"/>
      <c r="U69" s="978"/>
      <c r="V69" s="1045"/>
      <c r="W69" s="1045"/>
      <c r="X69" s="1045"/>
      <c r="Y69" s="1074"/>
      <c r="Z69" s="1074"/>
    </row>
    <row r="70" spans="1:26" s="457" customFormat="1" ht="126.75" customHeight="1">
      <c r="A70" s="702" t="str">
        <f>'TABLA 7 ESTRUCTURA PROGRAMÁTICA'!D54</f>
        <v xml:space="preserve">3.2.4 Apoyo al SIG municipal a través del suministro de cartografía temática producida en Corpocesar por ETM. </v>
      </c>
      <c r="B70" s="741" t="str">
        <f>'TABLA 7 ESTRUCTURA PROGRAMÁTICA'!K54</f>
        <v xml:space="preserve">SIG Municipal con temática de OAT  apoyados </v>
      </c>
      <c r="C70" s="848">
        <f>'TABLA 7 ESTRUCTURA PROGRAMÁTICA'!E54</f>
        <v>100</v>
      </c>
      <c r="D70" s="681">
        <v>100</v>
      </c>
      <c r="E70" s="682">
        <f t="shared" si="41"/>
        <v>1</v>
      </c>
      <c r="F70" s="846" t="s">
        <v>1106</v>
      </c>
      <c r="G70" s="806">
        <f t="shared" si="42"/>
        <v>1</v>
      </c>
      <c r="H70" s="594">
        <f>'TABLA 7 ESTRUCTURA PROGRAMÁTICA'!I54</f>
        <v>100</v>
      </c>
      <c r="I70" s="478">
        <f t="shared" si="33"/>
        <v>1</v>
      </c>
      <c r="J70" s="682">
        <f t="shared" si="3"/>
        <v>1</v>
      </c>
      <c r="K70" s="478">
        <v>0.2</v>
      </c>
      <c r="L70" s="427">
        <f t="shared" si="43"/>
        <v>0.2</v>
      </c>
      <c r="M70" s="430">
        <f t="shared" si="44"/>
        <v>1.0000000000000002E-2</v>
      </c>
      <c r="N70" s="426">
        <f t="shared" si="45"/>
        <v>0.35060000000000008</v>
      </c>
      <c r="O70" s="1023"/>
      <c r="P70" s="979"/>
      <c r="Q70" s="994"/>
      <c r="R70" s="979"/>
      <c r="S70" s="979"/>
      <c r="T70" s="994"/>
      <c r="U70" s="979"/>
      <c r="V70" s="1046"/>
      <c r="W70" s="1046"/>
      <c r="X70" s="1046"/>
      <c r="Y70" s="1075"/>
      <c r="Z70" s="1075"/>
    </row>
    <row r="71" spans="1:26" s="457" customFormat="1">
      <c r="A71" s="989" t="s">
        <v>643</v>
      </c>
      <c r="B71" s="990"/>
      <c r="C71" s="990"/>
      <c r="D71" s="990"/>
      <c r="E71" s="990"/>
      <c r="F71" s="991"/>
      <c r="G71" s="411"/>
      <c r="H71" s="442"/>
      <c r="I71" s="442"/>
      <c r="J71" s="682">
        <f t="shared" si="3"/>
        <v>0</v>
      </c>
      <c r="K71" s="761"/>
      <c r="L71" s="428">
        <f>SUM(L67:L70)</f>
        <v>1</v>
      </c>
      <c r="M71" s="430"/>
      <c r="N71" s="426"/>
      <c r="O71" s="798"/>
      <c r="P71" s="479"/>
      <c r="Q71" s="478"/>
      <c r="R71" s="479"/>
      <c r="S71" s="479"/>
      <c r="T71" s="478"/>
      <c r="U71" s="498"/>
      <c r="V71" s="812"/>
      <c r="W71" s="422"/>
      <c r="X71" s="422"/>
    </row>
    <row r="72" spans="1:26" s="457" customFormat="1">
      <c r="A72" s="680"/>
      <c r="B72" s="413"/>
      <c r="C72" s="421"/>
      <c r="D72" s="418"/>
      <c r="E72" s="430"/>
      <c r="F72" s="423"/>
      <c r="G72" s="411"/>
      <c r="H72" s="442"/>
      <c r="I72" s="442"/>
      <c r="J72" s="682">
        <f t="shared" si="3"/>
        <v>0</v>
      </c>
      <c r="K72" s="761"/>
      <c r="L72" s="427"/>
      <c r="M72" s="430"/>
      <c r="N72" s="426"/>
      <c r="O72" s="798"/>
      <c r="P72" s="479"/>
      <c r="Q72" s="478"/>
      <c r="R72" s="479"/>
      <c r="S72" s="479"/>
      <c r="T72" s="478"/>
      <c r="U72" s="498"/>
      <c r="V72" s="812"/>
      <c r="W72" s="422"/>
      <c r="X72" s="422"/>
    </row>
    <row r="73" spans="1:26" s="460" customFormat="1" ht="99" hidden="1" customHeight="1">
      <c r="A73" s="451" t="str">
        <f>A65</f>
        <v>3. OCUPACIÓN TERRITORIAL INTEGRAL</v>
      </c>
      <c r="B73" s="751"/>
      <c r="C73" s="466"/>
      <c r="D73" s="467"/>
      <c r="E73" s="434"/>
      <c r="F73" s="435"/>
      <c r="G73" s="399"/>
      <c r="H73" s="440"/>
      <c r="I73" s="440"/>
      <c r="J73" s="682">
        <f t="shared" si="3"/>
        <v>0</v>
      </c>
      <c r="K73" s="759">
        <f>K65</f>
        <v>0.1</v>
      </c>
      <c r="L73" s="432"/>
      <c r="M73" s="432"/>
      <c r="N73" s="490"/>
      <c r="O73" s="491"/>
      <c r="P73" s="491"/>
      <c r="Q73" s="491"/>
      <c r="R73" s="492"/>
      <c r="S73" s="493"/>
      <c r="T73" s="493"/>
      <c r="U73" s="492"/>
      <c r="V73" s="773"/>
      <c r="W73" s="422"/>
      <c r="X73" s="422"/>
      <c r="Y73" s="457"/>
      <c r="Z73" s="457"/>
    </row>
    <row r="74" spans="1:26" s="459" customFormat="1" ht="247.5" hidden="1" customHeight="1">
      <c r="A74" s="454" t="str">
        <f>'TABLA 7 ESTRUCTURA PROGRAMÁTICA'!C56</f>
        <v>3.3 Implementación de un sistema de relacionamiento  interinstitucional en el proceso de planeación del desarrollo y evaluación de los modelos de ocupación adoptados</v>
      </c>
      <c r="B74" s="410"/>
      <c r="C74" s="471"/>
      <c r="D74" s="414"/>
      <c r="E74" s="428"/>
      <c r="F74" s="359"/>
      <c r="G74" s="402"/>
      <c r="H74" s="358"/>
      <c r="I74" s="358"/>
      <c r="J74" s="682">
        <f t="shared" ref="J74:J137" si="46">I74</f>
        <v>0</v>
      </c>
      <c r="K74" s="760">
        <v>0</v>
      </c>
      <c r="L74" s="429"/>
      <c r="M74" s="429"/>
      <c r="N74" s="487"/>
      <c r="O74" s="494"/>
      <c r="P74" s="494"/>
      <c r="Q74" s="499"/>
      <c r="R74" s="495"/>
      <c r="S74" s="496"/>
      <c r="T74" s="496"/>
      <c r="U74" s="500"/>
      <c r="V74" s="779"/>
      <c r="W74" s="422"/>
      <c r="X74" s="422"/>
      <c r="Y74" s="457"/>
      <c r="Z74" s="457"/>
    </row>
    <row r="75" spans="1:26" s="457" customFormat="1" ht="222" hidden="1" customHeight="1">
      <c r="A75" s="476" t="str">
        <f>'TABLA 7 ESTRUCTURA PROGRAMÁTICA'!D56</f>
        <v xml:space="preserve">3.3.1 Gestión para la creación de una estrategia de relacionamiento interinstitucional de OT subregional e interregional (Área Metropolitana, Gobernación, RAP, IGAC, CAR vecinas, CEI-COT, MVCT, MADR, cabildos). </v>
      </c>
      <c r="B75" s="754" t="str">
        <f>'TABLA 7 ESTRUCTURA PROGRAMÁTICA'!K56</f>
        <v>Estrategia interinstitucional de OT implementada.</v>
      </c>
      <c r="C75" s="822">
        <v>0</v>
      </c>
      <c r="D75" s="681">
        <v>0</v>
      </c>
      <c r="E75" s="427" t="str">
        <f t="shared" ref="E75:E76" si="47">IF(C75=0,"N.A",(D75/C75)*1)</f>
        <v>N.A</v>
      </c>
      <c r="F75" s="685" t="s">
        <v>1103</v>
      </c>
      <c r="G75" s="807" t="str">
        <f t="shared" ref="G75:G76" si="48">E75</f>
        <v>N.A</v>
      </c>
      <c r="H75" s="442">
        <f>'TABLA 7 ESTRUCTURA PROGRAMÁTICA'!I56</f>
        <v>1</v>
      </c>
      <c r="I75" s="419"/>
      <c r="J75" s="682">
        <f t="shared" si="46"/>
        <v>0</v>
      </c>
      <c r="K75" s="761">
        <v>0</v>
      </c>
      <c r="L75" s="430" t="str">
        <f>IF(C75=0,E75,(E75*K75))</f>
        <v>N.A</v>
      </c>
      <c r="M75" s="431" t="str">
        <f>IF(L75="N.A","N.A",L75*$K$73*$K$74)</f>
        <v>N.A</v>
      </c>
      <c r="N75" s="481">
        <f>(IF(M75="N.A",0,M75))+N70</f>
        <v>0.35060000000000008</v>
      </c>
      <c r="O75" s="1020">
        <v>0</v>
      </c>
      <c r="P75" s="977">
        <v>0</v>
      </c>
      <c r="Q75" s="1038"/>
      <c r="R75" s="1034"/>
      <c r="S75" s="1034"/>
      <c r="T75" s="1051"/>
      <c r="U75" s="1077"/>
      <c r="V75" s="1032" t="s">
        <v>1118</v>
      </c>
      <c r="W75" s="1032"/>
      <c r="X75" s="1032" t="s">
        <v>1126</v>
      </c>
    </row>
    <row r="76" spans="1:26" s="457" customFormat="1" ht="203.25" hidden="1" customHeight="1">
      <c r="A76" s="700" t="str">
        <f>'TABLA 7 ESTRUCTURA PROGRAMÁTICA'!D57</f>
        <v xml:space="preserve">3.3.2 Evaluación de modelos de ocupación y valoración de SE arrojados por los procesos de OAT y satisfacción de demandas sociales (Vivienda, SSPD, movilidad, Catastro, etc.)  </v>
      </c>
      <c r="B76" s="754" t="str">
        <f>'TABLA 7 ESTRUCTURA PROGRAMÁTICA'!K57</f>
        <v xml:space="preserve">Sistema de indicadores sociales asociados al OT, estructurado  </v>
      </c>
      <c r="C76" s="822">
        <v>0</v>
      </c>
      <c r="D76" s="418">
        <v>0</v>
      </c>
      <c r="E76" s="427" t="str">
        <f t="shared" si="47"/>
        <v>N.A</v>
      </c>
      <c r="F76" s="685" t="s">
        <v>1103</v>
      </c>
      <c r="G76" s="807" t="str">
        <f t="shared" si="48"/>
        <v>N.A</v>
      </c>
      <c r="H76" s="594">
        <f>'TABLA 7 ESTRUCTURA PROGRAMÁTICA'!I57</f>
        <v>1</v>
      </c>
      <c r="I76" s="419"/>
      <c r="J76" s="682">
        <f t="shared" si="46"/>
        <v>0</v>
      </c>
      <c r="K76" s="761">
        <v>0</v>
      </c>
      <c r="L76" s="430" t="str">
        <f t="shared" ref="L76" si="49">IF(C76=0,E76,(E76*K76))</f>
        <v>N.A</v>
      </c>
      <c r="M76" s="431" t="str">
        <f>IF(L76="N.A","N.A",L76*$K$73*$K$74)</f>
        <v>N.A</v>
      </c>
      <c r="N76" s="481">
        <f>(IF(M76="N.A",0,M76))+N75</f>
        <v>0.35060000000000008</v>
      </c>
      <c r="O76" s="1021"/>
      <c r="P76" s="978"/>
      <c r="Q76" s="987"/>
      <c r="R76" s="1035"/>
      <c r="S76" s="1035"/>
      <c r="T76" s="1052"/>
      <c r="U76" s="1078"/>
      <c r="V76" s="1033"/>
      <c r="W76" s="1033"/>
      <c r="X76" s="1033"/>
    </row>
    <row r="77" spans="1:26" s="457" customFormat="1" hidden="1">
      <c r="A77" s="989"/>
      <c r="B77" s="990"/>
      <c r="C77" s="990"/>
      <c r="D77" s="990"/>
      <c r="E77" s="990"/>
      <c r="F77" s="991"/>
      <c r="G77" s="411"/>
      <c r="H77" s="442"/>
      <c r="I77" s="442"/>
      <c r="J77" s="682">
        <f t="shared" si="46"/>
        <v>0</v>
      </c>
      <c r="K77" s="761"/>
      <c r="L77" s="428">
        <f>SUM(L75:L76)</f>
        <v>0</v>
      </c>
      <c r="M77" s="431"/>
      <c r="N77" s="481"/>
      <c r="O77" s="799"/>
      <c r="P77" s="501"/>
      <c r="Q77" s="502"/>
      <c r="R77" s="479"/>
      <c r="S77" s="479"/>
      <c r="T77" s="478"/>
      <c r="U77" s="498"/>
      <c r="V77" s="812"/>
      <c r="W77" s="422"/>
      <c r="X77" s="422"/>
    </row>
    <row r="78" spans="1:26" s="424" customFormat="1" ht="113.25" customHeight="1">
      <c r="A78" s="458" t="str">
        <f>'TABLA 7 ESTRUCTURA PROGRAMÁTICA'!B59</f>
        <v>4. PRODUCTIVIDAD SOSTENIBLE y BIODIVERCIUDAD : integrando lo SECTORIAL  y lo URBAno</v>
      </c>
      <c r="B78" s="753"/>
      <c r="C78" s="469"/>
      <c r="D78" s="470"/>
      <c r="E78" s="433"/>
      <c r="F78" s="436"/>
      <c r="G78" s="409"/>
      <c r="H78" s="441"/>
      <c r="I78" s="441"/>
      <c r="J78" s="441"/>
      <c r="K78" s="444">
        <v>0.1</v>
      </c>
      <c r="L78" s="445"/>
      <c r="M78" s="433"/>
      <c r="N78" s="490"/>
      <c r="O78" s="800"/>
      <c r="P78" s="505"/>
      <c r="Q78" s="506"/>
      <c r="R78" s="507"/>
      <c r="S78" s="485"/>
      <c r="T78" s="444"/>
      <c r="U78" s="486"/>
      <c r="V78" s="812"/>
      <c r="W78" s="422"/>
      <c r="X78" s="422"/>
      <c r="Y78" s="457"/>
      <c r="Z78" s="457"/>
    </row>
    <row r="79" spans="1:26" s="459" customFormat="1" ht="120">
      <c r="A79" s="462" t="str">
        <f>'TABLA 7 ESTRUCTURA PROGRAMÁTICA'!C59</f>
        <v>4.1 Gestión, coordinación,  e implementación de políticas locales de resiliencia y sostenibilidad ambiental urbana en el área de jurisdicción de Corpocesar.</v>
      </c>
      <c r="B79" s="410"/>
      <c r="C79" s="471"/>
      <c r="D79" s="414"/>
      <c r="E79" s="429">
        <f>E80*$K80+E81*$K81</f>
        <v>1</v>
      </c>
      <c r="F79" s="359"/>
      <c r="G79" s="429">
        <f>G80*$K80+G81*$K81</f>
        <v>1</v>
      </c>
      <c r="H79" s="357"/>
      <c r="I79" s="357"/>
      <c r="J79" s="429">
        <f>J80*$K80+J81*$K81</f>
        <v>1</v>
      </c>
      <c r="K79" s="415">
        <v>0.2</v>
      </c>
      <c r="L79" s="428"/>
      <c r="M79" s="429"/>
      <c r="N79" s="487"/>
      <c r="O79" s="801"/>
      <c r="P79" s="508"/>
      <c r="Q79" s="509"/>
      <c r="R79" s="488"/>
      <c r="S79" s="488"/>
      <c r="T79" s="415"/>
      <c r="U79" s="489"/>
      <c r="V79" s="812"/>
      <c r="W79" s="422"/>
      <c r="X79" s="422"/>
      <c r="Y79" s="457"/>
      <c r="Z79" s="457"/>
    </row>
    <row r="80" spans="1:26" s="457" customFormat="1" ht="240">
      <c r="A80" s="463" t="str">
        <f>'TABLA 7 ESTRUCTURA PROGRAMÁTICA'!D59</f>
        <v>4.1.1 Optimización del proceso de construcción y reporte de ICAU/PGAU ((aire, movilidad, SSPD, CC, PGIR, PSMV, PUEAA, Etc)</v>
      </c>
      <c r="B80" s="754" t="str">
        <f>'TABLA 7 ESTRUCTURA PROGRAMÁTICA'!K59</f>
        <v xml:space="preserve">Reporte de Norma transmitido </v>
      </c>
      <c r="C80" s="848">
        <f>'TABLA 7 ESTRUCTURA PROGRAMÁTICA'!E59</f>
        <v>100</v>
      </c>
      <c r="D80" s="848">
        <v>100</v>
      </c>
      <c r="E80" s="430">
        <f t="shared" ref="E80:E82" si="50">IF(C80=0,"N.A",(D80/C80)*1)</f>
        <v>1</v>
      </c>
      <c r="F80" s="423" t="s">
        <v>1168</v>
      </c>
      <c r="G80" s="497">
        <f t="shared" ref="G80:G82" si="51">E80</f>
        <v>1</v>
      </c>
      <c r="H80" s="442">
        <f>'TABLA 7 ESTRUCTURA PROGRAMÁTICA'!I59</f>
        <v>100</v>
      </c>
      <c r="I80" s="478">
        <f>E80</f>
        <v>1</v>
      </c>
      <c r="J80" s="682">
        <f t="shared" si="46"/>
        <v>1</v>
      </c>
      <c r="K80" s="478">
        <v>0.5</v>
      </c>
      <c r="L80" s="427">
        <f>IF(C80=0,E80,(E80*K80))</f>
        <v>0.5</v>
      </c>
      <c r="M80" s="430">
        <f>IF(L80="N.A","N.A",L80*$K$78*$K$79)</f>
        <v>1.0000000000000002E-2</v>
      </c>
      <c r="N80" s="426">
        <f>(IF(M80="N.A",0,M80))+N76</f>
        <v>0.36060000000000009</v>
      </c>
      <c r="O80" s="997">
        <f>100000000+740000</f>
        <v>100740000</v>
      </c>
      <c r="P80" s="977">
        <f>89637923+740000</f>
        <v>90377923</v>
      </c>
      <c r="Q80" s="986">
        <f>P80/O80</f>
        <v>0.897140391105817</v>
      </c>
      <c r="R80" s="977">
        <f>O80</f>
        <v>100740000</v>
      </c>
      <c r="S80" s="977">
        <f>P80</f>
        <v>90377923</v>
      </c>
      <c r="T80" s="980">
        <f>Q80</f>
        <v>0.897140391105817</v>
      </c>
      <c r="U80" s="977"/>
      <c r="V80" s="1044" t="s">
        <v>1119</v>
      </c>
      <c r="W80" s="1044" t="s">
        <v>1139</v>
      </c>
      <c r="X80" s="1076"/>
    </row>
    <row r="81" spans="1:27" s="457" customFormat="1" ht="300">
      <c r="A81" s="463" t="str">
        <f>'TABLA 7 ESTRUCTURA PROGRAMÁTICA'!D60</f>
        <v xml:space="preserve">4.1.2 Participación en el proceso de ajuste de la Política de Gestión ambiental urbana y desarrollo de indicadores en conjunto con el MADS- DAASU-. </v>
      </c>
      <c r="B81" s="754" t="str">
        <f>'TABLA 7 ESTRUCTURA PROGRAMÁTICA'!K60</f>
        <v xml:space="preserve">Participación institucional a convocatorias del MADS-DAASU- </v>
      </c>
      <c r="C81" s="848">
        <f>'TABLA 7 ESTRUCTURA PROGRAMÁTICA'!E60</f>
        <v>100</v>
      </c>
      <c r="D81" s="848">
        <v>100</v>
      </c>
      <c r="E81" s="430">
        <f t="shared" si="50"/>
        <v>1</v>
      </c>
      <c r="F81" s="476" t="s">
        <v>1236</v>
      </c>
      <c r="G81" s="497">
        <f t="shared" si="51"/>
        <v>1</v>
      </c>
      <c r="H81" s="594">
        <f>'TABLA 7 ESTRUCTURA PROGRAMÁTICA'!I60</f>
        <v>100</v>
      </c>
      <c r="I81" s="478">
        <f t="shared" ref="I81:I82" si="52">E81</f>
        <v>1</v>
      </c>
      <c r="J81" s="682">
        <f t="shared" si="46"/>
        <v>1</v>
      </c>
      <c r="K81" s="478">
        <v>0.5</v>
      </c>
      <c r="L81" s="427">
        <f t="shared" ref="L81" si="53">IF(C81=0,E81,(E81*K81))</f>
        <v>0.5</v>
      </c>
      <c r="M81" s="430">
        <f t="shared" ref="M81:M82" si="54">IF(L81="N.A","N.A",L81*$K$78*$K$79)</f>
        <v>1.0000000000000002E-2</v>
      </c>
      <c r="N81" s="426">
        <f>(IF(M81="N.A",0,M81))+N80</f>
        <v>0.3706000000000001</v>
      </c>
      <c r="O81" s="998"/>
      <c r="P81" s="978"/>
      <c r="Q81" s="987"/>
      <c r="R81" s="978"/>
      <c r="S81" s="978"/>
      <c r="T81" s="981"/>
      <c r="U81" s="978"/>
      <c r="V81" s="1045"/>
      <c r="W81" s="1045"/>
      <c r="X81" s="1074"/>
    </row>
    <row r="82" spans="1:27" s="457" customFormat="1" ht="120">
      <c r="A82" s="463" t="str">
        <f>'TABLA 7 ESTRUCTURA PROGRAMÁTICA'!D61</f>
        <v>4.1.3  Gestión para la Incorporación de la biodiversidad y servicios ecosistémicos en la planificación urbana a través del ordenamiento ambiental del territorio (GAU).</v>
      </c>
      <c r="B82" s="754" t="str">
        <f>'TABLA 7 ESTRUCTURA PROGRAMÁTICA'!K61</f>
        <v>Política pública de GAU socializada e incorporada a las DA</v>
      </c>
      <c r="C82" s="822">
        <f>'TABLA 7 ESTRUCTURA PROGRAMÁTICA'!E61</f>
        <v>0</v>
      </c>
      <c r="D82" s="822">
        <v>0</v>
      </c>
      <c r="E82" s="430" t="str">
        <f t="shared" si="50"/>
        <v>N.A</v>
      </c>
      <c r="F82" s="476" t="s">
        <v>1103</v>
      </c>
      <c r="G82" s="497" t="str">
        <f t="shared" si="51"/>
        <v>N.A</v>
      </c>
      <c r="H82" s="594">
        <f>'TABLA 7 ESTRUCTURA PROGRAMÁTICA'!I61</f>
        <v>1</v>
      </c>
      <c r="I82" s="478" t="str">
        <f t="shared" si="52"/>
        <v>N.A</v>
      </c>
      <c r="J82" s="682" t="str">
        <f t="shared" si="46"/>
        <v>N.A</v>
      </c>
      <c r="K82" s="761">
        <v>0</v>
      </c>
      <c r="L82" s="427" t="str">
        <f>IF(C82=0,E82,(E82*K82))</f>
        <v>N.A</v>
      </c>
      <c r="M82" s="430" t="str">
        <f t="shared" si="54"/>
        <v>N.A</v>
      </c>
      <c r="N82" s="426">
        <f>(IF(M82="N.A",0,M82))+N81</f>
        <v>0.3706000000000001</v>
      </c>
      <c r="O82" s="1023"/>
      <c r="P82" s="979"/>
      <c r="Q82" s="988"/>
      <c r="R82" s="979"/>
      <c r="S82" s="979"/>
      <c r="T82" s="982"/>
      <c r="U82" s="979"/>
      <c r="V82" s="1046"/>
      <c r="W82" s="1046"/>
      <c r="X82" s="1075"/>
    </row>
    <row r="83" spans="1:27" s="457" customFormat="1">
      <c r="A83" s="989" t="s">
        <v>643</v>
      </c>
      <c r="B83" s="990"/>
      <c r="C83" s="990"/>
      <c r="D83" s="990"/>
      <c r="E83" s="990"/>
      <c r="F83" s="991"/>
      <c r="G83" s="411"/>
      <c r="H83" s="594"/>
      <c r="I83" s="594"/>
      <c r="J83" s="682">
        <f t="shared" si="46"/>
        <v>0</v>
      </c>
      <c r="K83" s="761"/>
      <c r="L83" s="428">
        <f>SUM(L80:L82)</f>
        <v>1</v>
      </c>
      <c r="M83" s="430"/>
      <c r="N83" s="426"/>
      <c r="O83" s="799"/>
      <c r="P83" s="501"/>
      <c r="Q83" s="502"/>
      <c r="R83" s="479"/>
      <c r="S83" s="479"/>
      <c r="T83" s="478"/>
      <c r="U83" s="498"/>
      <c r="V83" s="812"/>
      <c r="W83" s="422"/>
      <c r="X83" s="422"/>
    </row>
    <row r="84" spans="1:27" s="424" customFormat="1" ht="90">
      <c r="A84" s="745" t="str">
        <f>A78</f>
        <v>4. PRODUCTIVIDAD SOSTENIBLE y BIODIVERCIUDAD : integrando lo SECTORIAL  y lo URBAno</v>
      </c>
      <c r="B84" s="755"/>
      <c r="C84" s="441"/>
      <c r="D84" s="470"/>
      <c r="E84" s="433"/>
      <c r="F84" s="436"/>
      <c r="G84" s="409"/>
      <c r="H84" s="441"/>
      <c r="I84" s="470"/>
      <c r="J84" s="470"/>
      <c r="K84" s="444">
        <v>0.1</v>
      </c>
      <c r="L84" s="445"/>
      <c r="M84" s="433"/>
      <c r="N84" s="484"/>
      <c r="O84" s="802"/>
      <c r="P84" s="742"/>
      <c r="Q84" s="743"/>
      <c r="R84" s="742"/>
      <c r="S84" s="742"/>
      <c r="T84" s="744"/>
      <c r="U84" s="742"/>
      <c r="V84" s="814"/>
      <c r="W84" s="810"/>
      <c r="X84" s="810"/>
    </row>
    <row r="85" spans="1:27" s="459" customFormat="1" ht="120">
      <c r="A85" s="462" t="str">
        <f>'TABLA 7 ESTRUCTURA PROGRAMÁTICA'!C63</f>
        <v>4.2 Gestión y apoyo regional a  la implementación de la estrategia nacional de Economía  circular y  economía ambiental para la producción sostenible.</v>
      </c>
      <c r="B85" s="756"/>
      <c r="C85" s="357"/>
      <c r="D85" s="414"/>
      <c r="E85" s="429">
        <f>E86*$K86+E88*$K88+E89*$K89+E92*$K92</f>
        <v>1</v>
      </c>
      <c r="F85" s="359"/>
      <c r="G85" s="429">
        <f>G86*$K86+G88*$K88+G89*$K89+G92*$K92</f>
        <v>1</v>
      </c>
      <c r="H85" s="357"/>
      <c r="I85" s="414"/>
      <c r="J85" s="429">
        <f>J86*$K86+J88*$K88+J89*$K89+J92*$K92</f>
        <v>1</v>
      </c>
      <c r="K85" s="415">
        <v>0.2</v>
      </c>
      <c r="L85" s="428"/>
      <c r="M85" s="429"/>
      <c r="N85" s="487"/>
      <c r="O85" s="803"/>
      <c r="P85" s="746"/>
      <c r="Q85" s="747"/>
      <c r="R85" s="746"/>
      <c r="S85" s="746"/>
      <c r="T85" s="748"/>
      <c r="U85" s="746"/>
      <c r="V85" s="815"/>
      <c r="W85" s="811"/>
      <c r="X85" s="811"/>
    </row>
    <row r="86" spans="1:27" s="457" customFormat="1" ht="382.5" customHeight="1">
      <c r="A86" s="463" t="str">
        <f>'TABLA 7 ESTRUCTURA PROGRAMÁTICA'!D63</f>
        <v>4.2.1 Promoción del aprovechamiento y valorización de residuos sólidos en el marco de los PGIRS. (incluye Socialización de esquemas de posconsumo  y  campañas conjuntas con los sistemas en el marco  de educación para la gestión responsable de los residuos)</v>
      </c>
      <c r="B86" s="497" t="str">
        <f>'TABLA 7 ESTRUCTURA PROGRAMÁTICA'!K63</f>
        <v>Campañas educativas realizadas</v>
      </c>
      <c r="C86" s="848">
        <f>'TABLA 7 ESTRUCTURA PROGRAMÁTICA'!E63</f>
        <v>2</v>
      </c>
      <c r="D86" s="477">
        <v>3</v>
      </c>
      <c r="E86" s="430">
        <v>1</v>
      </c>
      <c r="F86" s="423" t="s">
        <v>1247</v>
      </c>
      <c r="G86" s="827">
        <f>E86</f>
        <v>1</v>
      </c>
      <c r="H86" s="594">
        <f>'TABLA 7 ESTRUCTURA PROGRAMÁTICA'!I63</f>
        <v>8</v>
      </c>
      <c r="I86" s="478">
        <f>E86</f>
        <v>1</v>
      </c>
      <c r="J86" s="682">
        <f t="shared" si="46"/>
        <v>1</v>
      </c>
      <c r="K86" s="478">
        <v>0.15</v>
      </c>
      <c r="L86" s="427">
        <f>IF(C86=0,E86,(E86*K86))</f>
        <v>0.15</v>
      </c>
      <c r="M86" s="430">
        <f>IF(L86="N.A","N.A",L86*$K$84*$K$85)</f>
        <v>3.0000000000000001E-3</v>
      </c>
      <c r="N86" s="426">
        <f>(IF(M86="N.A",0,M86))+N82</f>
        <v>0.3736000000000001</v>
      </c>
      <c r="O86" s="1020">
        <v>300000000</v>
      </c>
      <c r="P86" s="977">
        <v>250000000</v>
      </c>
      <c r="Q86" s="986">
        <f>P86/O86</f>
        <v>0.83333333333333337</v>
      </c>
      <c r="R86" s="983">
        <f>O86</f>
        <v>300000000</v>
      </c>
      <c r="S86" s="986">
        <f>P86</f>
        <v>250000000</v>
      </c>
      <c r="T86" s="986">
        <f>Q86</f>
        <v>0.83333333333333337</v>
      </c>
      <c r="U86" s="986"/>
      <c r="V86" s="1044" t="s">
        <v>1119</v>
      </c>
      <c r="W86" s="1044" t="s">
        <v>1140</v>
      </c>
      <c r="X86" s="1044" t="s">
        <v>1127</v>
      </c>
    </row>
    <row r="87" spans="1:27" s="457" customFormat="1" ht="90">
      <c r="A87" s="463" t="str">
        <f>'TABLA 7 ESTRUCTURA PROGRAMÁTICA'!D64</f>
        <v xml:space="preserve">4.2.2 Apoyo a la implementación de acciones para el desarrollo de la economía circular en el manejo de los residuos sólidos (proyectos pilotos) </v>
      </c>
      <c r="B87" s="497" t="str">
        <f>'TABLA 7 ESTRUCTURA PROGRAMÁTICA'!K64</f>
        <v>Proyectos pilotos apoyados</v>
      </c>
      <c r="C87" s="848">
        <f>'TABLA 7 ESTRUCTURA PROGRAMÁTICA'!E64</f>
        <v>0</v>
      </c>
      <c r="D87" s="477">
        <v>0</v>
      </c>
      <c r="E87" s="430" t="str">
        <f t="shared" ref="E87:E92" si="55">IF(C87=0,"N.A",(D87/C87)*1)</f>
        <v>N.A</v>
      </c>
      <c r="F87" s="423" t="s">
        <v>1103</v>
      </c>
      <c r="G87" s="827" t="str">
        <f t="shared" ref="G87:G92" si="56">E87</f>
        <v>N.A</v>
      </c>
      <c r="H87" s="594">
        <f>'TABLA 7 ESTRUCTURA PROGRAMÁTICA'!I64</f>
        <v>5</v>
      </c>
      <c r="I87" s="478" t="str">
        <f t="shared" ref="I87:I91" si="57">E87</f>
        <v>N.A</v>
      </c>
      <c r="J87" s="682" t="str">
        <f t="shared" si="46"/>
        <v>N.A</v>
      </c>
      <c r="K87" s="478">
        <v>0</v>
      </c>
      <c r="L87" s="427" t="str">
        <f t="shared" ref="L87:L91" si="58">IF(C87=0,E87,(E87*K87))</f>
        <v>N.A</v>
      </c>
      <c r="M87" s="430" t="str">
        <f t="shared" ref="M87:M92" si="59">IF(L87="N.A","N.A",L87*$K$84*$K$85)</f>
        <v>N.A</v>
      </c>
      <c r="N87" s="426">
        <f>(IF(M87="N.A",0,M87))+N86</f>
        <v>0.3736000000000001</v>
      </c>
      <c r="O87" s="1021"/>
      <c r="P87" s="978"/>
      <c r="Q87" s="987"/>
      <c r="R87" s="984"/>
      <c r="S87" s="987"/>
      <c r="T87" s="987"/>
      <c r="U87" s="987"/>
      <c r="V87" s="1045"/>
      <c r="W87" s="1045"/>
      <c r="X87" s="1045"/>
    </row>
    <row r="88" spans="1:27" s="457" customFormat="1" ht="90">
      <c r="A88" s="463" t="str">
        <f>'TABLA 7 ESTRUCTURA PROGRAMÁTICA'!D65</f>
        <v>4.2.3 Participación en Mesas Regionales de Economía Circular en el marco de las Comisiones Regionales de Competitividad.</v>
      </c>
      <c r="B88" s="497" t="str">
        <f>'TABLA 7 ESTRUCTURA PROGRAMÁTICA'!K65</f>
        <v>Participación en CRC</v>
      </c>
      <c r="C88" s="848">
        <f>'TABLA 7 ESTRUCTURA PROGRAMÁTICA'!E65</f>
        <v>100</v>
      </c>
      <c r="D88" s="477">
        <v>100</v>
      </c>
      <c r="E88" s="430">
        <f t="shared" si="55"/>
        <v>1</v>
      </c>
      <c r="F88" s="423" t="s">
        <v>1213</v>
      </c>
      <c r="G88" s="827">
        <f t="shared" si="56"/>
        <v>1</v>
      </c>
      <c r="H88" s="594">
        <f>'TABLA 7 ESTRUCTURA PROGRAMÁTICA'!I65</f>
        <v>100</v>
      </c>
      <c r="I88" s="478">
        <f t="shared" si="57"/>
        <v>1</v>
      </c>
      <c r="J88" s="682">
        <f t="shared" si="46"/>
        <v>1</v>
      </c>
      <c r="K88" s="478">
        <v>0.1</v>
      </c>
      <c r="L88" s="427">
        <f t="shared" si="58"/>
        <v>0.1</v>
      </c>
      <c r="M88" s="430">
        <f t="shared" si="59"/>
        <v>2.0000000000000005E-3</v>
      </c>
      <c r="N88" s="426">
        <f t="shared" ref="N88:N91" si="60">(IF(M88="N.A",0,M88))+N87</f>
        <v>0.3756000000000001</v>
      </c>
      <c r="O88" s="1021"/>
      <c r="P88" s="978"/>
      <c r="Q88" s="987"/>
      <c r="R88" s="984"/>
      <c r="S88" s="987"/>
      <c r="T88" s="987"/>
      <c r="U88" s="987"/>
      <c r="V88" s="1045"/>
      <c r="W88" s="1045"/>
      <c r="X88" s="1045"/>
    </row>
    <row r="89" spans="1:27" s="457" customFormat="1" ht="149.25" customHeight="1">
      <c r="A89" s="1057" t="str">
        <f>'TABLA 7 ESTRUCTURA PROGRAMÁTICA'!D66</f>
        <v>4.2.4 Acompañamiento al proceso de actualización de los PGIRS, para garantizar inclusión de proyectos de aprovechamiento de residuos y seguimiento a la implementación</v>
      </c>
      <c r="B89" s="497" t="str">
        <f>'TABLA 7 ESTRUCTURA PROGRAMÁTICA'!K66</f>
        <v>PGIRS apoyados y con seguimiento</v>
      </c>
      <c r="C89" s="848">
        <f>'TABLA 7 ESTRUCTURA PROGRAMÁTICA'!E66</f>
        <v>25</v>
      </c>
      <c r="D89" s="477">
        <v>25</v>
      </c>
      <c r="E89" s="430">
        <f t="shared" si="55"/>
        <v>1</v>
      </c>
      <c r="F89" s="423" t="s">
        <v>1232</v>
      </c>
      <c r="G89" s="827">
        <f t="shared" si="56"/>
        <v>1</v>
      </c>
      <c r="H89" s="594">
        <f>'TABLA 7 ESTRUCTURA PROGRAMÁTICA'!I66</f>
        <v>25</v>
      </c>
      <c r="I89" s="478">
        <f t="shared" si="57"/>
        <v>1</v>
      </c>
      <c r="J89" s="682">
        <f t="shared" si="46"/>
        <v>1</v>
      </c>
      <c r="K89" s="478">
        <v>0.25</v>
      </c>
      <c r="L89" s="427">
        <f t="shared" si="58"/>
        <v>0.25</v>
      </c>
      <c r="M89" s="430">
        <f t="shared" si="59"/>
        <v>5.000000000000001E-3</v>
      </c>
      <c r="N89" s="426">
        <f t="shared" si="60"/>
        <v>0.3806000000000001</v>
      </c>
      <c r="O89" s="1021"/>
      <c r="P89" s="978"/>
      <c r="Q89" s="987"/>
      <c r="R89" s="984"/>
      <c r="S89" s="987"/>
      <c r="T89" s="987"/>
      <c r="U89" s="987"/>
      <c r="V89" s="1045"/>
      <c r="W89" s="1045"/>
      <c r="X89" s="1045"/>
    </row>
    <row r="90" spans="1:27" s="457" customFormat="1" ht="51" customHeight="1">
      <c r="A90" s="1059"/>
      <c r="B90" s="497" t="str">
        <f>'TABLA 7 ESTRUCTURA PROGRAMÁTICA'!K67</f>
        <v>PGIRS evaluados</v>
      </c>
      <c r="C90" s="848">
        <f>'TABLA 7 ESTRUCTURA PROGRAMÁTICA'!E67</f>
        <v>0</v>
      </c>
      <c r="D90" s="477">
        <v>0</v>
      </c>
      <c r="E90" s="430" t="str">
        <f t="shared" si="55"/>
        <v>N.A</v>
      </c>
      <c r="F90" s="423" t="s">
        <v>1103</v>
      </c>
      <c r="G90" s="827" t="str">
        <f t="shared" si="56"/>
        <v>N.A</v>
      </c>
      <c r="H90" s="594">
        <f>'TABLA 7 ESTRUCTURA PROGRAMÁTICA'!I67</f>
        <v>100</v>
      </c>
      <c r="I90" s="478" t="str">
        <f t="shared" si="57"/>
        <v>N.A</v>
      </c>
      <c r="J90" s="682" t="str">
        <f t="shared" si="46"/>
        <v>N.A</v>
      </c>
      <c r="K90" s="478">
        <v>0</v>
      </c>
      <c r="L90" s="427" t="str">
        <f t="shared" si="58"/>
        <v>N.A</v>
      </c>
      <c r="M90" s="430" t="str">
        <f t="shared" si="59"/>
        <v>N.A</v>
      </c>
      <c r="N90" s="426">
        <f t="shared" si="60"/>
        <v>0.3806000000000001</v>
      </c>
      <c r="O90" s="1021"/>
      <c r="P90" s="978"/>
      <c r="Q90" s="987"/>
      <c r="R90" s="984"/>
      <c r="S90" s="987"/>
      <c r="T90" s="987"/>
      <c r="U90" s="987"/>
      <c r="V90" s="1045"/>
      <c r="W90" s="1045"/>
      <c r="X90" s="1045"/>
    </row>
    <row r="91" spans="1:27" s="457" customFormat="1" ht="90">
      <c r="A91" s="463" t="str">
        <f>'TABLA 7 ESTRUCTURA PROGRAMÁTICA'!D68</f>
        <v xml:space="preserve">4.2.5 Apoyo al desarrollo de  Proyectos pilotos de eliminación de plásticos de un solo uso. (hoteles, restaurantes y similares) </v>
      </c>
      <c r="B91" s="497" t="str">
        <f>'TABLA 7 ESTRUCTURA PROGRAMÁTICA'!K68</f>
        <v>Proyectos pilotos apoyados</v>
      </c>
      <c r="C91" s="848">
        <f>'TABLA 7 ESTRUCTURA PROGRAMÁTICA'!E68</f>
        <v>0</v>
      </c>
      <c r="D91" s="477">
        <v>0</v>
      </c>
      <c r="E91" s="430" t="str">
        <f t="shared" si="55"/>
        <v>N.A</v>
      </c>
      <c r="F91" s="423" t="s">
        <v>1103</v>
      </c>
      <c r="G91" s="827" t="str">
        <f t="shared" si="56"/>
        <v>N.A</v>
      </c>
      <c r="H91" s="594">
        <f>'TABLA 7 ESTRUCTURA PROGRAMÁTICA'!I68</f>
        <v>3</v>
      </c>
      <c r="I91" s="478" t="str">
        <f t="shared" si="57"/>
        <v>N.A</v>
      </c>
      <c r="J91" s="682" t="str">
        <f t="shared" si="46"/>
        <v>N.A</v>
      </c>
      <c r="K91" s="478">
        <v>0</v>
      </c>
      <c r="L91" s="427" t="str">
        <f t="shared" si="58"/>
        <v>N.A</v>
      </c>
      <c r="M91" s="430" t="str">
        <f t="shared" si="59"/>
        <v>N.A</v>
      </c>
      <c r="N91" s="426">
        <f t="shared" si="60"/>
        <v>0.3806000000000001</v>
      </c>
      <c r="O91" s="1021"/>
      <c r="P91" s="978"/>
      <c r="Q91" s="987"/>
      <c r="R91" s="984"/>
      <c r="S91" s="987"/>
      <c r="T91" s="987"/>
      <c r="U91" s="987"/>
      <c r="V91" s="1045"/>
      <c r="W91" s="1045"/>
      <c r="X91" s="1045"/>
    </row>
    <row r="92" spans="1:27" s="457" customFormat="1" ht="99.75" customHeight="1">
      <c r="A92" s="463" t="str">
        <f>'TABLA 7 ESTRUCTURA PROGRAMÁTICA'!D69</f>
        <v>4.2.6 Gestión para la implementación de proyectos pilotos de biocomercio y turismo rural en ecorregiones estratégicas.</v>
      </c>
      <c r="B92" s="497" t="str">
        <f>'TABLA 7 ESTRUCTURA PROGRAMÁTICA'!K69</f>
        <v>Proyectos pilotos apoyados</v>
      </c>
      <c r="C92" s="848">
        <f>'TABLA 7 ESTRUCTURA PROGRAMÁTICA'!E69</f>
        <v>1</v>
      </c>
      <c r="D92" s="477">
        <v>1</v>
      </c>
      <c r="E92" s="430">
        <f t="shared" si="55"/>
        <v>1</v>
      </c>
      <c r="F92" s="423" t="s">
        <v>1212</v>
      </c>
      <c r="G92" s="827">
        <f t="shared" si="56"/>
        <v>1</v>
      </c>
      <c r="H92" s="594">
        <f>'TABLA 7 ESTRUCTURA PROGRAMÁTICA'!I69</f>
        <v>4</v>
      </c>
      <c r="I92" s="478">
        <f>G92</f>
        <v>1</v>
      </c>
      <c r="J92" s="682">
        <f t="shared" si="46"/>
        <v>1</v>
      </c>
      <c r="K92" s="478">
        <v>0.5</v>
      </c>
      <c r="L92" s="427">
        <f>IF(C92=0,G92,(G92*K92))</f>
        <v>0.5</v>
      </c>
      <c r="M92" s="430">
        <f t="shared" si="59"/>
        <v>1.0000000000000002E-2</v>
      </c>
      <c r="N92" s="426">
        <f>(IF(M92="N.A",0,M92))+N91</f>
        <v>0.39060000000000011</v>
      </c>
      <c r="O92" s="1022"/>
      <c r="P92" s="979"/>
      <c r="Q92" s="988"/>
      <c r="R92" s="985"/>
      <c r="S92" s="988"/>
      <c r="T92" s="988"/>
      <c r="U92" s="988"/>
      <c r="V92" s="1046"/>
      <c r="W92" s="1046"/>
      <c r="X92" s="1046"/>
    </row>
    <row r="93" spans="1:27">
      <c r="A93" s="1071" t="s">
        <v>643</v>
      </c>
      <c r="B93" s="1072"/>
      <c r="C93" s="1072"/>
      <c r="D93" s="1072"/>
      <c r="E93" s="1072"/>
      <c r="F93" s="1073"/>
      <c r="G93" s="476"/>
      <c r="H93" s="594"/>
      <c r="I93" s="594"/>
      <c r="J93" s="682">
        <f t="shared" si="46"/>
        <v>0</v>
      </c>
      <c r="L93" s="429">
        <f>SUM(L86:L92)</f>
        <v>1</v>
      </c>
      <c r="R93" s="476"/>
      <c r="S93" s="476"/>
      <c r="T93" s="476"/>
      <c r="U93" s="476"/>
      <c r="V93" s="476"/>
      <c r="W93" s="476"/>
      <c r="X93" s="476"/>
    </row>
    <row r="94" spans="1:27" s="424" customFormat="1" ht="90">
      <c r="A94" s="458" t="str">
        <f>A78</f>
        <v>4. PRODUCTIVIDAD SOSTENIBLE y BIODIVERCIUDAD : integrando lo SECTORIAL  y lo URBAno</v>
      </c>
      <c r="B94" s="757"/>
      <c r="C94" s="441"/>
      <c r="D94" s="470"/>
      <c r="E94" s="433"/>
      <c r="F94" s="436"/>
      <c r="G94" s="409"/>
      <c r="H94" s="441"/>
      <c r="I94" s="441"/>
      <c r="J94" s="441"/>
      <c r="K94" s="444">
        <f>K84</f>
        <v>0.1</v>
      </c>
      <c r="L94" s="445"/>
      <c r="M94" s="433"/>
      <c r="N94" s="484"/>
      <c r="O94" s="785"/>
      <c r="P94" s="484"/>
      <c r="Q94" s="484"/>
      <c r="R94" s="485"/>
      <c r="S94" s="485"/>
      <c r="T94" s="444"/>
      <c r="U94" s="486"/>
      <c r="V94" s="812"/>
      <c r="W94" s="422"/>
      <c r="X94" s="422"/>
      <c r="Y94" s="457"/>
      <c r="Z94" s="457"/>
    </row>
    <row r="95" spans="1:27" s="459" customFormat="1" ht="90">
      <c r="A95" s="462" t="str">
        <f>'TABLA 7 ESTRUCTURA PROGRAMÁTICA'!C71</f>
        <v xml:space="preserve">4.3 Apropiación de la Ciencia ambiental  y de la tecnología para promover la producción sostenible en el dpto. del Cesar.   </v>
      </c>
      <c r="B95" s="410"/>
      <c r="C95" s="471"/>
      <c r="D95" s="414"/>
      <c r="E95" s="429">
        <f>E99*$K99+E100*$K100</f>
        <v>1</v>
      </c>
      <c r="F95" s="359"/>
      <c r="G95" s="429">
        <f>G99*$K99+G100*$K100</f>
        <v>1</v>
      </c>
      <c r="H95" s="357"/>
      <c r="I95" s="357"/>
      <c r="J95" s="429">
        <f>J99*$K99+J100*$K100</f>
        <v>1</v>
      </c>
      <c r="K95" s="415">
        <v>0.1</v>
      </c>
      <c r="L95" s="428"/>
      <c r="M95" s="429"/>
      <c r="N95" s="487"/>
      <c r="O95" s="358"/>
      <c r="P95" s="487"/>
      <c r="Q95" s="487"/>
      <c r="R95" s="488"/>
      <c r="S95" s="488"/>
      <c r="T95" s="415"/>
      <c r="U95" s="489"/>
      <c r="V95" s="812"/>
      <c r="W95" s="422"/>
      <c r="X95" s="422"/>
      <c r="Y95" s="457"/>
      <c r="Z95" s="457"/>
    </row>
    <row r="96" spans="1:27" s="457" customFormat="1" ht="210">
      <c r="A96" s="463" t="str">
        <f>'TABLA 7 ESTRUCTURA PROGRAMÁTICA'!D71</f>
        <v xml:space="preserve">4.3.1 Conocimiento de potencialidad,  promoción y apoyo a la implementación de proyectos de Energías  renovables </v>
      </c>
      <c r="B96" s="741" t="str">
        <f>'TABLA 7 ESTRUCTURA PROGRAMÁTICA'!K71</f>
        <v>Proyectos de energías renovables promovidos y/o  en desarrollo</v>
      </c>
      <c r="C96" s="848">
        <f>'TABLA 7 ESTRUCTURA PROGRAMÁTICA'!E71</f>
        <v>0</v>
      </c>
      <c r="D96" s="477">
        <v>0</v>
      </c>
      <c r="E96" s="430" t="str">
        <f t="shared" ref="E96:E100" si="61">IF(C96=0,"N.A",(D96/C96)*1)</f>
        <v>N.A</v>
      </c>
      <c r="F96" s="683" t="s">
        <v>1260</v>
      </c>
      <c r="G96" s="827" t="str">
        <f>E96</f>
        <v>N.A</v>
      </c>
      <c r="H96" s="442">
        <f>'TABLA 7 ESTRUCTURA PROGRAMÁTICA'!I71</f>
        <v>3</v>
      </c>
      <c r="I96" s="478" t="str">
        <f>E96</f>
        <v>N.A</v>
      </c>
      <c r="J96" s="682" t="str">
        <f t="shared" si="46"/>
        <v>N.A</v>
      </c>
      <c r="K96" s="478">
        <v>0</v>
      </c>
      <c r="L96" s="427" t="str">
        <f>IF(C96=0,E96,(E96*K96))</f>
        <v>N.A</v>
      </c>
      <c r="M96" s="430" t="str">
        <f>IF(L96="N.A","N.A",L96*$K$94*$K$95)</f>
        <v>N.A</v>
      </c>
      <c r="N96" s="426">
        <f>(IF(M96="N.A",0,M96))+N92</f>
        <v>0.39060000000000011</v>
      </c>
      <c r="O96" s="1020">
        <v>100000000</v>
      </c>
      <c r="P96" s="977">
        <v>0</v>
      </c>
      <c r="Q96" s="986">
        <f>P96/O96</f>
        <v>0</v>
      </c>
      <c r="R96" s="977">
        <f>O96</f>
        <v>100000000</v>
      </c>
      <c r="S96" s="977">
        <f>P96</f>
        <v>0</v>
      </c>
      <c r="T96" s="980">
        <f>Q96</f>
        <v>0</v>
      </c>
      <c r="U96" s="977"/>
      <c r="V96" s="1044" t="s">
        <v>1119</v>
      </c>
      <c r="W96" s="1044" t="s">
        <v>1150</v>
      </c>
      <c r="X96" s="1044" t="s">
        <v>1127</v>
      </c>
      <c r="Y96" s="1076"/>
      <c r="Z96" s="1076"/>
      <c r="AA96" s="1076"/>
    </row>
    <row r="97" spans="1:27" s="457" customFormat="1" ht="90">
      <c r="A97" s="463" t="str">
        <f>'TABLA 7 ESTRUCTURA PROGRAMÁTICA'!D72</f>
        <v>4.3.2 Promoción de procesos de mitigación y adaptación al cambio climático en Sectores productivos (Minería, agropecuario y comercio)</v>
      </c>
      <c r="B97" s="741" t="str">
        <f>'TABLA 7 ESTRUCTURA PROGRAMÁTICA'!K72</f>
        <v>Lineamientos establecidos/ sector</v>
      </c>
      <c r="C97" s="848">
        <f>'TABLA 7 ESTRUCTURA PROGRAMÁTICA'!E72</f>
        <v>0</v>
      </c>
      <c r="D97" s="477">
        <v>0</v>
      </c>
      <c r="E97" s="430" t="str">
        <f t="shared" si="61"/>
        <v>N.A</v>
      </c>
      <c r="F97" s="456" t="s">
        <v>1103</v>
      </c>
      <c r="G97" s="827" t="str">
        <f t="shared" ref="G97:G100" si="62">E97</f>
        <v>N.A</v>
      </c>
      <c r="H97" s="594">
        <f>'TABLA 7 ESTRUCTURA PROGRAMÁTICA'!I72</f>
        <v>3</v>
      </c>
      <c r="I97" s="478" t="str">
        <f t="shared" ref="I97:I100" si="63">E97</f>
        <v>N.A</v>
      </c>
      <c r="J97" s="682" t="str">
        <f t="shared" si="46"/>
        <v>N.A</v>
      </c>
      <c r="K97" s="478">
        <v>0</v>
      </c>
      <c r="L97" s="427" t="str">
        <f t="shared" ref="L97:L100" si="64">IF(C97=0,E97,(E97*K97))</f>
        <v>N.A</v>
      </c>
      <c r="M97" s="430" t="str">
        <f t="shared" ref="M97:M100" si="65">IF(L97="N.A","N.A",L97*$K$94*$K$95)</f>
        <v>N.A</v>
      </c>
      <c r="N97" s="426">
        <f>(IF(M97="N.A",0,M97))+N96</f>
        <v>0.39060000000000011</v>
      </c>
      <c r="O97" s="1021"/>
      <c r="P97" s="978"/>
      <c r="Q97" s="987"/>
      <c r="R97" s="978"/>
      <c r="S97" s="978"/>
      <c r="T97" s="981"/>
      <c r="U97" s="978"/>
      <c r="V97" s="1045"/>
      <c r="W97" s="1045"/>
      <c r="X97" s="1045"/>
      <c r="Y97" s="1074"/>
      <c r="Z97" s="1074"/>
      <c r="AA97" s="1074"/>
    </row>
    <row r="98" spans="1:27" s="457" customFormat="1" ht="60">
      <c r="A98" s="463" t="str">
        <f>'TABLA 7 ESTRUCTURA PROGRAMÁTICA'!D73</f>
        <v>4.3.3 Valoración económica ambiental y cuantificación del capital natural en el PIB dptal.</v>
      </c>
      <c r="B98" s="741" t="str">
        <f>'TABLA 7 ESTRUCTURA PROGRAMÁTICA'!K73</f>
        <v>Avance de estudio</v>
      </c>
      <c r="C98" s="848">
        <f>'TABLA 7 ESTRUCTURA PROGRAMÁTICA'!E73</f>
        <v>0</v>
      </c>
      <c r="D98" s="681">
        <v>0</v>
      </c>
      <c r="E98" s="430" t="str">
        <f t="shared" si="61"/>
        <v>N.A</v>
      </c>
      <c r="F98" s="456" t="s">
        <v>1103</v>
      </c>
      <c r="G98" s="827" t="str">
        <f t="shared" si="62"/>
        <v>N.A</v>
      </c>
      <c r="H98" s="594">
        <f>'TABLA 7 ESTRUCTURA PROGRAMÁTICA'!I73</f>
        <v>100</v>
      </c>
      <c r="I98" s="478" t="str">
        <f t="shared" si="63"/>
        <v>N.A</v>
      </c>
      <c r="J98" s="682" t="str">
        <f t="shared" si="46"/>
        <v>N.A</v>
      </c>
      <c r="K98" s="478">
        <v>0</v>
      </c>
      <c r="L98" s="427" t="str">
        <f t="shared" si="64"/>
        <v>N.A</v>
      </c>
      <c r="M98" s="430" t="str">
        <f t="shared" si="65"/>
        <v>N.A</v>
      </c>
      <c r="N98" s="426">
        <f t="shared" ref="N98:N100" si="66">(IF(M98="N.A",0,M98))+N97</f>
        <v>0.39060000000000011</v>
      </c>
      <c r="O98" s="1021"/>
      <c r="P98" s="978"/>
      <c r="Q98" s="987"/>
      <c r="R98" s="978"/>
      <c r="S98" s="978"/>
      <c r="T98" s="981"/>
      <c r="U98" s="978"/>
      <c r="V98" s="1045"/>
      <c r="W98" s="1045"/>
      <c r="X98" s="1045"/>
      <c r="Y98" s="1074"/>
      <c r="Z98" s="1074"/>
      <c r="AA98" s="1074"/>
    </row>
    <row r="99" spans="1:27" s="457" customFormat="1" ht="90">
      <c r="A99" s="463" t="str">
        <f>'TABLA 7 ESTRUCTURA PROGRAMÁTICA'!D74</f>
        <v>4.3.4 Participación en procesos intersectoriales de Salud Ambiental de los COTSA,  a través de las mesas técnicas conformadas.</v>
      </c>
      <c r="B99" s="741" t="str">
        <f>'TABLA 7 ESTRUCTURA PROGRAMÁTICA'!K74</f>
        <v xml:space="preserve">Participación en Mesas técnicas </v>
      </c>
      <c r="C99" s="848">
        <f>'TABLA 7 ESTRUCTURA PROGRAMÁTICA'!E74</f>
        <v>100</v>
      </c>
      <c r="D99" s="681">
        <v>100</v>
      </c>
      <c r="E99" s="430">
        <f t="shared" si="61"/>
        <v>1</v>
      </c>
      <c r="F99" s="1036" t="s">
        <v>1110</v>
      </c>
      <c r="G99" s="827">
        <f t="shared" si="62"/>
        <v>1</v>
      </c>
      <c r="H99" s="594">
        <f>'TABLA 7 ESTRUCTURA PROGRAMÁTICA'!I74</f>
        <v>100</v>
      </c>
      <c r="I99" s="478">
        <f t="shared" si="63"/>
        <v>1</v>
      </c>
      <c r="J99" s="682">
        <f t="shared" si="46"/>
        <v>1</v>
      </c>
      <c r="K99" s="478">
        <v>0.5</v>
      </c>
      <c r="L99" s="427">
        <f t="shared" si="64"/>
        <v>0.5</v>
      </c>
      <c r="M99" s="430">
        <f t="shared" si="65"/>
        <v>5.000000000000001E-3</v>
      </c>
      <c r="N99" s="426">
        <f t="shared" si="66"/>
        <v>0.39560000000000012</v>
      </c>
      <c r="O99" s="1021"/>
      <c r="P99" s="978"/>
      <c r="Q99" s="987"/>
      <c r="R99" s="978"/>
      <c r="S99" s="978"/>
      <c r="T99" s="981"/>
      <c r="U99" s="978"/>
      <c r="V99" s="1045"/>
      <c r="W99" s="1045"/>
      <c r="X99" s="1045"/>
      <c r="Y99" s="1074"/>
      <c r="Z99" s="1074"/>
      <c r="AA99" s="1074"/>
    </row>
    <row r="100" spans="1:27" s="457" customFormat="1" ht="90">
      <c r="A100" s="463" t="str">
        <f>'TABLA 7 ESTRUCTURA PROGRAMÁTICA'!D75</f>
        <v xml:space="preserve">4.3.5 Apoyo a  la Implementación  la Política Integral de Salud Ambiental a nivel territorial, desde las competencias de las CAR. </v>
      </c>
      <c r="B100" s="741" t="str">
        <f>'TABLA 7 ESTRUCTURA PROGRAMÁTICA'!K75</f>
        <v>Avance de la política territorial de Salud ambiental</v>
      </c>
      <c r="C100" s="848">
        <f>'TABLA 7 ESTRUCTURA PROGRAMÁTICA'!E75</f>
        <v>20</v>
      </c>
      <c r="D100" s="681">
        <v>20</v>
      </c>
      <c r="E100" s="430">
        <f t="shared" si="61"/>
        <v>1</v>
      </c>
      <c r="F100" s="1037"/>
      <c r="G100" s="827">
        <f t="shared" si="62"/>
        <v>1</v>
      </c>
      <c r="H100" s="594">
        <f>'TABLA 7 ESTRUCTURA PROGRAMÁTICA'!I75</f>
        <v>100</v>
      </c>
      <c r="I100" s="478">
        <f t="shared" si="63"/>
        <v>1</v>
      </c>
      <c r="J100" s="682">
        <f t="shared" si="46"/>
        <v>1</v>
      </c>
      <c r="K100" s="478">
        <v>0.5</v>
      </c>
      <c r="L100" s="427">
        <f t="shared" si="64"/>
        <v>0.5</v>
      </c>
      <c r="M100" s="430">
        <f t="shared" si="65"/>
        <v>5.000000000000001E-3</v>
      </c>
      <c r="N100" s="426">
        <f t="shared" si="66"/>
        <v>0.40060000000000012</v>
      </c>
      <c r="O100" s="1022"/>
      <c r="P100" s="979"/>
      <c r="Q100" s="988"/>
      <c r="R100" s="979"/>
      <c r="S100" s="979"/>
      <c r="T100" s="982"/>
      <c r="U100" s="979"/>
      <c r="V100" s="1046"/>
      <c r="W100" s="1046"/>
      <c r="X100" s="1046"/>
      <c r="Y100" s="1075"/>
      <c r="Z100" s="1075"/>
      <c r="AA100" s="1075"/>
    </row>
    <row r="101" spans="1:27" s="457" customFormat="1">
      <c r="A101" s="989"/>
      <c r="B101" s="990"/>
      <c r="C101" s="990"/>
      <c r="D101" s="990"/>
      <c r="E101" s="990"/>
      <c r="F101" s="991"/>
      <c r="G101" s="411"/>
      <c r="H101" s="442"/>
      <c r="I101" s="442"/>
      <c r="J101" s="682">
        <f t="shared" si="46"/>
        <v>0</v>
      </c>
      <c r="K101" s="761"/>
      <c r="L101" s="428">
        <f>SUM(L96:L100)</f>
        <v>1</v>
      </c>
      <c r="M101" s="430"/>
      <c r="N101" s="426"/>
      <c r="O101" s="799"/>
      <c r="P101" s="501"/>
      <c r="Q101" s="502"/>
      <c r="R101" s="479"/>
      <c r="S101" s="479"/>
      <c r="T101" s="478"/>
      <c r="U101" s="498"/>
      <c r="V101" s="812"/>
      <c r="W101" s="422"/>
      <c r="X101" s="422"/>
    </row>
    <row r="102" spans="1:27" s="424" customFormat="1" ht="90">
      <c r="A102" s="458" t="str">
        <f>A94</f>
        <v>4. PRODUCTIVIDAD SOSTENIBLE y BIODIVERCIUDAD : integrando lo SECTORIAL  y lo URBAno</v>
      </c>
      <c r="B102" s="753"/>
      <c r="C102" s="469"/>
      <c r="D102" s="470"/>
      <c r="E102" s="433"/>
      <c r="F102" s="436"/>
      <c r="G102" s="409"/>
      <c r="H102" s="441"/>
      <c r="I102" s="441"/>
      <c r="J102" s="441"/>
      <c r="K102" s="444">
        <v>0.1</v>
      </c>
      <c r="L102" s="445"/>
      <c r="M102" s="433"/>
      <c r="N102" s="484"/>
      <c r="O102" s="785"/>
      <c r="P102" s="484"/>
      <c r="Q102" s="484"/>
      <c r="R102" s="485"/>
      <c r="S102" s="485"/>
      <c r="T102" s="444"/>
      <c r="U102" s="486"/>
      <c r="V102" s="812"/>
      <c r="W102" s="422"/>
      <c r="X102" s="422"/>
      <c r="Y102" s="457"/>
      <c r="Z102" s="457"/>
    </row>
    <row r="103" spans="1:27" s="459" customFormat="1" ht="90">
      <c r="A103" s="462" t="str">
        <f>'TABLA 7 ESTRUCTURA PROGRAMÁTICA'!C77</f>
        <v xml:space="preserve">4.4 Gestión integral  del suelo  para la recuperación de este recurso natural  en el departamento del Cesar.  </v>
      </c>
      <c r="B103" s="410"/>
      <c r="C103" s="471"/>
      <c r="D103" s="414"/>
      <c r="E103" s="429">
        <f>E104*$K104+E105*$K105+E107*$K107+E108*$K108</f>
        <v>1</v>
      </c>
      <c r="F103" s="359"/>
      <c r="G103" s="429">
        <f>G104*$K104+G105*$K105+G107*$K107+G108*$K108</f>
        <v>1</v>
      </c>
      <c r="H103" s="357"/>
      <c r="I103" s="357"/>
      <c r="J103" s="429">
        <f>J104*$K104+J105*$K105+J107*$K107+J108*$K108</f>
        <v>1</v>
      </c>
      <c r="K103" s="415">
        <v>0.3</v>
      </c>
      <c r="L103" s="428"/>
      <c r="M103" s="429"/>
      <c r="N103" s="487"/>
      <c r="O103" s="358"/>
      <c r="P103" s="487"/>
      <c r="Q103" s="487"/>
      <c r="R103" s="488"/>
      <c r="S103" s="488"/>
      <c r="T103" s="415"/>
      <c r="U103" s="489"/>
      <c r="V103" s="812"/>
      <c r="W103" s="422"/>
      <c r="X103" s="422"/>
      <c r="Y103" s="457"/>
      <c r="Z103" s="457"/>
    </row>
    <row r="104" spans="1:27" s="457" customFormat="1" ht="208.5" customHeight="1">
      <c r="A104" s="463" t="str">
        <f>'TABLA 7 ESTRUCTURA PROGRAMÁTICA'!D77</f>
        <v>4.4.1 Implementación de las acciones planteadas en el  PAR  para mitigar los efectos de la desertificación y la sequía en armonía con el proyecto 1.1  (estrategia de reforestación, restauración, agricultura y ganadería sostenible, estufas ecológicas, monitoreo).</v>
      </c>
      <c r="B104" s="741" t="str">
        <f>'TABLA 7 ESTRUCTURA PROGRAMÁTICA'!K77</f>
        <v>Acciones del PAR ejecutadas</v>
      </c>
      <c r="C104" s="848">
        <f>'TABLA 7 ESTRUCTURA PROGRAMÁTICA'!E77</f>
        <v>1</v>
      </c>
      <c r="D104" s="477">
        <v>1</v>
      </c>
      <c r="E104" s="430">
        <f t="shared" ref="E104:E108" si="67">IF(C104=0,"N.A",(D104/C104)*1)</f>
        <v>1</v>
      </c>
      <c r="F104" s="683" t="s">
        <v>1214</v>
      </c>
      <c r="G104" s="825">
        <f>E104</f>
        <v>1</v>
      </c>
      <c r="H104" s="442">
        <f>'TABLA 7 ESTRUCTURA PROGRAMÁTICA'!I77</f>
        <v>6</v>
      </c>
      <c r="I104" s="478">
        <f>G104</f>
        <v>1</v>
      </c>
      <c r="J104" s="682">
        <f t="shared" si="46"/>
        <v>1</v>
      </c>
      <c r="K104" s="478">
        <v>0.2</v>
      </c>
      <c r="L104" s="427">
        <f>IF(C104=0,G104,(G104*K104))</f>
        <v>0.2</v>
      </c>
      <c r="M104" s="430">
        <f>IF(L104="N.A","N.A",L104*$K$102*$K$103)</f>
        <v>6.000000000000001E-3</v>
      </c>
      <c r="N104" s="426">
        <f>(IF(M104="N.A",0,M104))+N100</f>
        <v>0.40660000000000013</v>
      </c>
      <c r="O104" s="1020">
        <f>500000000</f>
        <v>500000000</v>
      </c>
      <c r="P104" s="1005">
        <v>415981055</v>
      </c>
      <c r="Q104" s="1051">
        <f>P104/O104</f>
        <v>0.83196210999999998</v>
      </c>
      <c r="R104" s="977">
        <f>O104</f>
        <v>500000000</v>
      </c>
      <c r="S104" s="977">
        <f>P104</f>
        <v>415981055</v>
      </c>
      <c r="T104" s="980">
        <f>Q104</f>
        <v>0.83196210999999998</v>
      </c>
      <c r="U104" s="977"/>
      <c r="V104" s="1044" t="s">
        <v>1115</v>
      </c>
      <c r="W104" s="1044" t="s">
        <v>1141</v>
      </c>
      <c r="X104" s="1044" t="s">
        <v>1123</v>
      </c>
    </row>
    <row r="105" spans="1:27" s="457" customFormat="1" ht="135" customHeight="1">
      <c r="A105" s="463" t="str">
        <f>'TABLA 7 ESTRUCTURA PROGRAMÁTICA'!D78</f>
        <v xml:space="preserve">4.4.2 Generación de espacios académicos para el conocimiento del recurso suelo (posibles alianzas con la academia) </v>
      </c>
      <c r="B105" s="741" t="str">
        <f>'TABLA 7 ESTRUCTURA PROGRAMÁTICA'!K78</f>
        <v xml:space="preserve">Espacios académicos realizados </v>
      </c>
      <c r="C105" s="848">
        <f>'TABLA 7 ESTRUCTURA PROGRAMÁTICA'!E78</f>
        <v>1</v>
      </c>
      <c r="D105" s="477">
        <v>1</v>
      </c>
      <c r="E105" s="430">
        <f t="shared" si="67"/>
        <v>1</v>
      </c>
      <c r="F105" s="683" t="s">
        <v>1248</v>
      </c>
      <c r="G105" s="825">
        <f t="shared" ref="G105:G108" si="68">E105</f>
        <v>1</v>
      </c>
      <c r="H105" s="594">
        <f>'TABLA 7 ESTRUCTURA PROGRAMÁTICA'!I78</f>
        <v>3</v>
      </c>
      <c r="I105" s="478">
        <f t="shared" ref="I105:I108" si="69">E105</f>
        <v>1</v>
      </c>
      <c r="J105" s="682">
        <f t="shared" si="46"/>
        <v>1</v>
      </c>
      <c r="K105" s="478">
        <v>0.2</v>
      </c>
      <c r="L105" s="427">
        <f t="shared" ref="L105:L108" si="70">IF(C105=0,E105,(E105*K105))</f>
        <v>0.2</v>
      </c>
      <c r="M105" s="430">
        <f t="shared" ref="M105:M108" si="71">IF(L105="N.A","N.A",L105*$K$102*$K$103)</f>
        <v>6.000000000000001E-3</v>
      </c>
      <c r="N105" s="426">
        <f t="shared" ref="N105:N108" si="72">(IF(M105="N.A",0,M105))+N101</f>
        <v>6.000000000000001E-3</v>
      </c>
      <c r="O105" s="1021"/>
      <c r="P105" s="1006"/>
      <c r="Q105" s="1052"/>
      <c r="R105" s="978"/>
      <c r="S105" s="978"/>
      <c r="T105" s="981"/>
      <c r="U105" s="978"/>
      <c r="V105" s="1046"/>
      <c r="W105" s="1045"/>
      <c r="X105" s="1046"/>
    </row>
    <row r="106" spans="1:27" s="457" customFormat="1" ht="120">
      <c r="A106" s="463" t="str">
        <f>'TABLA 7 ESTRUCTURA PROGRAMÁTICA'!D79</f>
        <v xml:space="preserve">4.4.3 Actualizar e implementar el plan de gestión Integral de residuos peligrosos en el marco de la política RESPEL junto al  cumplimiento de la Directiva ministerial 2019 </v>
      </c>
      <c r="B106" s="741" t="str">
        <f>'TABLA 7 ESTRUCTURA PROGRAMÁTICA'!K79</f>
        <v>Plan RESPEL revisado y actualizado</v>
      </c>
      <c r="C106" s="848">
        <f>'TABLA 7 ESTRUCTURA PROGRAMÁTICA'!E79</f>
        <v>0</v>
      </c>
      <c r="D106" s="477">
        <v>0</v>
      </c>
      <c r="E106" s="430" t="str">
        <f t="shared" si="67"/>
        <v>N.A</v>
      </c>
      <c r="F106" s="683" t="s">
        <v>1103</v>
      </c>
      <c r="G106" s="825" t="str">
        <f t="shared" si="68"/>
        <v>N.A</v>
      </c>
      <c r="H106" s="594">
        <f>'TABLA 7 ESTRUCTURA PROGRAMÁTICA'!I79</f>
        <v>1</v>
      </c>
      <c r="I106" s="478" t="str">
        <f t="shared" si="69"/>
        <v>N.A</v>
      </c>
      <c r="J106" s="682" t="str">
        <f t="shared" si="46"/>
        <v>N.A</v>
      </c>
      <c r="K106" s="478">
        <v>0</v>
      </c>
      <c r="L106" s="427" t="str">
        <f t="shared" si="70"/>
        <v>N.A</v>
      </c>
      <c r="M106" s="430" t="str">
        <f t="shared" si="71"/>
        <v>N.A</v>
      </c>
      <c r="N106" s="426">
        <f t="shared" si="72"/>
        <v>0</v>
      </c>
      <c r="O106" s="1021"/>
      <c r="P106" s="1006"/>
      <c r="Q106" s="1052"/>
      <c r="R106" s="978"/>
      <c r="S106" s="978"/>
      <c r="T106" s="981"/>
      <c r="U106" s="978"/>
      <c r="V106" s="1044" t="s">
        <v>1119</v>
      </c>
      <c r="W106" s="1045"/>
      <c r="X106" s="1044" t="s">
        <v>1127</v>
      </c>
    </row>
    <row r="107" spans="1:27" s="457" customFormat="1" ht="123.75" customHeight="1">
      <c r="A107" s="463" t="str">
        <f>'TABLA 7 ESTRUCTURA PROGRAMÁTICA'!D80</f>
        <v>4.4.4 Mejoramento del proceso de validación de información del Registro de Generadores de RESPEL y del Inventario Nacional de PCB</v>
      </c>
      <c r="B107" s="741" t="str">
        <f>'TABLA 7 ESTRUCTURA PROGRAMÁTICA'!K80</f>
        <v xml:space="preserve">Nivel de Registro RESPEL </v>
      </c>
      <c r="C107" s="848">
        <f>'TABLA 7 ESTRUCTURA PROGRAMÁTICA'!E80</f>
        <v>100</v>
      </c>
      <c r="D107" s="849">
        <v>222</v>
      </c>
      <c r="E107" s="430">
        <v>1</v>
      </c>
      <c r="F107" s="683" t="s">
        <v>1211</v>
      </c>
      <c r="G107" s="825">
        <f t="shared" si="68"/>
        <v>1</v>
      </c>
      <c r="H107" s="594">
        <f>'TABLA 7 ESTRUCTURA PROGRAMÁTICA'!I80</f>
        <v>100</v>
      </c>
      <c r="I107" s="478">
        <f t="shared" si="69"/>
        <v>1</v>
      </c>
      <c r="J107" s="682">
        <f t="shared" si="46"/>
        <v>1</v>
      </c>
      <c r="K107" s="478">
        <v>0.3</v>
      </c>
      <c r="L107" s="427">
        <f t="shared" si="70"/>
        <v>0.3</v>
      </c>
      <c r="M107" s="430">
        <f t="shared" si="71"/>
        <v>8.9999999999999993E-3</v>
      </c>
      <c r="N107" s="426">
        <f t="shared" si="72"/>
        <v>8.9999999999999993E-3</v>
      </c>
      <c r="O107" s="1021"/>
      <c r="P107" s="1006"/>
      <c r="Q107" s="1052"/>
      <c r="R107" s="978"/>
      <c r="S107" s="978"/>
      <c r="T107" s="981"/>
      <c r="U107" s="978"/>
      <c r="V107" s="1045"/>
      <c r="W107" s="1045"/>
      <c r="X107" s="1045"/>
    </row>
    <row r="108" spans="1:27" s="457" customFormat="1" ht="150">
      <c r="A108" s="463" t="str">
        <f>'TABLA 7 ESTRUCTURA PROGRAMÁTICA'!D81</f>
        <v>4.4.5 Capacitación y desarrollo de campañas a los diferentes actores sobre el manejo ambientalmente racional de RESPEL y fortalececimiento de  las actividades de IVC a generadores e instalaciones licenciadas</v>
      </c>
      <c r="B108" s="741" t="str">
        <f>'TABLA 7 ESTRUCTURA PROGRAMÁTICA'!K81</f>
        <v>Capacitación y/o campañas/año</v>
      </c>
      <c r="C108" s="848">
        <f>'TABLA 7 ESTRUCTURA PROGRAMÁTICA'!E81</f>
        <v>1</v>
      </c>
      <c r="D108" s="477">
        <v>1</v>
      </c>
      <c r="E108" s="430">
        <f t="shared" si="67"/>
        <v>1</v>
      </c>
      <c r="F108" s="683" t="s">
        <v>1261</v>
      </c>
      <c r="G108" s="825">
        <f t="shared" si="68"/>
        <v>1</v>
      </c>
      <c r="H108" s="594">
        <f>'TABLA 7 ESTRUCTURA PROGRAMÁTICA'!I81</f>
        <v>4</v>
      </c>
      <c r="I108" s="478">
        <f t="shared" si="69"/>
        <v>1</v>
      </c>
      <c r="J108" s="682">
        <f t="shared" si="46"/>
        <v>1</v>
      </c>
      <c r="K108" s="478">
        <v>0.3</v>
      </c>
      <c r="L108" s="427">
        <f t="shared" si="70"/>
        <v>0.3</v>
      </c>
      <c r="M108" s="430">
        <f t="shared" si="71"/>
        <v>8.9999999999999993E-3</v>
      </c>
      <c r="N108" s="426">
        <f t="shared" si="72"/>
        <v>0.41560000000000014</v>
      </c>
      <c r="O108" s="1022"/>
      <c r="P108" s="1007"/>
      <c r="Q108" s="1055"/>
      <c r="R108" s="979"/>
      <c r="S108" s="979"/>
      <c r="T108" s="982"/>
      <c r="U108" s="979"/>
      <c r="V108" s="1046"/>
      <c r="W108" s="1046"/>
      <c r="X108" s="1046"/>
    </row>
    <row r="109" spans="1:27" s="457" customFormat="1">
      <c r="A109" s="989" t="s">
        <v>643</v>
      </c>
      <c r="B109" s="990"/>
      <c r="C109" s="990"/>
      <c r="D109" s="990"/>
      <c r="E109" s="990"/>
      <c r="F109" s="991"/>
      <c r="G109" s="411"/>
      <c r="H109" s="442"/>
      <c r="I109" s="442"/>
      <c r="J109" s="682">
        <f t="shared" si="46"/>
        <v>0</v>
      </c>
      <c r="K109" s="761"/>
      <c r="L109" s="428">
        <f>SUM(L103:L108)</f>
        <v>1</v>
      </c>
      <c r="M109" s="430"/>
      <c r="N109" s="426"/>
      <c r="O109" s="799"/>
      <c r="P109" s="501"/>
      <c r="Q109" s="502"/>
      <c r="R109" s="479"/>
      <c r="S109" s="479"/>
      <c r="T109" s="478"/>
      <c r="U109" s="498"/>
      <c r="V109" s="812"/>
      <c r="W109" s="422"/>
      <c r="X109" s="422"/>
    </row>
    <row r="110" spans="1:27" s="424" customFormat="1" ht="90">
      <c r="A110" s="458" t="str">
        <f>A102</f>
        <v>4. PRODUCTIVIDAD SOSTENIBLE y BIODIVERCIUDAD : integrando lo SECTORIAL  y lo URBAno</v>
      </c>
      <c r="B110" s="753"/>
      <c r="C110" s="469"/>
      <c r="D110" s="470"/>
      <c r="E110" s="433"/>
      <c r="F110" s="436"/>
      <c r="G110" s="409"/>
      <c r="H110" s="441"/>
      <c r="I110" s="441"/>
      <c r="J110" s="441"/>
      <c r="K110" s="444">
        <v>0.1</v>
      </c>
      <c r="L110" s="445"/>
      <c r="M110" s="433"/>
      <c r="N110" s="484"/>
      <c r="O110" s="785"/>
      <c r="P110" s="484"/>
      <c r="Q110" s="484"/>
      <c r="R110" s="485"/>
      <c r="S110" s="485"/>
      <c r="T110" s="444"/>
      <c r="U110" s="486"/>
      <c r="V110" s="812"/>
      <c r="W110" s="422"/>
      <c r="X110" s="422"/>
      <c r="Y110" s="457"/>
      <c r="Z110" s="457"/>
    </row>
    <row r="111" spans="1:27" s="459" customFormat="1" ht="90">
      <c r="A111" s="462" t="str">
        <f>'TABLA 7 ESTRUCTURA PROGRAMÁTICA'!C83</f>
        <v xml:space="preserve">4.5 Gestión integral del recurso aire, articulada a  la prioridad regional del MADS,  en áreas estratégicas del dpto del Cesar. </v>
      </c>
      <c r="B111" s="410"/>
      <c r="C111" s="471"/>
      <c r="D111" s="414"/>
      <c r="E111" s="429">
        <f>E112*$K112+E113*$K113+E114*$K114+E118*$K118+E119*$K119+E120*$K120</f>
        <v>1.0000000000000002</v>
      </c>
      <c r="F111" s="359"/>
      <c r="G111" s="429">
        <f>G112*$K112+G113*$K113+G114*$K114+G118*$K118+G119*$K119+G120*$K120</f>
        <v>1.0000000000000002</v>
      </c>
      <c r="H111" s="357"/>
      <c r="I111" s="357"/>
      <c r="J111" s="429">
        <f>J112*$K112+J113*$K113+J114*$K114+J118*$K118+J119*$K119+J120*$K120</f>
        <v>1.0000000000000002</v>
      </c>
      <c r="K111" s="415">
        <v>0.2</v>
      </c>
      <c r="L111" s="428"/>
      <c r="M111" s="429"/>
      <c r="N111" s="487"/>
      <c r="O111" s="358"/>
      <c r="P111" s="487"/>
      <c r="Q111" s="487"/>
      <c r="R111" s="488"/>
      <c r="S111" s="488"/>
      <c r="T111" s="415"/>
      <c r="U111" s="489"/>
      <c r="V111" s="812"/>
      <c r="W111" s="422"/>
      <c r="X111" s="422"/>
      <c r="Y111" s="457"/>
      <c r="Z111" s="457"/>
    </row>
    <row r="112" spans="1:27" s="457" customFormat="1" ht="157.5" customHeight="1">
      <c r="A112" s="476" t="str">
        <f>'TABLA 7 ESTRUCTURA PROGRAMÁTICA'!D83</f>
        <v xml:space="preserve">4.5.1 Territorialización de la Estrategia Nacional de Calidad del Aire (fortalecimiento del  proceso regional del SEVCA - Corpocesar)  </v>
      </c>
      <c r="B112" s="741" t="str">
        <f>'TABLA 7 ESTRUCTURA PROGRAMÁTICA'!K83</f>
        <v xml:space="preserve">Estrategia Nal implementada a nivel regional </v>
      </c>
      <c r="C112" s="848">
        <f>'TABLA 7 ESTRUCTURA PROGRAMÁTICA'!E83</f>
        <v>1</v>
      </c>
      <c r="D112" s="477">
        <v>1</v>
      </c>
      <c r="E112" s="430">
        <f t="shared" ref="E112:E120" si="73">IF(C112=0,"N.A",(D112/C112)*1)</f>
        <v>1</v>
      </c>
      <c r="F112" s="476" t="s">
        <v>1241</v>
      </c>
      <c r="G112" s="827">
        <f>E112</f>
        <v>1</v>
      </c>
      <c r="H112" s="442">
        <f>'TABLA 7 ESTRUCTURA PROGRAMÁTICA'!I83</f>
        <v>1</v>
      </c>
      <c r="I112" s="478">
        <f>E112</f>
        <v>1</v>
      </c>
      <c r="J112" s="682">
        <f t="shared" si="46"/>
        <v>1</v>
      </c>
      <c r="K112" s="478">
        <v>0.1</v>
      </c>
      <c r="L112" s="427">
        <f>IF(C112=0,E112,(E112*K112))</f>
        <v>0.1</v>
      </c>
      <c r="M112" s="430">
        <f>IF(L112="N.A","N.A",L112*$K$110*$K$111)</f>
        <v>2.0000000000000005E-3</v>
      </c>
      <c r="N112" s="426">
        <f t="shared" ref="N112" si="74">(IF(M112="N.A",0,M112))+N108</f>
        <v>0.41760000000000014</v>
      </c>
      <c r="O112" s="1020">
        <f>1600000000+369303294</f>
        <v>1969303294</v>
      </c>
      <c r="P112" s="977">
        <f>1589157124+369303294</f>
        <v>1958460418</v>
      </c>
      <c r="Q112" s="986">
        <f>P112/O112</f>
        <v>0.99449405480961939</v>
      </c>
      <c r="R112" s="977">
        <f>O112</f>
        <v>1969303294</v>
      </c>
      <c r="S112" s="977">
        <f>P112</f>
        <v>1958460418</v>
      </c>
      <c r="T112" s="992">
        <f>Q112</f>
        <v>0.99449405480961939</v>
      </c>
      <c r="U112" s="977"/>
      <c r="V112" s="1044" t="s">
        <v>1120</v>
      </c>
      <c r="W112" s="1044" t="s">
        <v>1144</v>
      </c>
      <c r="X112" s="1044" t="s">
        <v>1127</v>
      </c>
    </row>
    <row r="113" spans="1:26" s="457" customFormat="1" ht="193.5" customHeight="1">
      <c r="A113" s="476" t="str">
        <f>'TABLA 7 ESTRUCTURA PROGRAMÁTICA'!D84</f>
        <v>4.5.2 Optimización y Fortalecimento del Sistema de Moniterio de Calidad de Aire del Cesar. (acreditación, dotación, técnicas y operación de la red, cobertura y sostenibiidad)</v>
      </c>
      <c r="B113" s="741" t="str">
        <f>'TABLA 7 ESTRUCTURA PROGRAMÁTICA'!K84</f>
        <v xml:space="preserve">Avance de  optimización de la Red </v>
      </c>
      <c r="C113" s="848">
        <f>'TABLA 7 ESTRUCTURA PROGRAMÁTICA'!E84</f>
        <v>25</v>
      </c>
      <c r="D113" s="477">
        <v>25</v>
      </c>
      <c r="E113" s="430">
        <f t="shared" si="73"/>
        <v>1</v>
      </c>
      <c r="F113" s="476" t="s">
        <v>1178</v>
      </c>
      <c r="G113" s="827">
        <f t="shared" ref="G113:G114" si="75">E113</f>
        <v>1</v>
      </c>
      <c r="H113" s="594">
        <f>'TABLA 7 ESTRUCTURA PROGRAMÁTICA'!I84</f>
        <v>100</v>
      </c>
      <c r="I113" s="478">
        <f t="shared" ref="I113:I119" si="76">E113</f>
        <v>1</v>
      </c>
      <c r="J113" s="682">
        <f t="shared" si="46"/>
        <v>1</v>
      </c>
      <c r="K113" s="478">
        <v>0.5</v>
      </c>
      <c r="L113" s="427">
        <f t="shared" ref="L113:L118" si="77">IF(C113=0,E113,(E113*K113))</f>
        <v>0.5</v>
      </c>
      <c r="M113" s="430">
        <f t="shared" ref="M113:M120" si="78">IF(L113="N.A","N.A",L113*$K$110*$K$111)</f>
        <v>1.0000000000000002E-2</v>
      </c>
      <c r="N113" s="426">
        <f>(IF(M113="N.A",0,M113))+N112</f>
        <v>0.42760000000000015</v>
      </c>
      <c r="O113" s="1021"/>
      <c r="P113" s="978"/>
      <c r="Q113" s="987"/>
      <c r="R113" s="978"/>
      <c r="S113" s="978"/>
      <c r="T113" s="993"/>
      <c r="U113" s="978"/>
      <c r="V113" s="1045"/>
      <c r="W113" s="1045"/>
      <c r="X113" s="1045"/>
    </row>
    <row r="114" spans="1:26" s="457" customFormat="1" ht="315.75" customHeight="1">
      <c r="A114" s="476" t="str">
        <f>'TABLA 7 ESTRUCTURA PROGRAMÁTICA'!D85</f>
        <v>4.5.3 Diseño e implementación de plan de prevención, control y reduccion de la contaminación del aire, en municipios con población igual o superior a 150.000 habitantes y zonas industriales o mineras de alto impacto. (armonizado a la PGAU).</v>
      </c>
      <c r="B114" s="741" t="str">
        <f>'TABLA 7 ESTRUCTURA PROGRAMÁTICA'!K85</f>
        <v xml:space="preserve">Plan de reducción y prevención en ejecución </v>
      </c>
      <c r="C114" s="848">
        <f>'TABLA 7 ESTRUCTURA PROGRAMÁTICA'!E85</f>
        <v>1</v>
      </c>
      <c r="D114" s="477">
        <v>1</v>
      </c>
      <c r="E114" s="430">
        <f t="shared" si="73"/>
        <v>1</v>
      </c>
      <c r="F114" s="476" t="s">
        <v>1179</v>
      </c>
      <c r="G114" s="827">
        <f t="shared" si="75"/>
        <v>1</v>
      </c>
      <c r="H114" s="594">
        <f>'TABLA 7 ESTRUCTURA PROGRAMÁTICA'!I85</f>
        <v>1</v>
      </c>
      <c r="I114" s="478">
        <f>G114</f>
        <v>1</v>
      </c>
      <c r="J114" s="682">
        <f t="shared" si="46"/>
        <v>1</v>
      </c>
      <c r="K114" s="478">
        <v>0.2</v>
      </c>
      <c r="L114" s="427">
        <f>IF(C114=0,G114,(G114*K114))</f>
        <v>0.2</v>
      </c>
      <c r="M114" s="430">
        <f t="shared" si="78"/>
        <v>4.000000000000001E-3</v>
      </c>
      <c r="N114" s="426">
        <f t="shared" ref="N114:N120" si="79">(IF(M114="N.A",0,M114))+N113</f>
        <v>0.43160000000000015</v>
      </c>
      <c r="O114" s="1021"/>
      <c r="P114" s="978"/>
      <c r="Q114" s="987"/>
      <c r="R114" s="978"/>
      <c r="S114" s="978"/>
      <c r="T114" s="993"/>
      <c r="U114" s="978"/>
      <c r="V114" s="1045"/>
      <c r="W114" s="1045"/>
      <c r="X114" s="1045"/>
    </row>
    <row r="115" spans="1:26" s="457" customFormat="1" ht="60">
      <c r="A115" s="1053" t="str">
        <f>'TABLA 7 ESTRUCTURA PROGRAMÁTICA'!D86</f>
        <v>4.5.4 Control  y monitoreo de fuentes móviles y áreas fuentes en áreas estratégicas de la jurisdicción. (implementación de fuentes móviles de control)</v>
      </c>
      <c r="B115" s="741" t="str">
        <f>'TABLA 7 ESTRUCTURA PROGRAMÁTICA'!K86</f>
        <v>Cobertura de áreas fuentes monitoreadas</v>
      </c>
      <c r="C115" s="848">
        <f>'TABLA 7 ESTRUCTURA PROGRAMÁTICA'!E86</f>
        <v>0</v>
      </c>
      <c r="D115" s="477">
        <v>0</v>
      </c>
      <c r="E115" s="430" t="str">
        <f t="shared" si="73"/>
        <v>N.A</v>
      </c>
      <c r="F115" s="589"/>
      <c r="G115" s="827" t="str">
        <f>E115</f>
        <v>N.A</v>
      </c>
      <c r="H115" s="594">
        <f>'TABLA 7 ESTRUCTURA PROGRAMÁTICA'!I86</f>
        <v>100</v>
      </c>
      <c r="I115" s="478" t="str">
        <f t="shared" si="76"/>
        <v>N.A</v>
      </c>
      <c r="J115" s="682" t="str">
        <f t="shared" si="46"/>
        <v>N.A</v>
      </c>
      <c r="K115" s="478">
        <v>0</v>
      </c>
      <c r="L115" s="427" t="str">
        <f t="shared" si="77"/>
        <v>N.A</v>
      </c>
      <c r="M115" s="430" t="str">
        <f t="shared" si="78"/>
        <v>N.A</v>
      </c>
      <c r="N115" s="426">
        <f t="shared" si="79"/>
        <v>0.43160000000000015</v>
      </c>
      <c r="O115" s="1021"/>
      <c r="P115" s="978"/>
      <c r="Q115" s="987"/>
      <c r="R115" s="978"/>
      <c r="S115" s="978"/>
      <c r="T115" s="993"/>
      <c r="U115" s="978"/>
      <c r="V115" s="1045"/>
      <c r="W115" s="1045"/>
      <c r="X115" s="1045"/>
    </row>
    <row r="116" spans="1:26" s="457" customFormat="1" ht="60">
      <c r="A116" s="1054"/>
      <c r="B116" s="741" t="str">
        <f>'TABLA 7 ESTRUCTURA PROGRAMÁTICA'!K87</f>
        <v xml:space="preserve">FM en operación (equipo, RH y vehículo). </v>
      </c>
      <c r="C116" s="848">
        <f>'TABLA 7 ESTRUCTURA PROGRAMÁTICA'!E87</f>
        <v>0</v>
      </c>
      <c r="D116" s="477">
        <v>0</v>
      </c>
      <c r="E116" s="430" t="str">
        <f t="shared" si="73"/>
        <v>N.A</v>
      </c>
      <c r="F116" s="589"/>
      <c r="G116" s="827" t="str">
        <f t="shared" ref="G116:G118" si="80">E116</f>
        <v>N.A</v>
      </c>
      <c r="H116" s="594">
        <f>'TABLA 7 ESTRUCTURA PROGRAMÁTICA'!I87</f>
        <v>1</v>
      </c>
      <c r="I116" s="478" t="str">
        <f t="shared" si="76"/>
        <v>N.A</v>
      </c>
      <c r="J116" s="682" t="str">
        <f t="shared" si="46"/>
        <v>N.A</v>
      </c>
      <c r="K116" s="478">
        <v>0</v>
      </c>
      <c r="L116" s="427" t="str">
        <f t="shared" si="77"/>
        <v>N.A</v>
      </c>
      <c r="M116" s="430" t="str">
        <f t="shared" si="78"/>
        <v>N.A</v>
      </c>
      <c r="N116" s="426">
        <f t="shared" si="79"/>
        <v>0.43160000000000015</v>
      </c>
      <c r="O116" s="1021"/>
      <c r="P116" s="978"/>
      <c r="Q116" s="987"/>
      <c r="R116" s="978"/>
      <c r="S116" s="978"/>
      <c r="T116" s="993"/>
      <c r="U116" s="978"/>
      <c r="V116" s="1045"/>
      <c r="W116" s="1045"/>
      <c r="X116" s="1045"/>
    </row>
    <row r="117" spans="1:26" s="457" customFormat="1">
      <c r="A117" s="1053" t="str">
        <f>'TABLA 7 ESTRUCTURA PROGRAMÁTICA'!D88</f>
        <v>4.5.5 Identificación, control y seguimiento a fuentes fijas de emisión</v>
      </c>
      <c r="B117" s="741" t="str">
        <f>'TABLA 7 ESTRUCTURA PROGRAMÁTICA'!K88</f>
        <v>Estudio realizado</v>
      </c>
      <c r="C117" s="848">
        <f>'TABLA 7 ESTRUCTURA PROGRAMÁTICA'!E88</f>
        <v>0</v>
      </c>
      <c r="D117" s="477">
        <v>0</v>
      </c>
      <c r="E117" s="430" t="str">
        <f t="shared" si="73"/>
        <v>N.A</v>
      </c>
      <c r="F117" s="589"/>
      <c r="G117" s="827" t="str">
        <f t="shared" si="80"/>
        <v>N.A</v>
      </c>
      <c r="H117" s="594">
        <f>'TABLA 7 ESTRUCTURA PROGRAMÁTICA'!I88</f>
        <v>1</v>
      </c>
      <c r="I117" s="478" t="str">
        <f t="shared" si="76"/>
        <v>N.A</v>
      </c>
      <c r="J117" s="682" t="str">
        <f t="shared" si="46"/>
        <v>N.A</v>
      </c>
      <c r="K117" s="478">
        <v>0</v>
      </c>
      <c r="L117" s="427" t="str">
        <f t="shared" si="77"/>
        <v>N.A</v>
      </c>
      <c r="M117" s="430" t="str">
        <f t="shared" si="78"/>
        <v>N.A</v>
      </c>
      <c r="N117" s="426">
        <f t="shared" si="79"/>
        <v>0.43160000000000015</v>
      </c>
      <c r="O117" s="1021"/>
      <c r="P117" s="978"/>
      <c r="Q117" s="987"/>
      <c r="R117" s="978"/>
      <c r="S117" s="978"/>
      <c r="T117" s="993"/>
      <c r="U117" s="978"/>
      <c r="V117" s="1045"/>
      <c r="W117" s="1045"/>
      <c r="X117" s="1045"/>
    </row>
    <row r="118" spans="1:26" s="457" customFormat="1" ht="150" customHeight="1">
      <c r="A118" s="1054"/>
      <c r="B118" s="741" t="str">
        <f>'TABLA 7 ESTRUCTURA PROGRAMÁTICA'!K89</f>
        <v>Control y seguimiento</v>
      </c>
      <c r="C118" s="848">
        <f>'TABLA 7 ESTRUCTURA PROGRAMÁTICA'!E89</f>
        <v>10</v>
      </c>
      <c r="D118" s="477">
        <v>10</v>
      </c>
      <c r="E118" s="430">
        <f t="shared" si="73"/>
        <v>1</v>
      </c>
      <c r="F118" s="683" t="s">
        <v>1255</v>
      </c>
      <c r="G118" s="827">
        <f t="shared" si="80"/>
        <v>1</v>
      </c>
      <c r="H118" s="594">
        <f>'TABLA 7 ESTRUCTURA PROGRAMÁTICA'!I89</f>
        <v>70</v>
      </c>
      <c r="I118" s="478">
        <f t="shared" si="76"/>
        <v>1</v>
      </c>
      <c r="J118" s="682">
        <f t="shared" si="46"/>
        <v>1</v>
      </c>
      <c r="K118" s="478">
        <v>0.05</v>
      </c>
      <c r="L118" s="427">
        <f t="shared" si="77"/>
        <v>0.05</v>
      </c>
      <c r="M118" s="430">
        <f t="shared" si="78"/>
        <v>1.0000000000000002E-3</v>
      </c>
      <c r="N118" s="426">
        <f t="shared" si="79"/>
        <v>0.43260000000000015</v>
      </c>
      <c r="O118" s="1021"/>
      <c r="P118" s="978"/>
      <c r="Q118" s="987"/>
      <c r="R118" s="978"/>
      <c r="S118" s="978"/>
      <c r="T118" s="993"/>
      <c r="U118" s="978"/>
      <c r="V118" s="1045"/>
      <c r="W118" s="1045"/>
      <c r="X118" s="1045"/>
    </row>
    <row r="119" spans="1:26" s="457" customFormat="1" ht="163.5" customHeight="1">
      <c r="A119" s="476" t="str">
        <f>'TABLA 7 ESTRUCTURA PROGRAMÁTICA'!D90</f>
        <v xml:space="preserve">4.5.6 Gestión, comunicación y evaluación interinstitucional de la información de la CA.  </v>
      </c>
      <c r="B119" s="497" t="str">
        <f>'TABLA 7 ESTRUCTURA PROGRAMÁTICA'!K90</f>
        <v xml:space="preserve">SIA de Aire operando con efectividad </v>
      </c>
      <c r="C119" s="848">
        <f>'TABLA 7 ESTRUCTURA PROGRAMÁTICA'!E90</f>
        <v>100</v>
      </c>
      <c r="D119" s="477">
        <v>100</v>
      </c>
      <c r="E119" s="430">
        <f t="shared" si="73"/>
        <v>1</v>
      </c>
      <c r="F119" s="850" t="s">
        <v>1256</v>
      </c>
      <c r="G119" s="828">
        <f>E119</f>
        <v>1</v>
      </c>
      <c r="H119" s="594">
        <f>'TABLA 7 ESTRUCTURA PROGRAMÁTICA'!I90</f>
        <v>100</v>
      </c>
      <c r="I119" s="478">
        <f t="shared" si="76"/>
        <v>1</v>
      </c>
      <c r="J119" s="682">
        <f t="shared" si="46"/>
        <v>1</v>
      </c>
      <c r="K119" s="478">
        <v>0.05</v>
      </c>
      <c r="L119" s="427">
        <f>IF(C119=0,G119,(G119*K119))</f>
        <v>0.05</v>
      </c>
      <c r="M119" s="430">
        <f t="shared" si="78"/>
        <v>1.0000000000000002E-3</v>
      </c>
      <c r="N119" s="426">
        <f t="shared" si="79"/>
        <v>0.43360000000000015</v>
      </c>
      <c r="O119" s="1021"/>
      <c r="P119" s="978"/>
      <c r="Q119" s="987"/>
      <c r="R119" s="978"/>
      <c r="S119" s="978"/>
      <c r="T119" s="993"/>
      <c r="U119" s="978"/>
      <c r="V119" s="1045"/>
      <c r="W119" s="1045"/>
      <c r="X119" s="1045"/>
    </row>
    <row r="120" spans="1:26" s="457" customFormat="1" ht="210">
      <c r="A120" s="476" t="str">
        <f>'TABLA 7 ESTRUCTURA PROGRAMÁTICA'!D91</f>
        <v>4.5.7 Evaluación de las estaciones de monitoreo de CA  de la jurisdicción para verificar cumplimiento a la meta del PND 2018-2022 y/o rediseñar estrategias de prevención y control.</v>
      </c>
      <c r="B120" s="497" t="str">
        <f>'TABLA 7 ESTRUCTURA PROGRAMÁTICA'!K91</f>
        <v>Evaluación/año</v>
      </c>
      <c r="C120" s="848">
        <f>'TABLA 7 ESTRUCTURA PROGRAMÁTICA'!E91</f>
        <v>1</v>
      </c>
      <c r="D120" s="477">
        <v>1</v>
      </c>
      <c r="E120" s="430">
        <f t="shared" si="73"/>
        <v>1</v>
      </c>
      <c r="F120" s="850" t="s">
        <v>1180</v>
      </c>
      <c r="G120" s="828">
        <f>E120</f>
        <v>1</v>
      </c>
      <c r="H120" s="594">
        <f>'TABLA 7 ESTRUCTURA PROGRAMÁTICA'!I91</f>
        <v>4</v>
      </c>
      <c r="I120" s="478">
        <f>G120</f>
        <v>1</v>
      </c>
      <c r="J120" s="682">
        <f t="shared" si="46"/>
        <v>1</v>
      </c>
      <c r="K120" s="478">
        <v>0.1</v>
      </c>
      <c r="L120" s="427">
        <f>IF(C120=0,G120,(G120*K120))</f>
        <v>0.1</v>
      </c>
      <c r="M120" s="430">
        <f t="shared" si="78"/>
        <v>2.0000000000000005E-3</v>
      </c>
      <c r="N120" s="426">
        <f t="shared" si="79"/>
        <v>0.43560000000000015</v>
      </c>
      <c r="O120" s="1021"/>
      <c r="P120" s="978"/>
      <c r="Q120" s="987"/>
      <c r="R120" s="978"/>
      <c r="S120" s="978"/>
      <c r="T120" s="993"/>
      <c r="U120" s="978"/>
      <c r="V120" s="1046"/>
      <c r="W120" s="1046"/>
      <c r="X120" s="1046"/>
    </row>
    <row r="121" spans="1:26" s="457" customFormat="1">
      <c r="A121" s="989" t="s">
        <v>643</v>
      </c>
      <c r="B121" s="990"/>
      <c r="C121" s="990"/>
      <c r="D121" s="990"/>
      <c r="E121" s="990"/>
      <c r="F121" s="991"/>
      <c r="G121" s="407"/>
      <c r="H121" s="416"/>
      <c r="I121" s="419"/>
      <c r="J121" s="682">
        <f t="shared" si="46"/>
        <v>0</v>
      </c>
      <c r="K121" s="761"/>
      <c r="L121" s="429">
        <f>SUM(L112:L120)</f>
        <v>1.0000000000000002</v>
      </c>
      <c r="M121" s="430"/>
      <c r="N121" s="426"/>
      <c r="O121" s="799"/>
      <c r="P121" s="501"/>
      <c r="Q121" s="502"/>
      <c r="R121" s="503"/>
      <c r="S121" s="482"/>
      <c r="T121" s="420"/>
      <c r="U121" s="504"/>
      <c r="V121" s="813"/>
      <c r="W121" s="422"/>
      <c r="X121" s="422"/>
    </row>
    <row r="122" spans="1:26" s="424" customFormat="1" ht="90">
      <c r="A122" s="458" t="str">
        <f>'TABLA 7 ESTRUCTURA PROGRAMÁTICA'!B93</f>
        <v>5.               PROTECCION DE LA BIODIVERSIDAD PARA sostenibilidad de servicios ecosistèmicos y  SUSTENTABILIDAD DEL DESARROLLO</v>
      </c>
      <c r="B122" s="753"/>
      <c r="C122" s="469"/>
      <c r="D122" s="470"/>
      <c r="E122" s="433"/>
      <c r="F122" s="436"/>
      <c r="G122" s="409"/>
      <c r="H122" s="441"/>
      <c r="I122" s="441"/>
      <c r="J122" s="441"/>
      <c r="K122" s="444">
        <v>0.1</v>
      </c>
      <c r="L122" s="445"/>
      <c r="M122" s="433"/>
      <c r="N122" s="484"/>
      <c r="O122" s="785"/>
      <c r="P122" s="484"/>
      <c r="Q122" s="484"/>
      <c r="R122" s="485"/>
      <c r="S122" s="485"/>
      <c r="T122" s="444"/>
      <c r="U122" s="486"/>
      <c r="V122" s="812"/>
      <c r="W122" s="422"/>
      <c r="X122" s="422"/>
      <c r="Y122" s="457"/>
      <c r="Z122" s="457"/>
    </row>
    <row r="123" spans="1:26" s="459" customFormat="1" ht="150">
      <c r="A123" s="462" t="str">
        <f>'TABLA 7 ESTRUCTURA PROGRAMÁTICA'!C93</f>
        <v xml:space="preserve">5.1 Gestión e implementación de estrategias para la recuperación y conservación de la flora y fauna en el Departamento del Cesar, en armonía con el proyecto 1.2 
</v>
      </c>
      <c r="B123" s="410"/>
      <c r="C123" s="471"/>
      <c r="D123" s="414"/>
      <c r="E123" s="429">
        <f>E124*$K$124+E125*$K$125+E126*$K$126+E129*$K$129+E130*$K$130</f>
        <v>0.93181818181818188</v>
      </c>
      <c r="F123" s="359"/>
      <c r="G123" s="429">
        <f>G124*$K$124+G125*$K$125+G126*$K$126+G129*$K$129+G130*$K$130</f>
        <v>0.93181818181818188</v>
      </c>
      <c r="H123" s="357"/>
      <c r="I123" s="357"/>
      <c r="J123" s="357"/>
      <c r="K123" s="415">
        <v>0.2</v>
      </c>
      <c r="L123" s="428"/>
      <c r="M123" s="429"/>
      <c r="N123" s="487"/>
      <c r="O123" s="358"/>
      <c r="P123" s="487"/>
      <c r="Q123" s="487"/>
      <c r="R123" s="488"/>
      <c r="S123" s="488"/>
      <c r="T123" s="415"/>
      <c r="U123" s="489"/>
      <c r="V123" s="812"/>
      <c r="W123" s="422"/>
      <c r="X123" s="422"/>
      <c r="Y123" s="457"/>
      <c r="Z123" s="457"/>
    </row>
    <row r="124" spans="1:26" s="457" customFormat="1" ht="150">
      <c r="A124" s="476" t="str">
        <f>'TABLA 7 ESTRUCTURA PROGRAMÁTICA'!D93</f>
        <v xml:space="preserve">5.1.1 Acciones para la implementación de Proyectos de PSA en áreas de interés en el marco del Programa Nacional de PSA. (meta nacional: 260.000 Ha PSA) </v>
      </c>
      <c r="B124" s="741" t="str">
        <f>'TABLA 7 ESTRUCTURA PROGRAMÁTICA'!K93</f>
        <v xml:space="preserve">Acciones coordinadas  </v>
      </c>
      <c r="C124" s="820">
        <f>'TABLA 7 ESTRUCTURA PROGRAMÁTICA'!E93</f>
        <v>1</v>
      </c>
      <c r="D124" s="477">
        <v>1</v>
      </c>
      <c r="E124" s="430">
        <f t="shared" ref="E124:E130" si="81">IF(C124=0,"N.A",(D124/C124)*1)</f>
        <v>1</v>
      </c>
      <c r="F124" s="423" t="s">
        <v>1257</v>
      </c>
      <c r="G124" s="825">
        <f>E124</f>
        <v>1</v>
      </c>
      <c r="H124" s="442">
        <f>'TABLA 7 ESTRUCTURA PROGRAMÁTICA'!I93</f>
        <v>4</v>
      </c>
      <c r="I124" s="478">
        <f>G124</f>
        <v>1</v>
      </c>
      <c r="J124" s="682">
        <f t="shared" si="46"/>
        <v>1</v>
      </c>
      <c r="K124" s="478">
        <v>0.1</v>
      </c>
      <c r="L124" s="427">
        <f>IF(C124=0,G124,(G124*K124))</f>
        <v>0.1</v>
      </c>
      <c r="M124" s="430">
        <f>IF(L124="N.A","N.A",L124*$K$122*$K$123)</f>
        <v>2.0000000000000005E-3</v>
      </c>
      <c r="N124" s="426">
        <f>(IF(M124="N.A",0,M124))+N120</f>
        <v>0.43760000000000016</v>
      </c>
      <c r="O124" s="1064">
        <v>300000000</v>
      </c>
      <c r="P124" s="977">
        <v>67400000</v>
      </c>
      <c r="Q124" s="986">
        <f>P124/O124</f>
        <v>0.22466666666666665</v>
      </c>
      <c r="R124" s="977">
        <f>O124</f>
        <v>300000000</v>
      </c>
      <c r="S124" s="977">
        <f>P124</f>
        <v>67400000</v>
      </c>
      <c r="T124" s="992">
        <f>Q124</f>
        <v>0.22466666666666665</v>
      </c>
      <c r="U124" s="977"/>
      <c r="V124" s="1044" t="s">
        <v>1115</v>
      </c>
      <c r="W124" s="1044" t="s">
        <v>1145</v>
      </c>
      <c r="X124" s="1044" t="s">
        <v>1123</v>
      </c>
    </row>
    <row r="125" spans="1:26" s="457" customFormat="1" ht="90">
      <c r="A125" s="1053" t="str">
        <f>'TABLA 7 ESTRUCTURA PROGRAMÁTICA'!D94</f>
        <v xml:space="preserve">5.1.2 Gestión de  Áreas bajo esquemas de Pagos por Servicios Ambientales (PSA) e incentivos a la conservación: fortalecimiento de capacidades, instrumentación jurídica, gestión y articulación institucional, evaluación y seguimiento, y sostenibilidad financiera. </v>
      </c>
      <c r="B125" s="741" t="str">
        <f>'TABLA 7 ESTRUCTURA PROGRAMÁTICA'!K94</f>
        <v>Áreas bajo esquemas de PSA e incentivos a la conservación</v>
      </c>
      <c r="C125" s="820">
        <f>'TABLA 7 ESTRUCTURA PROGRAMÁTICA'!E94</f>
        <v>5</v>
      </c>
      <c r="D125" s="681">
        <v>30</v>
      </c>
      <c r="E125" s="430">
        <v>1</v>
      </c>
      <c r="F125" s="995" t="s">
        <v>1215</v>
      </c>
      <c r="G125" s="825">
        <f t="shared" ref="G125:G130" si="82">E125</f>
        <v>1</v>
      </c>
      <c r="H125" s="594">
        <f>'TABLA 7 ESTRUCTURA PROGRAMÁTICA'!I94</f>
        <v>60</v>
      </c>
      <c r="I125" s="478">
        <f t="shared" ref="I125:I130" si="83">E125</f>
        <v>1</v>
      </c>
      <c r="J125" s="682">
        <f t="shared" si="46"/>
        <v>1</v>
      </c>
      <c r="K125" s="478">
        <v>0.2</v>
      </c>
      <c r="L125" s="427">
        <f t="shared" ref="L125:L130" si="84">IF(C125=0,E125,(E125*K125))</f>
        <v>0.2</v>
      </c>
      <c r="M125" s="430">
        <f t="shared" ref="M125:M130" si="85">IF(L125="N.A","N.A",L125*$K$122*$K$123)</f>
        <v>4.000000000000001E-3</v>
      </c>
      <c r="N125" s="426">
        <f>(IF(M125="N.A",0,M125))+N124</f>
        <v>0.44160000000000016</v>
      </c>
      <c r="O125" s="1065"/>
      <c r="P125" s="978"/>
      <c r="Q125" s="987"/>
      <c r="R125" s="978"/>
      <c r="S125" s="978"/>
      <c r="T125" s="993"/>
      <c r="U125" s="978"/>
      <c r="V125" s="1045"/>
      <c r="W125" s="1045"/>
      <c r="X125" s="1045"/>
    </row>
    <row r="126" spans="1:26" s="457" customFormat="1" ht="96" customHeight="1">
      <c r="A126" s="1054"/>
      <c r="B126" s="741" t="str">
        <f>'TABLA 7 ESTRUCTURA PROGRAMÁTICA'!K95</f>
        <v>PSA en sistemas productivos</v>
      </c>
      <c r="C126" s="820">
        <f>'TABLA 7 ESTRUCTURA PROGRAMÁTICA'!E95</f>
        <v>1</v>
      </c>
      <c r="D126" s="477">
        <v>30</v>
      </c>
      <c r="E126" s="430">
        <v>1</v>
      </c>
      <c r="F126" s="996"/>
      <c r="G126" s="825">
        <f t="shared" si="82"/>
        <v>1</v>
      </c>
      <c r="H126" s="594">
        <f>'TABLA 7 ESTRUCTURA PROGRAMÁTICA'!I95</f>
        <v>7</v>
      </c>
      <c r="I126" s="478">
        <f t="shared" si="83"/>
        <v>1</v>
      </c>
      <c r="J126" s="682">
        <f t="shared" si="46"/>
        <v>1</v>
      </c>
      <c r="K126" s="478">
        <v>0.2</v>
      </c>
      <c r="L126" s="427">
        <f t="shared" si="84"/>
        <v>0.2</v>
      </c>
      <c r="M126" s="430">
        <f t="shared" si="85"/>
        <v>4.000000000000001E-3</v>
      </c>
      <c r="N126" s="426">
        <f t="shared" ref="N126:N130" si="86">(IF(M126="N.A",0,M126))+N125</f>
        <v>0.44560000000000016</v>
      </c>
      <c r="O126" s="1065"/>
      <c r="P126" s="978"/>
      <c r="Q126" s="987"/>
      <c r="R126" s="978"/>
      <c r="S126" s="978"/>
      <c r="T126" s="993"/>
      <c r="U126" s="978"/>
      <c r="V126" s="1045"/>
      <c r="W126" s="1045"/>
      <c r="X126" s="1045"/>
    </row>
    <row r="127" spans="1:26" s="457" customFormat="1" ht="156" customHeight="1">
      <c r="A127" s="589" t="str">
        <f>'TABLA 7 ESTRUCTURA PROGRAMÁTICA'!D96</f>
        <v>5.1.3 Implementación de estrategia enfocada a la bioeconomía para la sostenibilidad productiva en el uso de los recursos naturales (conservación de los ecosistemas estratégicos en armonía con el proyecto 1.1)</v>
      </c>
      <c r="B127" s="741" t="str">
        <f>'TABLA 7 ESTRUCTURA PROGRAMÁTICA'!K96</f>
        <v>Lineamientos estratégicos sostenibles formulados y con seguimiento y evaluación</v>
      </c>
      <c r="C127" s="820">
        <f>'TABLA 7 ESTRUCTURA PROGRAMÁTICA'!E96</f>
        <v>0</v>
      </c>
      <c r="D127" s="477">
        <v>0</v>
      </c>
      <c r="E127" s="430" t="str">
        <f t="shared" si="81"/>
        <v>N.A</v>
      </c>
      <c r="F127" s="589" t="s">
        <v>1103</v>
      </c>
      <c r="G127" s="825" t="str">
        <f t="shared" si="82"/>
        <v>N.A</v>
      </c>
      <c r="H127" s="594">
        <f>'TABLA 7 ESTRUCTURA PROGRAMÁTICA'!I96</f>
        <v>1</v>
      </c>
      <c r="I127" s="478" t="str">
        <f t="shared" si="83"/>
        <v>N.A</v>
      </c>
      <c r="J127" s="682" t="str">
        <f t="shared" si="46"/>
        <v>N.A</v>
      </c>
      <c r="K127" s="478">
        <v>0</v>
      </c>
      <c r="L127" s="427" t="str">
        <f t="shared" si="84"/>
        <v>N.A</v>
      </c>
      <c r="M127" s="430" t="str">
        <f t="shared" si="85"/>
        <v>N.A</v>
      </c>
      <c r="N127" s="426">
        <f t="shared" si="86"/>
        <v>0.44560000000000016</v>
      </c>
      <c r="O127" s="1065"/>
      <c r="P127" s="978"/>
      <c r="Q127" s="987"/>
      <c r="R127" s="978"/>
      <c r="S127" s="978"/>
      <c r="T127" s="993"/>
      <c r="U127" s="978"/>
      <c r="V127" s="1045"/>
      <c r="W127" s="1045"/>
      <c r="X127" s="1045"/>
    </row>
    <row r="128" spans="1:26" s="457" customFormat="1" ht="60">
      <c r="A128" s="476" t="str">
        <f>'TABLA 7 ESTRUCTURA PROGRAMÁTICA'!D97</f>
        <v>5.1.4 Formulación e implementación del Plan Departamental de Negocios Verdes</v>
      </c>
      <c r="B128" s="741" t="str">
        <f>'TABLA 7 ESTRUCTURA PROGRAMÁTICA'!K97</f>
        <v>Plan formulado e implementado</v>
      </c>
      <c r="C128" s="820">
        <f>'TABLA 7 ESTRUCTURA PROGRAMÁTICA'!E97</f>
        <v>0</v>
      </c>
      <c r="D128" s="477">
        <v>0</v>
      </c>
      <c r="E128" s="430" t="str">
        <f t="shared" si="81"/>
        <v>N.A</v>
      </c>
      <c r="F128" s="589" t="s">
        <v>1103</v>
      </c>
      <c r="G128" s="825" t="str">
        <f t="shared" si="82"/>
        <v>N.A</v>
      </c>
      <c r="H128" s="594">
        <f>'TABLA 7 ESTRUCTURA PROGRAMÁTICA'!I97</f>
        <v>1</v>
      </c>
      <c r="I128" s="478" t="str">
        <f t="shared" si="83"/>
        <v>N.A</v>
      </c>
      <c r="J128" s="682" t="str">
        <f t="shared" si="46"/>
        <v>N.A</v>
      </c>
      <c r="K128" s="478">
        <v>0</v>
      </c>
      <c r="L128" s="427" t="str">
        <f t="shared" si="84"/>
        <v>N.A</v>
      </c>
      <c r="M128" s="430" t="str">
        <f t="shared" si="85"/>
        <v>N.A</v>
      </c>
      <c r="N128" s="426">
        <f t="shared" si="86"/>
        <v>0.44560000000000016</v>
      </c>
      <c r="O128" s="1065"/>
      <c r="P128" s="978"/>
      <c r="Q128" s="987"/>
      <c r="R128" s="978"/>
      <c r="S128" s="978"/>
      <c r="T128" s="993"/>
      <c r="U128" s="978"/>
      <c r="V128" s="1045"/>
      <c r="W128" s="1045"/>
      <c r="X128" s="1045"/>
    </row>
    <row r="129" spans="1:26" s="457" customFormat="1" ht="135" customHeight="1">
      <c r="A129" s="1053" t="str">
        <f>'TABLA 7 ESTRUCTURA PROGRAMÁTICA'!D98</f>
        <v xml:space="preserve">5.1.5 Implementación y/o fortalecimiento  de las ventanillas de negocios verdes y articulación con los incentivos  existentes. </v>
      </c>
      <c r="B129" s="741" t="str">
        <f>'TABLA 7 ESTRUCTURA PROGRAMÁTICA'!K98</f>
        <v>Negocios verdes identificados y verificados (meta MADS: 1.865 negocios)</v>
      </c>
      <c r="C129" s="820">
        <f>'TABLA 7 ESTRUCTURA PROGRAMÁTICA'!E98</f>
        <v>11</v>
      </c>
      <c r="D129" s="477">
        <v>8</v>
      </c>
      <c r="E129" s="430">
        <f t="shared" si="81"/>
        <v>0.72727272727272729</v>
      </c>
      <c r="F129" s="589" t="s">
        <v>1217</v>
      </c>
      <c r="G129" s="825">
        <f t="shared" si="82"/>
        <v>0.72727272727272729</v>
      </c>
      <c r="H129" s="594">
        <f>'TABLA 7 ESTRUCTURA PROGRAMÁTICA'!I98</f>
        <v>59</v>
      </c>
      <c r="I129" s="478">
        <f t="shared" si="83"/>
        <v>0.72727272727272729</v>
      </c>
      <c r="J129" s="682">
        <f t="shared" si="46"/>
        <v>0.72727272727272729</v>
      </c>
      <c r="K129" s="478">
        <v>0.25</v>
      </c>
      <c r="L129" s="427">
        <f t="shared" si="84"/>
        <v>0.18181818181818182</v>
      </c>
      <c r="M129" s="430">
        <f t="shared" si="85"/>
        <v>3.6363636363636372E-3</v>
      </c>
      <c r="N129" s="426">
        <f t="shared" si="86"/>
        <v>0.44923636363636382</v>
      </c>
      <c r="O129" s="1065"/>
      <c r="P129" s="978"/>
      <c r="Q129" s="987"/>
      <c r="R129" s="978"/>
      <c r="S129" s="978"/>
      <c r="T129" s="993"/>
      <c r="U129" s="978"/>
      <c r="V129" s="1045"/>
      <c r="W129" s="1045"/>
      <c r="X129" s="1045"/>
    </row>
    <row r="130" spans="1:26" s="457" customFormat="1" ht="150">
      <c r="A130" s="1054"/>
      <c r="B130" s="741" t="str">
        <f>'TABLA 7 ESTRUCTURA PROGRAMÁTICA'!K99</f>
        <v xml:space="preserve">Negocios verdes apoyados </v>
      </c>
      <c r="C130" s="820">
        <f>'TABLA 7 ESTRUCTURA PROGRAMÁTICA'!E99</f>
        <v>1</v>
      </c>
      <c r="D130" s="477">
        <v>1</v>
      </c>
      <c r="E130" s="430">
        <f t="shared" si="81"/>
        <v>1</v>
      </c>
      <c r="F130" s="589" t="s">
        <v>1218</v>
      </c>
      <c r="G130" s="825">
        <f t="shared" si="82"/>
        <v>1</v>
      </c>
      <c r="H130" s="594">
        <f>'TABLA 7 ESTRUCTURA PROGRAMÁTICA'!I99</f>
        <v>4</v>
      </c>
      <c r="I130" s="478">
        <f t="shared" si="83"/>
        <v>1</v>
      </c>
      <c r="J130" s="682">
        <f t="shared" si="46"/>
        <v>1</v>
      </c>
      <c r="K130" s="478">
        <v>0.25</v>
      </c>
      <c r="L130" s="427">
        <f t="shared" si="84"/>
        <v>0.25</v>
      </c>
      <c r="M130" s="430">
        <f t="shared" si="85"/>
        <v>5.000000000000001E-3</v>
      </c>
      <c r="N130" s="426">
        <f t="shared" si="86"/>
        <v>0.45423636363636383</v>
      </c>
      <c r="O130" s="1066"/>
      <c r="P130" s="978"/>
      <c r="Q130" s="987"/>
      <c r="R130" s="978"/>
      <c r="S130" s="978"/>
      <c r="T130" s="993"/>
      <c r="U130" s="978"/>
      <c r="V130" s="1046"/>
      <c r="W130" s="1046"/>
      <c r="X130" s="1046"/>
    </row>
    <row r="131" spans="1:26" s="457" customFormat="1">
      <c r="A131" s="989" t="s">
        <v>643</v>
      </c>
      <c r="B131" s="990"/>
      <c r="C131" s="990"/>
      <c r="D131" s="990"/>
      <c r="E131" s="990"/>
      <c r="F131" s="991"/>
      <c r="G131" s="407"/>
      <c r="H131" s="416"/>
      <c r="I131" s="419"/>
      <c r="J131" s="682">
        <f t="shared" si="46"/>
        <v>0</v>
      </c>
      <c r="K131" s="761"/>
      <c r="L131" s="429">
        <f>SUM(L124:L130)</f>
        <v>0.93181818181818188</v>
      </c>
      <c r="M131" s="430"/>
      <c r="N131" s="426"/>
      <c r="O131" s="799"/>
      <c r="P131" s="501"/>
      <c r="Q131" s="502"/>
      <c r="R131" s="503"/>
      <c r="S131" s="482"/>
      <c r="T131" s="420"/>
      <c r="U131" s="504"/>
      <c r="V131" s="813"/>
      <c r="W131" s="422"/>
      <c r="X131" s="422"/>
    </row>
    <row r="132" spans="1:26" s="424" customFormat="1" ht="90">
      <c r="A132" s="458" t="str">
        <f>A122</f>
        <v>5.               PROTECCION DE LA BIODIVERSIDAD PARA sostenibilidad de servicios ecosistèmicos y  SUSTENTABILIDAD DEL DESARROLLO</v>
      </c>
      <c r="B132" s="753"/>
      <c r="C132" s="469"/>
      <c r="D132" s="470"/>
      <c r="E132" s="433"/>
      <c r="F132" s="436"/>
      <c r="G132" s="409"/>
      <c r="H132" s="441"/>
      <c r="I132" s="441"/>
      <c r="J132" s="441"/>
      <c r="K132" s="444">
        <v>0.1</v>
      </c>
      <c r="L132" s="445"/>
      <c r="M132" s="433"/>
      <c r="N132" s="484"/>
      <c r="O132" s="785"/>
      <c r="P132" s="484"/>
      <c r="Q132" s="484"/>
      <c r="R132" s="485"/>
      <c r="S132" s="485"/>
      <c r="T132" s="444"/>
      <c r="U132" s="486"/>
      <c r="V132" s="812"/>
      <c r="W132" s="422"/>
      <c r="X132" s="422"/>
      <c r="Y132" s="457"/>
      <c r="Z132" s="457"/>
    </row>
    <row r="133" spans="1:26" s="459" customFormat="1" ht="120">
      <c r="A133" s="462" t="str">
        <f>'TABLA 7 ESTRUCTURA PROGRAMÁTICA'!C101</f>
        <v>5.2 Implementación de la estrategia de control integral en los núcleos de deforestación priorizados en el Cesar, (en coordinación institucional con el MADS).</v>
      </c>
      <c r="B133" s="410"/>
      <c r="C133" s="471"/>
      <c r="D133" s="414"/>
      <c r="E133" s="429">
        <f>E134*$K134+E135*$K135+E137*$K137+E141*$K141</f>
        <v>0.82</v>
      </c>
      <c r="F133" s="359"/>
      <c r="G133" s="429">
        <f>G134*$K134+G135*$K135+G137*$K137+G141*$K141</f>
        <v>0.82</v>
      </c>
      <c r="H133" s="357"/>
      <c r="I133" s="357"/>
      <c r="J133" s="429">
        <f>J134*$K134+J135*$K135+J137*$K137+J141*$K141</f>
        <v>0.82</v>
      </c>
      <c r="K133" s="415">
        <v>0.2</v>
      </c>
      <c r="L133" s="428"/>
      <c r="M133" s="429"/>
      <c r="N133" s="487"/>
      <c r="O133" s="358"/>
      <c r="P133" s="487"/>
      <c r="Q133" s="487"/>
      <c r="R133" s="488"/>
      <c r="S133" s="488"/>
      <c r="T133" s="415"/>
      <c r="U133" s="489"/>
      <c r="V133" s="812"/>
      <c r="W133" s="422"/>
      <c r="X133" s="422"/>
      <c r="Y133" s="457"/>
      <c r="Z133" s="457"/>
    </row>
    <row r="134" spans="1:26" s="457" customFormat="1" ht="270">
      <c r="A134" s="463" t="str">
        <f>'TABLA 7 ESTRUCTURA PROGRAMÁTICA'!D101</f>
        <v>5.2.1 Apoyo al IDEAM en monitoreo y seguimiento a los agentes y causas de deforestación</v>
      </c>
      <c r="B134" s="741" t="str">
        <f>'TABLA 7 ESTRUCTURA PROGRAMÁTICA'!K101</f>
        <v xml:space="preserve">Participación requerida apoyada </v>
      </c>
      <c r="C134" s="820">
        <f>'TABLA 7 ESTRUCTURA PROGRAMÁTICA'!E101</f>
        <v>100</v>
      </c>
      <c r="D134" s="681">
        <v>40</v>
      </c>
      <c r="E134" s="682">
        <f t="shared" ref="E134:E140" si="87">IF(C134=0,"N.A",(D134/C134)*1)</f>
        <v>0.4</v>
      </c>
      <c r="F134" s="683" t="s">
        <v>1216</v>
      </c>
      <c r="G134" s="825">
        <f>E134</f>
        <v>0.4</v>
      </c>
      <c r="H134" s="417">
        <f>'TABLA 7 ESTRUCTURA PROGRAMÁTICA'!I101</f>
        <v>100</v>
      </c>
      <c r="I134" s="478">
        <f>E134</f>
        <v>0.4</v>
      </c>
      <c r="J134" s="682">
        <f t="shared" si="46"/>
        <v>0.4</v>
      </c>
      <c r="K134" s="478">
        <v>0.3</v>
      </c>
      <c r="L134" s="427">
        <f>IF(C134=0,E134,(E134*K34))</f>
        <v>0.12</v>
      </c>
      <c r="M134" s="430">
        <f>IF(L134="N.A","N.A",L134*$K$193*$K$194)</f>
        <v>0</v>
      </c>
      <c r="N134" s="426">
        <f>(IF(M134="N.A",0,M134))+N130</f>
        <v>0.45423636363636383</v>
      </c>
      <c r="O134" s="1020">
        <v>150000000</v>
      </c>
      <c r="P134" s="977">
        <v>150000000</v>
      </c>
      <c r="Q134" s="986">
        <f>P134/O134</f>
        <v>1</v>
      </c>
      <c r="R134" s="977">
        <f>O134</f>
        <v>150000000</v>
      </c>
      <c r="S134" s="977">
        <f>P134</f>
        <v>150000000</v>
      </c>
      <c r="T134" s="992">
        <f>Q134</f>
        <v>1</v>
      </c>
      <c r="U134" s="977"/>
      <c r="V134" s="1044" t="s">
        <v>1115</v>
      </c>
      <c r="W134" s="1044" t="s">
        <v>1146</v>
      </c>
      <c r="X134" s="1044" t="s">
        <v>1123</v>
      </c>
    </row>
    <row r="135" spans="1:26" s="457" customFormat="1" ht="131.25" customHeight="1">
      <c r="A135" s="1062" t="str">
        <f>'TABLA 7 ESTRUCTURA PROGRAMÁTICA'!D102</f>
        <v>5.2.2 Formulación  conjunta con el MADS, de portafolio de proyectos en núcleos activos de deforestación, y gestión e implementación.</v>
      </c>
      <c r="B135" s="741" t="str">
        <f>'TABLA 7 ESTRUCTURA PROGRAMÁTICA'!K102</f>
        <v>Portafolio de proyectos coordinado y formulado</v>
      </c>
      <c r="C135" s="820">
        <f>'TABLA 7 ESTRUCTURA PROGRAMÁTICA'!E102</f>
        <v>1</v>
      </c>
      <c r="D135" s="681">
        <v>1</v>
      </c>
      <c r="E135" s="682">
        <f t="shared" si="87"/>
        <v>1</v>
      </c>
      <c r="F135" s="683" t="s">
        <v>1249</v>
      </c>
      <c r="G135" s="825">
        <f t="shared" ref="G135:G141" si="88">E135</f>
        <v>1</v>
      </c>
      <c r="H135" s="417">
        <f>'TABLA 7 ESTRUCTURA PROGRAMÁTICA'!I102</f>
        <v>1</v>
      </c>
      <c r="I135" s="478">
        <f t="shared" ref="I135:I141" si="89">E135</f>
        <v>1</v>
      </c>
      <c r="J135" s="682">
        <f t="shared" si="46"/>
        <v>1</v>
      </c>
      <c r="K135" s="478">
        <v>0.3</v>
      </c>
      <c r="L135" s="427">
        <f t="shared" ref="L135:L140" si="90">IF(C135=0,E135,(E135*K35))</f>
        <v>0.5</v>
      </c>
      <c r="M135" s="430">
        <f t="shared" ref="M135:M141" si="91">IF(L135="N.A","N.A",L135*$K$193*$K$194)</f>
        <v>0</v>
      </c>
      <c r="N135" s="426">
        <f>(IF(M135="N.A",0,M135))+N134</f>
        <v>0.45423636363636383</v>
      </c>
      <c r="O135" s="1021"/>
      <c r="P135" s="978"/>
      <c r="Q135" s="987"/>
      <c r="R135" s="978"/>
      <c r="S135" s="978"/>
      <c r="T135" s="993"/>
      <c r="U135" s="978"/>
      <c r="V135" s="1045"/>
      <c r="W135" s="1045"/>
      <c r="X135" s="1045"/>
    </row>
    <row r="136" spans="1:26" s="457" customFormat="1">
      <c r="A136" s="1063"/>
      <c r="B136" s="741" t="str">
        <f>'TABLA 7 ESTRUCTURA PROGRAMÁTICA'!K103</f>
        <v>Proyectos gestionados</v>
      </c>
      <c r="C136" s="820">
        <f>'TABLA 7 ESTRUCTURA PROGRAMÁTICA'!E103</f>
        <v>0</v>
      </c>
      <c r="D136" s="684">
        <v>0</v>
      </c>
      <c r="E136" s="682" t="str">
        <f t="shared" si="87"/>
        <v>N.A</v>
      </c>
      <c r="F136" s="683" t="s">
        <v>1103</v>
      </c>
      <c r="G136" s="825" t="str">
        <f t="shared" si="88"/>
        <v>N.A</v>
      </c>
      <c r="H136" s="417">
        <f>'TABLA 7 ESTRUCTURA PROGRAMÁTICA'!I103</f>
        <v>3</v>
      </c>
      <c r="I136" s="478" t="str">
        <f t="shared" si="89"/>
        <v>N.A</v>
      </c>
      <c r="J136" s="682" t="str">
        <f t="shared" si="46"/>
        <v>N.A</v>
      </c>
      <c r="K136" s="478">
        <v>0</v>
      </c>
      <c r="L136" s="427" t="str">
        <f t="shared" si="90"/>
        <v>N.A</v>
      </c>
      <c r="M136" s="430" t="str">
        <f t="shared" si="91"/>
        <v>N.A</v>
      </c>
      <c r="N136" s="426">
        <f t="shared" ref="N136:N141" si="92">(IF(M136="N.A",0,M136))+N135</f>
        <v>0.45423636363636383</v>
      </c>
      <c r="O136" s="1021"/>
      <c r="P136" s="978"/>
      <c r="Q136" s="987"/>
      <c r="R136" s="978"/>
      <c r="S136" s="978"/>
      <c r="T136" s="993"/>
      <c r="U136" s="978"/>
      <c r="V136" s="1045"/>
      <c r="W136" s="1045"/>
      <c r="X136" s="1045"/>
    </row>
    <row r="137" spans="1:26" s="457" customFormat="1" ht="240">
      <c r="A137" s="1060" t="str">
        <f>'TABLA 7 ESTRUCTURA PROGRAMÁTICA'!D104</f>
        <v>5.2.3 Desarrollo de acciones de prevención y control  a la deforestación</v>
      </c>
      <c r="B137" s="741" t="str">
        <f>'TABLA 7 ESTRUCTURA PROGRAMÁTICA'!K104</f>
        <v>Participación requerida en la actualización del marco regulatorio asociado al manejo forestal sostenible</v>
      </c>
      <c r="C137" s="820">
        <f>'TABLA 7 ESTRUCTURA PROGRAMÁTICA'!E104</f>
        <v>100</v>
      </c>
      <c r="D137" s="684">
        <v>100</v>
      </c>
      <c r="E137" s="682">
        <f t="shared" si="87"/>
        <v>1</v>
      </c>
      <c r="F137" s="836" t="s">
        <v>1251</v>
      </c>
      <c r="G137" s="825">
        <f t="shared" si="88"/>
        <v>1</v>
      </c>
      <c r="H137" s="417">
        <f>'TABLA 7 ESTRUCTURA PROGRAMÁTICA'!I104</f>
        <v>100</v>
      </c>
      <c r="I137" s="478">
        <f t="shared" si="89"/>
        <v>1</v>
      </c>
      <c r="J137" s="682">
        <f t="shared" si="46"/>
        <v>1</v>
      </c>
      <c r="K137" s="478">
        <v>0.3</v>
      </c>
      <c r="L137" s="427">
        <f t="shared" si="90"/>
        <v>0</v>
      </c>
      <c r="M137" s="430">
        <f t="shared" si="91"/>
        <v>0</v>
      </c>
      <c r="N137" s="426">
        <f t="shared" si="92"/>
        <v>0.45423636363636383</v>
      </c>
      <c r="O137" s="1021"/>
      <c r="P137" s="978"/>
      <c r="Q137" s="987"/>
      <c r="R137" s="978"/>
      <c r="S137" s="978"/>
      <c r="T137" s="993"/>
      <c r="U137" s="978"/>
      <c r="V137" s="1045"/>
      <c r="W137" s="1045"/>
      <c r="X137" s="1045"/>
    </row>
    <row r="138" spans="1:26" s="457" customFormat="1" ht="130.5" customHeight="1">
      <c r="A138" s="1061"/>
      <c r="B138" s="741" t="str">
        <f>'TABLA 7 ESTRUCTURA PROGRAMÁTICA'!K105</f>
        <v>Avance de Instrumentos de control (SUN-L, Libro de Operaciones) implementado/año</v>
      </c>
      <c r="C138" s="820">
        <f>'TABLA 7 ESTRUCTURA PROGRAMÁTICA'!E105</f>
        <v>0</v>
      </c>
      <c r="D138" s="681">
        <v>0</v>
      </c>
      <c r="E138" s="682" t="str">
        <f t="shared" si="87"/>
        <v>N.A</v>
      </c>
      <c r="F138" s="683" t="s">
        <v>1103</v>
      </c>
      <c r="G138" s="825" t="str">
        <f t="shared" si="88"/>
        <v>N.A</v>
      </c>
      <c r="H138" s="417">
        <f>'TABLA 7 ESTRUCTURA PROGRAMÁTICA'!I105</f>
        <v>100</v>
      </c>
      <c r="I138" s="478" t="str">
        <f t="shared" si="89"/>
        <v>N.A</v>
      </c>
      <c r="J138" s="682" t="str">
        <f t="shared" ref="J138:J201" si="93">I138</f>
        <v>N.A</v>
      </c>
      <c r="K138" s="478">
        <v>0</v>
      </c>
      <c r="L138" s="427" t="str">
        <f t="shared" si="90"/>
        <v>N.A</v>
      </c>
      <c r="M138" s="430" t="str">
        <f t="shared" si="91"/>
        <v>N.A</v>
      </c>
      <c r="N138" s="426">
        <f t="shared" si="92"/>
        <v>0.45423636363636383</v>
      </c>
      <c r="O138" s="1021"/>
      <c r="P138" s="978"/>
      <c r="Q138" s="987"/>
      <c r="R138" s="978"/>
      <c r="S138" s="978"/>
      <c r="T138" s="993"/>
      <c r="U138" s="978"/>
      <c r="V138" s="1045"/>
      <c r="W138" s="1045"/>
      <c r="X138" s="1045"/>
    </row>
    <row r="139" spans="1:26" s="457" customFormat="1" ht="90">
      <c r="A139" s="833" t="str">
        <f>'TABLA 7 ESTRUCTURA PROGRAMÁTICA'!D106</f>
        <v xml:space="preserve">5.2.4 Ajuste e Implementación de acciones prioritarias  del POF del Cesar  (armonía con actividad 5.2.2 y 5.2.5) </v>
      </c>
      <c r="B139" s="741" t="str">
        <f>'TABLA 7 ESTRUCTURA PROGRAMÁTICA'!K106</f>
        <v>Acciones implementadas</v>
      </c>
      <c r="C139" s="820">
        <f>'TABLA 7 ESTRUCTURA PROGRAMÁTICA'!E106</f>
        <v>0</v>
      </c>
      <c r="D139" s="681">
        <v>0</v>
      </c>
      <c r="E139" s="682" t="str">
        <f t="shared" si="87"/>
        <v>N.A</v>
      </c>
      <c r="F139" s="683" t="s">
        <v>1103</v>
      </c>
      <c r="G139" s="825" t="str">
        <f t="shared" si="88"/>
        <v>N.A</v>
      </c>
      <c r="H139" s="417">
        <f>'TABLA 7 ESTRUCTURA PROGRAMÁTICA'!I106</f>
        <v>3</v>
      </c>
      <c r="I139" s="478" t="str">
        <f t="shared" si="89"/>
        <v>N.A</v>
      </c>
      <c r="J139" s="682" t="str">
        <f t="shared" si="93"/>
        <v>N.A</v>
      </c>
      <c r="K139" s="478">
        <v>0</v>
      </c>
      <c r="L139" s="427" t="str">
        <f t="shared" si="90"/>
        <v>N.A</v>
      </c>
      <c r="M139" s="430" t="str">
        <f t="shared" si="91"/>
        <v>N.A</v>
      </c>
      <c r="N139" s="426">
        <f t="shared" si="92"/>
        <v>0.45423636363636383</v>
      </c>
      <c r="O139" s="1021"/>
      <c r="P139" s="978"/>
      <c r="Q139" s="987"/>
      <c r="R139" s="978"/>
      <c r="S139" s="978"/>
      <c r="T139" s="993"/>
      <c r="U139" s="978"/>
      <c r="V139" s="1045"/>
      <c r="W139" s="1045"/>
      <c r="X139" s="1045"/>
    </row>
    <row r="140" spans="1:26" s="457" customFormat="1" ht="90">
      <c r="A140" s="833" t="str">
        <f>'TABLA 7 ESTRUCTURA PROGRAMÁTICA'!D107</f>
        <v>5.2.5 Establecer proyectos para uso y aprovechamiento forestal comunitarios del bosque que permitan su uso sostenible</v>
      </c>
      <c r="B140" s="741" t="str">
        <f>'TABLA 7 ESTRUCTURA PROGRAMÁTICA'!K107</f>
        <v xml:space="preserve">Número de proyectos establecidos  </v>
      </c>
      <c r="C140" s="820">
        <f>'TABLA 7 ESTRUCTURA PROGRAMÁTICA'!E107</f>
        <v>0</v>
      </c>
      <c r="D140" s="681">
        <v>0</v>
      </c>
      <c r="E140" s="682" t="str">
        <f t="shared" si="87"/>
        <v>N.A</v>
      </c>
      <c r="F140" s="683" t="s">
        <v>1103</v>
      </c>
      <c r="G140" s="825" t="str">
        <f t="shared" si="88"/>
        <v>N.A</v>
      </c>
      <c r="H140" s="417">
        <f>'TABLA 7 ESTRUCTURA PROGRAMÁTICA'!I107</f>
        <v>2</v>
      </c>
      <c r="I140" s="478" t="str">
        <f t="shared" si="89"/>
        <v>N.A</v>
      </c>
      <c r="J140" s="682" t="str">
        <f t="shared" si="93"/>
        <v>N.A</v>
      </c>
      <c r="K140" s="478">
        <v>0</v>
      </c>
      <c r="L140" s="427" t="str">
        <f t="shared" si="90"/>
        <v>N.A</v>
      </c>
      <c r="M140" s="430" t="str">
        <f t="shared" si="91"/>
        <v>N.A</v>
      </c>
      <c r="N140" s="426">
        <f t="shared" si="92"/>
        <v>0.45423636363636383</v>
      </c>
      <c r="O140" s="1021"/>
      <c r="P140" s="978"/>
      <c r="Q140" s="987"/>
      <c r="R140" s="978"/>
      <c r="S140" s="978"/>
      <c r="T140" s="993"/>
      <c r="U140" s="978"/>
      <c r="V140" s="1045"/>
      <c r="W140" s="1045"/>
      <c r="X140" s="1045"/>
    </row>
    <row r="141" spans="1:26" s="457" customFormat="1" ht="188.25" customHeight="1">
      <c r="A141" s="833" t="str">
        <f>'TABLA 7 ESTRUCTURA PROGRAMÁTICA'!D108</f>
        <v>5.2.6. Promoción y fortalecimiento de espacios de participación como plataforma de  articulación para la promoción de la cultura forestal y reducción de la deforestación</v>
      </c>
      <c r="B141" s="741" t="str">
        <f>'TABLA 7 ESTRUCTURA PROGRAMÁTICA'!K108</f>
        <v>Número de reuniones de articulación y armonización de las acciones para la gestión de los bosques</v>
      </c>
      <c r="C141" s="820">
        <f>'TABLA 7 ESTRUCTURA PROGRAMÁTICA'!E108</f>
        <v>1</v>
      </c>
      <c r="D141" s="681">
        <v>3</v>
      </c>
      <c r="E141" s="682">
        <v>1</v>
      </c>
      <c r="F141" s="683" t="s">
        <v>1250</v>
      </c>
      <c r="G141" s="825">
        <f t="shared" si="88"/>
        <v>1</v>
      </c>
      <c r="H141" s="417">
        <f>'TABLA 7 ESTRUCTURA PROGRAMÁTICA'!I108</f>
        <v>4</v>
      </c>
      <c r="I141" s="478">
        <f t="shared" si="89"/>
        <v>1</v>
      </c>
      <c r="J141" s="682">
        <f t="shared" si="93"/>
        <v>1</v>
      </c>
      <c r="K141" s="478">
        <v>0.1</v>
      </c>
      <c r="L141" s="427">
        <f>IF(C141=0,E141,(E141*K41))</f>
        <v>0.3</v>
      </c>
      <c r="M141" s="430">
        <f t="shared" si="91"/>
        <v>0</v>
      </c>
      <c r="N141" s="426">
        <f t="shared" si="92"/>
        <v>0.45423636363636383</v>
      </c>
      <c r="O141" s="1022"/>
      <c r="P141" s="979"/>
      <c r="Q141" s="988"/>
      <c r="R141" s="979"/>
      <c r="S141" s="979"/>
      <c r="T141" s="994"/>
      <c r="U141" s="979"/>
      <c r="V141" s="1046"/>
      <c r="W141" s="1046"/>
      <c r="X141" s="1046"/>
    </row>
    <row r="142" spans="1:26" s="457" customFormat="1">
      <c r="A142" s="989" t="s">
        <v>643</v>
      </c>
      <c r="B142" s="990"/>
      <c r="C142" s="990"/>
      <c r="D142" s="990"/>
      <c r="E142" s="990"/>
      <c r="F142" s="991"/>
      <c r="G142" s="407"/>
      <c r="H142" s="416"/>
      <c r="I142" s="419"/>
      <c r="J142" s="682">
        <f t="shared" si="93"/>
        <v>0</v>
      </c>
      <c r="K142" s="761"/>
      <c r="L142" s="429">
        <f>SUM(L134:L141)</f>
        <v>0.91999999999999993</v>
      </c>
      <c r="M142" s="430"/>
      <c r="N142" s="426"/>
      <c r="O142" s="799"/>
      <c r="P142" s="501"/>
      <c r="Q142" s="502"/>
      <c r="R142" s="503"/>
      <c r="S142" s="482"/>
      <c r="T142" s="420"/>
      <c r="U142" s="504"/>
      <c r="V142" s="813"/>
      <c r="W142" s="422"/>
      <c r="X142" s="422"/>
    </row>
    <row r="143" spans="1:26" s="424" customFormat="1" ht="90">
      <c r="A143" s="458" t="str">
        <f>A132</f>
        <v>5.               PROTECCION DE LA BIODIVERSIDAD PARA sostenibilidad de servicios ecosistèmicos y  SUSTENTABILIDAD DEL DESARROLLO</v>
      </c>
      <c r="B143" s="753"/>
      <c r="C143" s="469"/>
      <c r="D143" s="470"/>
      <c r="E143" s="433"/>
      <c r="F143" s="436"/>
      <c r="G143" s="409"/>
      <c r="H143" s="441"/>
      <c r="I143" s="441"/>
      <c r="J143" s="441"/>
      <c r="K143" s="444">
        <v>0.1</v>
      </c>
      <c r="L143" s="445"/>
      <c r="M143" s="433"/>
      <c r="N143" s="484"/>
      <c r="O143" s="785"/>
      <c r="P143" s="484"/>
      <c r="Q143" s="484"/>
      <c r="R143" s="485"/>
      <c r="S143" s="485"/>
      <c r="T143" s="444"/>
      <c r="U143" s="486"/>
      <c r="V143" s="812"/>
      <c r="W143" s="422"/>
      <c r="X143" s="422"/>
      <c r="Y143" s="457"/>
      <c r="Z143" s="457"/>
    </row>
    <row r="144" spans="1:26" s="459" customFormat="1" ht="60">
      <c r="A144" s="462" t="str">
        <f>'TABLA 7 ESTRUCTURA PROGRAMÁTICA'!C110</f>
        <v xml:space="preserve">5.3 Fortalecimiento de gobernanza forestal en la jurisdicción de Corpocesar. </v>
      </c>
      <c r="B144" s="410"/>
      <c r="C144" s="471"/>
      <c r="D144" s="414"/>
      <c r="E144" s="429">
        <f>E145*$K$145+E148*$K$148</f>
        <v>0.9</v>
      </c>
      <c r="F144" s="359"/>
      <c r="G144" s="429">
        <f>G145*$K$145+G148*$K$148</f>
        <v>0.9</v>
      </c>
      <c r="H144" s="357"/>
      <c r="I144" s="357"/>
      <c r="J144" s="429">
        <f>J145*$K$145+J148*$K$148</f>
        <v>0.9</v>
      </c>
      <c r="K144" s="415">
        <v>0.2</v>
      </c>
      <c r="L144" s="428"/>
      <c r="M144" s="429"/>
      <c r="N144" s="487"/>
      <c r="O144" s="358"/>
      <c r="P144" s="487"/>
      <c r="Q144" s="487"/>
      <c r="R144" s="488"/>
      <c r="S144" s="488"/>
      <c r="T144" s="415"/>
      <c r="U144" s="489"/>
      <c r="V144" s="812"/>
      <c r="W144" s="422"/>
      <c r="X144" s="422"/>
      <c r="Y144" s="457"/>
      <c r="Z144" s="457"/>
    </row>
    <row r="145" spans="1:26" s="457" customFormat="1" ht="60">
      <c r="A145" s="835" t="str">
        <f>'TABLA 7 ESTRUCTURA PROGRAMÁTICA'!D110</f>
        <v xml:space="preserve">5.3.1 Registrar con libro de operaciones el 100% de las  Empresas forestales en la jurisdicción </v>
      </c>
      <c r="B145" s="741" t="str">
        <f>'TABLA 7 ESTRUCTURA PROGRAMÁTICA'!K110</f>
        <v>Avance del proceso</v>
      </c>
      <c r="C145" s="820">
        <f>'TABLA 7 ESTRUCTURA PROGRAMÁTICA'!E110</f>
        <v>10</v>
      </c>
      <c r="D145" s="681">
        <v>8</v>
      </c>
      <c r="E145" s="682">
        <f t="shared" ref="E145:E148" si="94">IF(C145=0,"N.A",(D145/C145)*1)</f>
        <v>0.8</v>
      </c>
      <c r="F145" s="683" t="s">
        <v>1130</v>
      </c>
      <c r="G145" s="825">
        <f>E145</f>
        <v>0.8</v>
      </c>
      <c r="H145" s="442">
        <f>'TABLA 7 ESTRUCTURA PROGRAMÁTICA'!I110</f>
        <v>100</v>
      </c>
      <c r="I145" s="682">
        <f>E145</f>
        <v>0.8</v>
      </c>
      <c r="J145" s="682">
        <f t="shared" si="93"/>
        <v>0.8</v>
      </c>
      <c r="K145" s="478">
        <v>0.5</v>
      </c>
      <c r="L145" s="427">
        <f>IF(C145=0,E145,(E145*K145))</f>
        <v>0.4</v>
      </c>
      <c r="M145" s="430">
        <f>IF(L145="N.A","N.A",L145*$K$143*$K$144)</f>
        <v>8.0000000000000019E-3</v>
      </c>
      <c r="N145" s="426">
        <f>(IF(M145="N.A",0,M145))+N141</f>
        <v>0.46223636363636383</v>
      </c>
      <c r="O145" s="1020">
        <v>100000000</v>
      </c>
      <c r="P145" s="977">
        <v>5856500</v>
      </c>
      <c r="Q145" s="986">
        <f>P145/O145</f>
        <v>5.8564999999999999E-2</v>
      </c>
      <c r="R145" s="977">
        <f>O145</f>
        <v>100000000</v>
      </c>
      <c r="S145" s="977">
        <f>P145</f>
        <v>5856500</v>
      </c>
      <c r="T145" s="992">
        <f>Q145</f>
        <v>5.8564999999999999E-2</v>
      </c>
      <c r="U145" s="1044"/>
      <c r="V145" s="1044" t="s">
        <v>1115</v>
      </c>
      <c r="W145" s="1091"/>
      <c r="X145" s="1044" t="s">
        <v>1123</v>
      </c>
    </row>
    <row r="146" spans="1:26" s="457" customFormat="1" ht="120">
      <c r="A146" s="835" t="str">
        <f>'TABLA 7 ESTRUCTURA PROGRAMÁTICA'!D111</f>
        <v>5.3.2 Establecer un proyecto piloto sostenible para la trasformación de la materia prima del bosque, que contribuyan con el uso sostenible de productos maderables y no  maderables del bosque</v>
      </c>
      <c r="B146" s="741" t="str">
        <f>'TABLA 7 ESTRUCTURA PROGRAMÁTICA'!K111</f>
        <v xml:space="preserve">Número de proyectos establecidos  </v>
      </c>
      <c r="C146" s="820">
        <f>'TABLA 7 ESTRUCTURA PROGRAMÁTICA'!E111</f>
        <v>0</v>
      </c>
      <c r="D146" s="681">
        <v>0</v>
      </c>
      <c r="E146" s="682" t="str">
        <f t="shared" si="94"/>
        <v>N.A</v>
      </c>
      <c r="F146" s="683" t="s">
        <v>1103</v>
      </c>
      <c r="G146" s="825" t="str">
        <f t="shared" ref="G146:G148" si="95">E146</f>
        <v>N.A</v>
      </c>
      <c r="H146" s="594">
        <f>'TABLA 7 ESTRUCTURA PROGRAMÁTICA'!I111</f>
        <v>2</v>
      </c>
      <c r="I146" s="682" t="str">
        <f t="shared" ref="I146:I147" si="96">E146</f>
        <v>N.A</v>
      </c>
      <c r="J146" s="682" t="str">
        <f t="shared" si="93"/>
        <v>N.A</v>
      </c>
      <c r="K146" s="478">
        <v>0</v>
      </c>
      <c r="L146" s="427" t="str">
        <f t="shared" ref="L146:L148" si="97">IF(C146=0,E146,(E146*K146))</f>
        <v>N.A</v>
      </c>
      <c r="M146" s="430" t="str">
        <f t="shared" ref="M146:M148" si="98">IF(L146="N.A","N.A",L146*$K$143*$K$144)</f>
        <v>N.A</v>
      </c>
      <c r="N146" s="426">
        <f>(IF(M146="N.A",0,M146))+N145</f>
        <v>0.46223636363636383</v>
      </c>
      <c r="O146" s="1021"/>
      <c r="P146" s="978"/>
      <c r="Q146" s="987"/>
      <c r="R146" s="978"/>
      <c r="S146" s="978"/>
      <c r="T146" s="993"/>
      <c r="U146" s="1045"/>
      <c r="V146" s="1045"/>
      <c r="W146" s="1092"/>
      <c r="X146" s="1045"/>
    </row>
    <row r="147" spans="1:26" s="457" customFormat="1" ht="150">
      <c r="A147" s="835" t="str">
        <f>'TABLA 7 ESTRUCTURA PROGRAMÁTICA'!D112</f>
        <v>5.3.3 Promover y otorgar los Esquemas de Reconocimiento a la Legalidad a los usuarios del bosque y empresas forestales</v>
      </c>
      <c r="B147" s="741" t="str">
        <f>'TABLA 7 ESTRUCTURA PROGRAMÁTICA'!K112</f>
        <v>Esquemas otorgados  de Reconocimiento a la Legalidad de usuarios del bosque y de empresas forestales.</v>
      </c>
      <c r="C147" s="820">
        <f>'TABLA 7 ESTRUCTURA PROGRAMÁTICA'!E112</f>
        <v>0</v>
      </c>
      <c r="D147" s="681">
        <v>0</v>
      </c>
      <c r="E147" s="682" t="str">
        <f t="shared" si="94"/>
        <v>N.A</v>
      </c>
      <c r="F147" s="683" t="s">
        <v>1103</v>
      </c>
      <c r="G147" s="825" t="str">
        <f t="shared" si="95"/>
        <v>N.A</v>
      </c>
      <c r="H147" s="594">
        <f>'TABLA 7 ESTRUCTURA PROGRAMÁTICA'!I112</f>
        <v>3</v>
      </c>
      <c r="I147" s="682" t="str">
        <f t="shared" si="96"/>
        <v>N.A</v>
      </c>
      <c r="J147" s="682" t="str">
        <f t="shared" si="93"/>
        <v>N.A</v>
      </c>
      <c r="K147" s="478">
        <v>0</v>
      </c>
      <c r="L147" s="427" t="str">
        <f t="shared" si="97"/>
        <v>N.A</v>
      </c>
      <c r="M147" s="430" t="str">
        <f t="shared" si="98"/>
        <v>N.A</v>
      </c>
      <c r="N147" s="426">
        <f t="shared" ref="N147:N148" si="99">(IF(M147="N.A",0,M147))+N146</f>
        <v>0.46223636363636383</v>
      </c>
      <c r="O147" s="1021"/>
      <c r="P147" s="978"/>
      <c r="Q147" s="987"/>
      <c r="R147" s="978"/>
      <c r="S147" s="978"/>
      <c r="T147" s="993"/>
      <c r="U147" s="1045"/>
      <c r="V147" s="1045"/>
      <c r="W147" s="1092"/>
      <c r="X147" s="1045"/>
    </row>
    <row r="148" spans="1:26" s="457" customFormat="1" ht="92.25" customHeight="1">
      <c r="A148" s="835" t="str">
        <f>'TABLA 7 ESTRUCTURA PROGRAMÁTICA'!D113</f>
        <v>5.3.4 Realizar operativos de control al tráfico de flora.</v>
      </c>
      <c r="B148" s="741" t="str">
        <f>'TABLA 7 ESTRUCTURA PROGRAMÁTICA'!K113</f>
        <v>Operativos de control al tráfico de flora</v>
      </c>
      <c r="C148" s="820">
        <f>'TABLA 7 ESTRUCTURA PROGRAMÁTICA'!E113</f>
        <v>2</v>
      </c>
      <c r="D148" s="681">
        <v>2</v>
      </c>
      <c r="E148" s="682">
        <f t="shared" si="94"/>
        <v>1</v>
      </c>
      <c r="F148" s="423" t="s">
        <v>1111</v>
      </c>
      <c r="G148" s="825">
        <f t="shared" si="95"/>
        <v>1</v>
      </c>
      <c r="H148" s="594">
        <f>'TABLA 7 ESTRUCTURA PROGRAMÁTICA'!I113</f>
        <v>20</v>
      </c>
      <c r="I148" s="682">
        <f>E148</f>
        <v>1</v>
      </c>
      <c r="J148" s="682">
        <f t="shared" si="93"/>
        <v>1</v>
      </c>
      <c r="K148" s="478">
        <v>0.5</v>
      </c>
      <c r="L148" s="427">
        <f t="shared" si="97"/>
        <v>0.5</v>
      </c>
      <c r="M148" s="430">
        <f t="shared" si="98"/>
        <v>1.0000000000000002E-2</v>
      </c>
      <c r="N148" s="426">
        <f t="shared" si="99"/>
        <v>0.47223636363636384</v>
      </c>
      <c r="O148" s="1022"/>
      <c r="P148" s="979"/>
      <c r="Q148" s="988"/>
      <c r="R148" s="979"/>
      <c r="S148" s="979"/>
      <c r="T148" s="994"/>
      <c r="U148" s="1046"/>
      <c r="V148" s="1046"/>
      <c r="W148" s="1093"/>
      <c r="X148" s="1046"/>
    </row>
    <row r="149" spans="1:26" s="457" customFormat="1">
      <c r="A149" s="989" t="s">
        <v>643</v>
      </c>
      <c r="B149" s="990"/>
      <c r="C149" s="990"/>
      <c r="D149" s="990"/>
      <c r="E149" s="990"/>
      <c r="F149" s="991"/>
      <c r="G149" s="407"/>
      <c r="H149" s="416"/>
      <c r="I149" s="419"/>
      <c r="J149" s="682">
        <f t="shared" si="93"/>
        <v>0</v>
      </c>
      <c r="K149" s="761"/>
      <c r="L149" s="429">
        <f>SUM(L144:L148)</f>
        <v>0.9</v>
      </c>
      <c r="M149" s="430"/>
      <c r="N149" s="426"/>
      <c r="O149" s="799"/>
      <c r="P149" s="501"/>
      <c r="Q149" s="502"/>
      <c r="R149" s="503"/>
      <c r="S149" s="482"/>
      <c r="T149" s="420"/>
      <c r="U149" s="504"/>
      <c r="V149" s="813"/>
      <c r="W149" s="422"/>
      <c r="X149" s="422"/>
    </row>
    <row r="150" spans="1:26" s="424" customFormat="1" ht="90">
      <c r="A150" s="458" t="str">
        <f>A143</f>
        <v>5.               PROTECCION DE LA BIODIVERSIDAD PARA sostenibilidad de servicios ecosistèmicos y  SUSTENTABILIDAD DEL DESARROLLO</v>
      </c>
      <c r="B150" s="753"/>
      <c r="C150" s="469"/>
      <c r="D150" s="470"/>
      <c r="E150" s="433"/>
      <c r="F150" s="436"/>
      <c r="G150" s="409"/>
      <c r="H150" s="441"/>
      <c r="I150" s="441"/>
      <c r="J150" s="682">
        <f t="shared" si="93"/>
        <v>0</v>
      </c>
      <c r="K150" s="444">
        <v>0.1</v>
      </c>
      <c r="L150" s="445"/>
      <c r="M150" s="433"/>
      <c r="N150" s="484"/>
      <c r="O150" s="785"/>
      <c r="P150" s="484"/>
      <c r="Q150" s="484"/>
      <c r="R150" s="485"/>
      <c r="S150" s="485"/>
      <c r="T150" s="444"/>
      <c r="U150" s="486"/>
      <c r="V150" s="812"/>
      <c r="W150" s="422"/>
      <c r="X150" s="422"/>
      <c r="Y150" s="457"/>
      <c r="Z150" s="457"/>
    </row>
    <row r="151" spans="1:26" s="459" customFormat="1" ht="120">
      <c r="A151" s="462" t="str">
        <f>'TABLA 7 ESTRUCTURA PROGRAMÁTICA'!C115</f>
        <v xml:space="preserve">5.4 Gestión del SIRAP  y/o implementación de otras estrategias de conservación de la biodiversidad y formulación e implementación y apoyo de PM  de AP  en el dpto. del Cesar. </v>
      </c>
      <c r="B151" s="410"/>
      <c r="C151" s="471"/>
      <c r="D151" s="414"/>
      <c r="E151" s="429">
        <f>E152*$K$152+E158*$K$158+E159*$K$159+E160*$K$160+E161*$K$161</f>
        <v>1</v>
      </c>
      <c r="F151" s="359"/>
      <c r="G151" s="429">
        <f>G152*$K$152+G158*$K$158+G159*$K$159+G160*$K$160+G161*$K$161</f>
        <v>1</v>
      </c>
      <c r="H151" s="357"/>
      <c r="I151" s="357"/>
      <c r="J151" s="429">
        <f>J152*$K$152+J158*$K$158+J159*$K$159+J160*$K$160+J161*$K$161</f>
        <v>1</v>
      </c>
      <c r="K151" s="415">
        <v>0.2</v>
      </c>
      <c r="L151" s="428"/>
      <c r="M151" s="429"/>
      <c r="N151" s="487"/>
      <c r="O151" s="358"/>
      <c r="P151" s="487"/>
      <c r="Q151" s="487"/>
      <c r="R151" s="488"/>
      <c r="S151" s="488"/>
      <c r="T151" s="415"/>
      <c r="U151" s="489"/>
      <c r="V151" s="812"/>
      <c r="W151" s="422"/>
      <c r="X151" s="422"/>
      <c r="Y151" s="457"/>
      <c r="Z151" s="457"/>
    </row>
    <row r="152" spans="1:26" s="457" customFormat="1" ht="219.75" customHeight="1">
      <c r="A152" s="1060" t="str">
        <f>'TABLA 7 ESTRUCTURA PROGRAMÁTICA'!D115</f>
        <v>5.4.1 Formulación e implementación del PM del DRMI del Complejo Cenagoso de Zapatosa (RAMSAR Zapatosa)</v>
      </c>
      <c r="B152" s="741" t="str">
        <f>'TABLA 7 ESTRUCTURA PROGRAMÁTICA'!K115</f>
        <v>Plan formulado (avance)</v>
      </c>
      <c r="C152" s="820">
        <f>'TABLA 7 ESTRUCTURA PROGRAMÁTICA'!E115</f>
        <v>20</v>
      </c>
      <c r="D152" s="477">
        <v>20</v>
      </c>
      <c r="E152" s="682">
        <f t="shared" ref="E152:E161" si="100">IF(C152=0,"N.A",(D152/C152)*1)</f>
        <v>1</v>
      </c>
      <c r="F152" s="683" t="s">
        <v>1258</v>
      </c>
      <c r="G152" s="825">
        <f>E152</f>
        <v>1</v>
      </c>
      <c r="H152" s="417">
        <f>'TABLA 7 ESTRUCTURA PROGRAMÁTICA'!I115</f>
        <v>100</v>
      </c>
      <c r="I152" s="478">
        <f>E152</f>
        <v>1</v>
      </c>
      <c r="J152" s="682">
        <f t="shared" si="93"/>
        <v>1</v>
      </c>
      <c r="K152" s="478">
        <v>0.4</v>
      </c>
      <c r="L152" s="427">
        <f>IF(C152=0,E152,(E152*K152))</f>
        <v>0.4</v>
      </c>
      <c r="M152" s="430">
        <f>IF(L152="N.A","N.A",L152*$K$151*$K$152)</f>
        <v>3.2000000000000008E-2</v>
      </c>
      <c r="N152" s="426">
        <f>(IF(M152="N.A",0,M152))+N148</f>
        <v>0.50423636363636382</v>
      </c>
      <c r="O152" s="1020">
        <f>500000000+4194790+15432500</f>
        <v>519627290</v>
      </c>
      <c r="P152" s="977">
        <f>141871160+15432500+4194790</f>
        <v>161498450</v>
      </c>
      <c r="Q152" s="986">
        <f>P152/O152</f>
        <v>0.31079670584660785</v>
      </c>
      <c r="R152" s="977">
        <f>O152</f>
        <v>519627290</v>
      </c>
      <c r="S152" s="977">
        <f>P152</f>
        <v>161498450</v>
      </c>
      <c r="T152" s="992">
        <f>Q152</f>
        <v>0.31079670584660785</v>
      </c>
      <c r="U152" s="977"/>
      <c r="V152" s="1044" t="s">
        <v>1115</v>
      </c>
      <c r="W152" s="1044" t="s">
        <v>1148</v>
      </c>
      <c r="X152" s="1044" t="s">
        <v>1123</v>
      </c>
    </row>
    <row r="153" spans="1:26" s="457" customFormat="1" ht="87.75" customHeight="1">
      <c r="A153" s="1061"/>
      <c r="B153" s="741" t="str">
        <f>'TABLA 7 ESTRUCTURA PROGRAMÁTICA'!K116</f>
        <v>Acciones implementadas</v>
      </c>
      <c r="C153" s="820">
        <f>'TABLA 7 ESTRUCTURA PROGRAMÁTICA'!E116</f>
        <v>0</v>
      </c>
      <c r="D153" s="477">
        <v>0</v>
      </c>
      <c r="E153" s="682" t="str">
        <f t="shared" si="100"/>
        <v>N.A</v>
      </c>
      <c r="F153" s="683" t="s">
        <v>1103</v>
      </c>
      <c r="G153" s="825" t="str">
        <f t="shared" ref="G153:G161" si="101">E153</f>
        <v>N.A</v>
      </c>
      <c r="H153" s="417">
        <f>'TABLA 7 ESTRUCTURA PROGRAMÁTICA'!I116</f>
        <v>5</v>
      </c>
      <c r="I153" s="478" t="str">
        <f t="shared" ref="I153:I161" si="102">E153</f>
        <v>N.A</v>
      </c>
      <c r="J153" s="682" t="str">
        <f t="shared" si="93"/>
        <v>N.A</v>
      </c>
      <c r="K153" s="478">
        <v>0</v>
      </c>
      <c r="L153" s="427" t="str">
        <f t="shared" ref="L153:L161" si="103">IF(C153=0,E153,(E153*K153))</f>
        <v>N.A</v>
      </c>
      <c r="M153" s="430" t="str">
        <f t="shared" ref="M153:M161" si="104">IF(L153="N.A","N.A",L153*$K$151*$K$152)</f>
        <v>N.A</v>
      </c>
      <c r="N153" s="426">
        <f>(IF(M153="N.A",0,M153))+N152</f>
        <v>0.50423636363636382</v>
      </c>
      <c r="O153" s="1021"/>
      <c r="P153" s="978"/>
      <c r="Q153" s="987"/>
      <c r="R153" s="978"/>
      <c r="S153" s="978"/>
      <c r="T153" s="993"/>
      <c r="U153" s="978"/>
      <c r="V153" s="1045"/>
      <c r="W153" s="1045"/>
      <c r="X153" s="1045"/>
    </row>
    <row r="154" spans="1:26" s="457" customFormat="1" ht="72.75" customHeight="1">
      <c r="A154" s="1057" t="str">
        <f>'TABLA 7 ESTRUCTURA PROGRAMÁTICA'!D117</f>
        <v>5.4.2 Desarrollo de estudios y procesos para la declaratoria de nuevas APR y/o otras estrategias de la conservación de la biodiversidad.</v>
      </c>
      <c r="B154" s="741" t="str">
        <f>'TABLA 7 ESTRUCTURA PROGRAMÁTICA'!K117</f>
        <v>Estudios realizados</v>
      </c>
      <c r="C154" s="820">
        <f>'TABLA 7 ESTRUCTURA PROGRAMÁTICA'!E117</f>
        <v>0</v>
      </c>
      <c r="D154" s="477">
        <v>0</v>
      </c>
      <c r="E154" s="682" t="str">
        <f t="shared" si="100"/>
        <v>N.A</v>
      </c>
      <c r="F154" s="683" t="s">
        <v>1103</v>
      </c>
      <c r="G154" s="825" t="str">
        <f t="shared" si="101"/>
        <v>N.A</v>
      </c>
      <c r="H154" s="417">
        <f>'TABLA 7 ESTRUCTURA PROGRAMÁTICA'!I117</f>
        <v>1</v>
      </c>
      <c r="I154" s="478" t="str">
        <f t="shared" si="102"/>
        <v>N.A</v>
      </c>
      <c r="J154" s="682" t="str">
        <f t="shared" si="93"/>
        <v>N.A</v>
      </c>
      <c r="K154" s="478">
        <v>0</v>
      </c>
      <c r="L154" s="427" t="str">
        <f t="shared" si="103"/>
        <v>N.A</v>
      </c>
      <c r="M154" s="430" t="str">
        <f t="shared" si="104"/>
        <v>N.A</v>
      </c>
      <c r="N154" s="426">
        <f t="shared" ref="N154:N161" si="105">(IF(M154="N.A",0,M154))+N153</f>
        <v>0.50423636363636382</v>
      </c>
      <c r="O154" s="1021"/>
      <c r="P154" s="978"/>
      <c r="Q154" s="987"/>
      <c r="R154" s="978"/>
      <c r="S154" s="978"/>
      <c r="T154" s="993"/>
      <c r="U154" s="978"/>
      <c r="V154" s="1045"/>
      <c r="W154" s="1045"/>
      <c r="X154" s="1045"/>
    </row>
    <row r="155" spans="1:26" s="457" customFormat="1" ht="77.25" customHeight="1">
      <c r="A155" s="1058"/>
      <c r="B155" s="741" t="str">
        <f>'TABLA 7 ESTRUCTURA PROGRAMÁTICA'!K118</f>
        <v>Procesos desarrollados</v>
      </c>
      <c r="C155" s="820">
        <f>'TABLA 7 ESTRUCTURA PROGRAMÁTICA'!E118</f>
        <v>0</v>
      </c>
      <c r="D155" s="477">
        <v>0</v>
      </c>
      <c r="E155" s="682" t="str">
        <f t="shared" si="100"/>
        <v>N.A</v>
      </c>
      <c r="F155" s="683" t="s">
        <v>1103</v>
      </c>
      <c r="G155" s="825" t="str">
        <f>E155</f>
        <v>N.A</v>
      </c>
      <c r="H155" s="417">
        <f>'TABLA 7 ESTRUCTURA PROGRAMÁTICA'!I118</f>
        <v>1</v>
      </c>
      <c r="I155" s="478" t="str">
        <f t="shared" si="102"/>
        <v>N.A</v>
      </c>
      <c r="J155" s="682" t="str">
        <f t="shared" si="93"/>
        <v>N.A</v>
      </c>
      <c r="K155" s="478">
        <v>0</v>
      </c>
      <c r="L155" s="427" t="str">
        <f t="shared" si="103"/>
        <v>N.A</v>
      </c>
      <c r="M155" s="430" t="str">
        <f t="shared" si="104"/>
        <v>N.A</v>
      </c>
      <c r="N155" s="426">
        <f t="shared" si="105"/>
        <v>0.50423636363636382</v>
      </c>
      <c r="O155" s="1021"/>
      <c r="P155" s="978"/>
      <c r="Q155" s="987"/>
      <c r="R155" s="978"/>
      <c r="S155" s="978"/>
      <c r="T155" s="993"/>
      <c r="U155" s="978"/>
      <c r="V155" s="1045"/>
      <c r="W155" s="1045"/>
      <c r="X155" s="1045"/>
    </row>
    <row r="156" spans="1:26" s="457" customFormat="1" ht="92.25" customHeight="1">
      <c r="A156" s="1059"/>
      <c r="B156" s="741" t="str">
        <f>'TABLA 7 ESTRUCTURA PROGRAMÁTICA'!K119</f>
        <v>Área declarada P</v>
      </c>
      <c r="C156" s="820">
        <f>'TABLA 7 ESTRUCTURA PROGRAMÁTICA'!E119</f>
        <v>0</v>
      </c>
      <c r="D156" s="477">
        <v>0</v>
      </c>
      <c r="E156" s="682" t="str">
        <f t="shared" si="100"/>
        <v>N.A</v>
      </c>
      <c r="F156" s="683" t="s">
        <v>1103</v>
      </c>
      <c r="G156" s="825" t="str">
        <f t="shared" si="101"/>
        <v>N.A</v>
      </c>
      <c r="H156" s="417">
        <f>'TABLA 7 ESTRUCTURA PROGRAMÁTICA'!I119</f>
        <v>35000</v>
      </c>
      <c r="I156" s="478" t="str">
        <f t="shared" si="102"/>
        <v>N.A</v>
      </c>
      <c r="J156" s="682" t="str">
        <f t="shared" si="93"/>
        <v>N.A</v>
      </c>
      <c r="K156" s="478">
        <v>0</v>
      </c>
      <c r="L156" s="427" t="str">
        <f t="shared" si="103"/>
        <v>N.A</v>
      </c>
      <c r="M156" s="430" t="str">
        <f t="shared" si="104"/>
        <v>N.A</v>
      </c>
      <c r="N156" s="426">
        <f t="shared" si="105"/>
        <v>0.50423636363636382</v>
      </c>
      <c r="O156" s="1021"/>
      <c r="P156" s="978"/>
      <c r="Q156" s="987"/>
      <c r="R156" s="978"/>
      <c r="S156" s="978"/>
      <c r="T156" s="993"/>
      <c r="U156" s="978"/>
      <c r="V156" s="1045"/>
      <c r="W156" s="1045"/>
      <c r="X156" s="1045"/>
    </row>
    <row r="157" spans="1:26" s="457" customFormat="1" ht="80.25" customHeight="1">
      <c r="A157" s="1057" t="str">
        <f>'TABLA 7 ESTRUCTURA PROGRAMÁTICA'!D120</f>
        <v>5.4.3 Gestión para la formulación e implementación de PM  de APR  y otras estrategias de conservación.</v>
      </c>
      <c r="B157" s="741" t="str">
        <f>'TABLA 7 ESTRUCTURA PROGRAMÁTICA'!K120</f>
        <v>Planes de manejo formulados</v>
      </c>
      <c r="C157" s="820">
        <f>'TABLA 7 ESTRUCTURA PROGRAMÁTICA'!E120</f>
        <v>0</v>
      </c>
      <c r="D157" s="477">
        <v>0</v>
      </c>
      <c r="E157" s="682" t="str">
        <f t="shared" si="100"/>
        <v>N.A</v>
      </c>
      <c r="F157" s="683" t="s">
        <v>1103</v>
      </c>
      <c r="G157" s="825" t="str">
        <f t="shared" si="101"/>
        <v>N.A</v>
      </c>
      <c r="H157" s="417">
        <f>'TABLA 7 ESTRUCTURA PROGRAMÁTICA'!I120</f>
        <v>1</v>
      </c>
      <c r="I157" s="478" t="str">
        <f t="shared" si="102"/>
        <v>N.A</v>
      </c>
      <c r="J157" s="682" t="str">
        <f t="shared" si="93"/>
        <v>N.A</v>
      </c>
      <c r="K157" s="478">
        <v>0</v>
      </c>
      <c r="L157" s="427" t="str">
        <f t="shared" si="103"/>
        <v>N.A</v>
      </c>
      <c r="M157" s="430" t="str">
        <f t="shared" si="104"/>
        <v>N.A</v>
      </c>
      <c r="N157" s="426">
        <f t="shared" si="105"/>
        <v>0.50423636363636382</v>
      </c>
      <c r="O157" s="1021"/>
      <c r="P157" s="978"/>
      <c r="Q157" s="987"/>
      <c r="R157" s="978"/>
      <c r="S157" s="978"/>
      <c r="T157" s="993"/>
      <c r="U157" s="978"/>
      <c r="V157" s="1045"/>
      <c r="W157" s="1045"/>
      <c r="X157" s="1045"/>
    </row>
    <row r="158" spans="1:26" s="457" customFormat="1" ht="84" customHeight="1">
      <c r="A158" s="1059"/>
      <c r="B158" s="741" t="str">
        <f>'TABLA 7 ESTRUCTURA PROGRAMÁTICA'!K121</f>
        <v>Acciones de PM implementadas</v>
      </c>
      <c r="C158" s="820">
        <f>'TABLA 7 ESTRUCTURA PROGRAMÁTICA'!E121</f>
        <v>1</v>
      </c>
      <c r="D158" s="477">
        <v>1</v>
      </c>
      <c r="E158" s="682">
        <f t="shared" si="100"/>
        <v>1</v>
      </c>
      <c r="F158" s="683" t="s">
        <v>1175</v>
      </c>
      <c r="G158" s="825">
        <f>E158</f>
        <v>1</v>
      </c>
      <c r="H158" s="417">
        <f>'TABLA 7 ESTRUCTURA PROGRAMÁTICA'!I121</f>
        <v>4</v>
      </c>
      <c r="I158" s="478">
        <f t="shared" si="102"/>
        <v>1</v>
      </c>
      <c r="J158" s="682">
        <f t="shared" si="93"/>
        <v>1</v>
      </c>
      <c r="K158" s="478">
        <v>0.15</v>
      </c>
      <c r="L158" s="427">
        <f t="shared" si="103"/>
        <v>0.15</v>
      </c>
      <c r="M158" s="430">
        <f t="shared" si="104"/>
        <v>1.2E-2</v>
      </c>
      <c r="N158" s="426">
        <f t="shared" si="105"/>
        <v>0.51623636363636383</v>
      </c>
      <c r="O158" s="1021"/>
      <c r="P158" s="978"/>
      <c r="Q158" s="987"/>
      <c r="R158" s="978"/>
      <c r="S158" s="978"/>
      <c r="T158" s="993"/>
      <c r="U158" s="978"/>
      <c r="V158" s="1045"/>
      <c r="W158" s="1045"/>
      <c r="X158" s="1045"/>
    </row>
    <row r="159" spans="1:26" s="457" customFormat="1" ht="90">
      <c r="A159" s="463" t="str">
        <f>'TABLA 7 ESTRUCTURA PROGRAMÁTICA'!D122</f>
        <v>5.4.4 Gestión, apoyo y articulación interinstitucional en el desarrollo de los sistemas de áreas protegidas (SINAP, SIRAP, SIDAP, SILAP)</v>
      </c>
      <c r="B159" s="741" t="str">
        <f>'TABLA 7 ESTRUCTURA PROGRAMÁTICA'!K122</f>
        <v>Sistemas apoyados</v>
      </c>
      <c r="C159" s="820">
        <f>'TABLA 7 ESTRUCTURA PROGRAMÁTICA'!E122</f>
        <v>1</v>
      </c>
      <c r="D159" s="477">
        <v>1</v>
      </c>
      <c r="E159" s="682">
        <f t="shared" si="100"/>
        <v>1</v>
      </c>
      <c r="F159" s="683" t="s">
        <v>1176</v>
      </c>
      <c r="G159" s="825">
        <f t="shared" si="101"/>
        <v>1</v>
      </c>
      <c r="H159" s="417">
        <f>'TABLA 7 ESTRUCTURA PROGRAMÁTICA'!I122</f>
        <v>4</v>
      </c>
      <c r="I159" s="478">
        <f>G159</f>
        <v>1</v>
      </c>
      <c r="J159" s="682">
        <f t="shared" si="93"/>
        <v>1</v>
      </c>
      <c r="K159" s="478">
        <v>0.15</v>
      </c>
      <c r="L159" s="427">
        <f>IF(C159=0,G159,(G159*K159))</f>
        <v>0.15</v>
      </c>
      <c r="M159" s="430">
        <f t="shared" si="104"/>
        <v>1.2E-2</v>
      </c>
      <c r="N159" s="426">
        <f t="shared" si="105"/>
        <v>0.52823636363636384</v>
      </c>
      <c r="O159" s="1021"/>
      <c r="P159" s="978"/>
      <c r="Q159" s="987"/>
      <c r="R159" s="978"/>
      <c r="S159" s="978"/>
      <c r="T159" s="993"/>
      <c r="U159" s="978"/>
      <c r="V159" s="1045"/>
      <c r="W159" s="1045"/>
      <c r="X159" s="1045"/>
    </row>
    <row r="160" spans="1:26" s="457" customFormat="1" ht="120">
      <c r="A160" s="463" t="str">
        <f>'TABLA 7 ESTRUCTURA PROGRAMÁTICA'!D123</f>
        <v>5.4.5 Gestión e implementación de acciones en el Bosque seco tropical</v>
      </c>
      <c r="B160" s="741" t="str">
        <f>'TABLA 7 ESTRUCTURA PROGRAMÁTICA'!K123</f>
        <v>Acciones implementadas</v>
      </c>
      <c r="C160" s="820">
        <f>'TABLA 7 ESTRUCTURA PROGRAMÁTICA'!E123</f>
        <v>1</v>
      </c>
      <c r="D160" s="477">
        <v>1</v>
      </c>
      <c r="E160" s="682">
        <f t="shared" si="100"/>
        <v>1</v>
      </c>
      <c r="F160" s="683" t="s">
        <v>1177</v>
      </c>
      <c r="G160" s="825">
        <f>E160</f>
        <v>1</v>
      </c>
      <c r="H160" s="417">
        <f>'TABLA 7 ESTRUCTURA PROGRAMÁTICA'!I123</f>
        <v>4</v>
      </c>
      <c r="I160" s="478">
        <f>G160</f>
        <v>1</v>
      </c>
      <c r="J160" s="682">
        <f t="shared" si="93"/>
        <v>1</v>
      </c>
      <c r="K160" s="478">
        <v>0.15</v>
      </c>
      <c r="L160" s="427">
        <f>IF(C160=0,G160,(G160*K160))</f>
        <v>0.15</v>
      </c>
      <c r="M160" s="430">
        <f t="shared" si="104"/>
        <v>1.2E-2</v>
      </c>
      <c r="N160" s="426">
        <f t="shared" si="105"/>
        <v>0.54023636363636385</v>
      </c>
      <c r="O160" s="1021"/>
      <c r="P160" s="978"/>
      <c r="Q160" s="987"/>
      <c r="R160" s="978"/>
      <c r="S160" s="978"/>
      <c r="T160" s="993"/>
      <c r="U160" s="978"/>
      <c r="V160" s="1045"/>
      <c r="W160" s="1045"/>
      <c r="X160" s="1045"/>
    </row>
    <row r="161" spans="1:26" s="457" customFormat="1" ht="195.75" customHeight="1">
      <c r="A161" s="463" t="str">
        <f>'TABLA 7 ESTRUCTURA PROGRAMÁTICA'!D124</f>
        <v>5.4.6 Gestión e implementación de acciones en humedales</v>
      </c>
      <c r="B161" s="741" t="str">
        <f>'TABLA 7 ESTRUCTURA PROGRAMÁTICA'!K124</f>
        <v>Acciones implementadas</v>
      </c>
      <c r="C161" s="820">
        <f>'TABLA 7 ESTRUCTURA PROGRAMÁTICA'!E124</f>
        <v>1</v>
      </c>
      <c r="D161" s="681">
        <v>1</v>
      </c>
      <c r="E161" s="682">
        <f t="shared" si="100"/>
        <v>1</v>
      </c>
      <c r="F161" s="683" t="s">
        <v>1174</v>
      </c>
      <c r="G161" s="825">
        <f t="shared" si="101"/>
        <v>1</v>
      </c>
      <c r="H161" s="417">
        <f>'TABLA 7 ESTRUCTURA PROGRAMÁTICA'!I124</f>
        <v>4</v>
      </c>
      <c r="I161" s="478">
        <f t="shared" si="102"/>
        <v>1</v>
      </c>
      <c r="J161" s="682">
        <f t="shared" si="93"/>
        <v>1</v>
      </c>
      <c r="K161" s="478">
        <v>0.15</v>
      </c>
      <c r="L161" s="427">
        <f t="shared" si="103"/>
        <v>0.15</v>
      </c>
      <c r="M161" s="430">
        <f t="shared" si="104"/>
        <v>1.2E-2</v>
      </c>
      <c r="N161" s="426">
        <f t="shared" si="105"/>
        <v>0.55223636363636386</v>
      </c>
      <c r="O161" s="1022"/>
      <c r="P161" s="979"/>
      <c r="Q161" s="988"/>
      <c r="R161" s="979"/>
      <c r="S161" s="979"/>
      <c r="T161" s="994"/>
      <c r="U161" s="979"/>
      <c r="V161" s="1046"/>
      <c r="W161" s="1046"/>
      <c r="X161" s="1046"/>
    </row>
    <row r="162" spans="1:26" s="457" customFormat="1">
      <c r="A162" s="989" t="s">
        <v>643</v>
      </c>
      <c r="B162" s="990"/>
      <c r="C162" s="990"/>
      <c r="D162" s="990"/>
      <c r="E162" s="990"/>
      <c r="F162" s="991"/>
      <c r="G162" s="407"/>
      <c r="H162" s="416"/>
      <c r="I162" s="419"/>
      <c r="J162" s="682">
        <f t="shared" si="93"/>
        <v>0</v>
      </c>
      <c r="K162" s="761"/>
      <c r="L162" s="429">
        <f>SUM(L152:L161)</f>
        <v>1</v>
      </c>
      <c r="M162" s="430"/>
      <c r="N162" s="426"/>
      <c r="O162" s="799"/>
      <c r="P162" s="501"/>
      <c r="Q162" s="502"/>
      <c r="R162" s="503"/>
      <c r="S162" s="482"/>
      <c r="T162" s="420"/>
      <c r="U162" s="504"/>
      <c r="V162" s="813"/>
      <c r="W162" s="422"/>
      <c r="X162" s="422"/>
    </row>
    <row r="163" spans="1:26" s="424" customFormat="1" ht="90">
      <c r="A163" s="458" t="str">
        <f>A150</f>
        <v>5.               PROTECCION DE LA BIODIVERSIDAD PARA sostenibilidad de servicios ecosistèmicos y  SUSTENTABILIDAD DEL DESARROLLO</v>
      </c>
      <c r="B163" s="753"/>
      <c r="C163" s="469"/>
      <c r="D163" s="470"/>
      <c r="E163" s="433"/>
      <c r="F163" s="436"/>
      <c r="G163" s="409"/>
      <c r="H163" s="441"/>
      <c r="I163" s="441"/>
      <c r="J163" s="441"/>
      <c r="K163" s="444">
        <v>0.1</v>
      </c>
      <c r="L163" s="445"/>
      <c r="M163" s="433"/>
      <c r="N163" s="484"/>
      <c r="O163" s="785"/>
      <c r="P163" s="484"/>
      <c r="Q163" s="484"/>
      <c r="R163" s="485"/>
      <c r="S163" s="485"/>
      <c r="T163" s="444"/>
      <c r="U163" s="486"/>
      <c r="V163" s="486"/>
      <c r="W163" s="486"/>
      <c r="X163" s="486"/>
      <c r="Y163" s="457"/>
      <c r="Z163" s="457"/>
    </row>
    <row r="164" spans="1:26" s="459" customFormat="1" ht="90">
      <c r="A164" s="462" t="str">
        <f>'TABLA 7 ESTRUCTURA PROGRAMÁTICA'!C126</f>
        <v>5.5 Fortalecimiento, gestión e implementación de medidas para el manejo de la fauna en el dpto. del Cesar</v>
      </c>
      <c r="B164" s="410"/>
      <c r="C164" s="471"/>
      <c r="D164" s="414"/>
      <c r="E164" s="429">
        <f>E165*$K$165+E166*$K$166</f>
        <v>1</v>
      </c>
      <c r="F164" s="359"/>
      <c r="G164" s="429">
        <f>G165*$K$165+G166*$K$166</f>
        <v>1</v>
      </c>
      <c r="H164" s="357"/>
      <c r="I164" s="357"/>
      <c r="J164" s="429">
        <f>J165*$K$165+J166*$K$166</f>
        <v>1</v>
      </c>
      <c r="K164" s="415">
        <v>0.2</v>
      </c>
      <c r="L164" s="428"/>
      <c r="M164" s="429"/>
      <c r="N164" s="487"/>
      <c r="O164" s="358"/>
      <c r="P164" s="487"/>
      <c r="Q164" s="487"/>
      <c r="R164" s="488"/>
      <c r="S164" s="488"/>
      <c r="T164" s="415"/>
      <c r="U164" s="489"/>
      <c r="V164" s="815"/>
      <c r="W164" s="811"/>
      <c r="X164" s="811"/>
      <c r="Y164" s="457"/>
      <c r="Z164" s="457"/>
    </row>
    <row r="165" spans="1:26" s="457" customFormat="1" ht="150">
      <c r="A165" s="463" t="str">
        <f>'TABLA 7 ESTRUCTURA PROGRAMÁTICA'!D126</f>
        <v>5.5.1 Evaluación y  Optimización del proceso operativo del CAVRFFS</v>
      </c>
      <c r="B165" s="741" t="str">
        <f>'TABLA 7 ESTRUCTURA PROGRAMÁTICA'!K126</f>
        <v>Opetividad optimizada</v>
      </c>
      <c r="C165" s="820">
        <f>'TABLA 7 ESTRUCTURA PROGRAMÁTICA'!E126</f>
        <v>1</v>
      </c>
      <c r="D165" s="477">
        <v>1</v>
      </c>
      <c r="E165" s="682">
        <f t="shared" ref="E165:E167" si="106">IF(C165=0,"N.A",(D165/C165)*1)</f>
        <v>1</v>
      </c>
      <c r="F165" s="456" t="s">
        <v>1181</v>
      </c>
      <c r="G165" s="825">
        <f>E165</f>
        <v>1</v>
      </c>
      <c r="H165" s="442">
        <f>'TABLA 7 ESTRUCTURA PROGRAMÁTICA'!I126</f>
        <v>1</v>
      </c>
      <c r="I165" s="478">
        <f>G165</f>
        <v>1</v>
      </c>
      <c r="J165" s="682">
        <f t="shared" si="93"/>
        <v>1</v>
      </c>
      <c r="K165" s="478">
        <v>0.6</v>
      </c>
      <c r="L165" s="427">
        <f>IF(C165=0,G165,(G165*K165))</f>
        <v>0.6</v>
      </c>
      <c r="M165" s="430">
        <f>IF(L165="N.A","N.A",L165*$K$163*$K$164)</f>
        <v>1.2E-2</v>
      </c>
      <c r="N165" s="426">
        <f>(IF(M165="N.A",0,M165))+N161</f>
        <v>0.56423636363636387</v>
      </c>
      <c r="O165" s="1020">
        <f>5400000000+1048229000</f>
        <v>6448229000</v>
      </c>
      <c r="P165" s="977">
        <f>1048229000+726090965</f>
        <v>1774319965</v>
      </c>
      <c r="Q165" s="986">
        <f>P165/O165</f>
        <v>0.27516391942655882</v>
      </c>
      <c r="R165" s="977">
        <f>O165</f>
        <v>6448229000</v>
      </c>
      <c r="S165" s="977">
        <f>P165</f>
        <v>1774319965</v>
      </c>
      <c r="T165" s="992">
        <f>Q165</f>
        <v>0.27516391942655882</v>
      </c>
      <c r="U165" s="977"/>
      <c r="V165" s="1044" t="s">
        <v>1115</v>
      </c>
      <c r="W165" s="1044" t="s">
        <v>1147</v>
      </c>
      <c r="X165" s="1044" t="s">
        <v>1123</v>
      </c>
    </row>
    <row r="166" spans="1:26" s="457" customFormat="1" ht="270">
      <c r="A166" s="463" t="str">
        <f>'TABLA 7 ESTRUCTURA PROGRAMÁTICA'!D127</f>
        <v>5.5.2  Implementación de acciones de los planes de manejo de la fauna amenazada.</v>
      </c>
      <c r="B166" s="741" t="str">
        <f>'TABLA 7 ESTRUCTURA PROGRAMÁTICA'!K127</f>
        <v>Acciones de los PM implementadas</v>
      </c>
      <c r="C166" s="820">
        <f>'TABLA 7 ESTRUCTURA PROGRAMÁTICA'!E127</f>
        <v>1</v>
      </c>
      <c r="D166" s="477">
        <v>7</v>
      </c>
      <c r="E166" s="682">
        <v>1</v>
      </c>
      <c r="F166" s="456" t="s">
        <v>1182</v>
      </c>
      <c r="G166" s="825">
        <f>E166</f>
        <v>1</v>
      </c>
      <c r="H166" s="594">
        <f>'TABLA 7 ESTRUCTURA PROGRAMÁTICA'!I127</f>
        <v>7</v>
      </c>
      <c r="I166" s="478">
        <f>G166</f>
        <v>1</v>
      </c>
      <c r="J166" s="682">
        <f t="shared" si="93"/>
        <v>1</v>
      </c>
      <c r="K166" s="478">
        <v>0.4</v>
      </c>
      <c r="L166" s="427">
        <f>IF(C166=0,G166,(G166*K166))</f>
        <v>0.4</v>
      </c>
      <c r="M166" s="430">
        <f t="shared" ref="M166:M167" si="107">IF(L166="N.A","N.A",L166*$K$163*$K$164)</f>
        <v>8.0000000000000019E-3</v>
      </c>
      <c r="N166" s="426">
        <f>(IF(M166="N.A",0,M166))+N165</f>
        <v>0.57223636363636388</v>
      </c>
      <c r="O166" s="1021"/>
      <c r="P166" s="978"/>
      <c r="Q166" s="987"/>
      <c r="R166" s="978"/>
      <c r="S166" s="978"/>
      <c r="T166" s="993"/>
      <c r="U166" s="978"/>
      <c r="V166" s="1045"/>
      <c r="W166" s="1045"/>
      <c r="X166" s="1045"/>
    </row>
    <row r="167" spans="1:26" s="457" customFormat="1" ht="90">
      <c r="A167" s="463" t="str">
        <f>'TABLA 7 ESTRUCTURA PROGRAMÁTICA'!D128</f>
        <v xml:space="preserve">5.5.3 Revisión, evaluación,  ajuste e implementación de acciones de PM  de especies invasoras (en armonía con objetivos del COTSA).  </v>
      </c>
      <c r="B167" s="741" t="str">
        <f>'TABLA 7 ESTRUCTURA PROGRAMÁTICA'!K128</f>
        <v>Acciones de los PM implementadas</v>
      </c>
      <c r="C167" s="821">
        <f>'TABLA 7 ESTRUCTURA PROGRAMÁTICA'!E128</f>
        <v>0</v>
      </c>
      <c r="D167" s="681">
        <v>0</v>
      </c>
      <c r="E167" s="682" t="str">
        <f t="shared" si="106"/>
        <v>N.A</v>
      </c>
      <c r="F167" s="686" t="s">
        <v>1103</v>
      </c>
      <c r="G167" s="825" t="str">
        <f>E167</f>
        <v>N.A</v>
      </c>
      <c r="H167" s="594">
        <f>'TABLA 7 ESTRUCTURA PROGRAMÁTICA'!I128</f>
        <v>3</v>
      </c>
      <c r="I167" s="478" t="str">
        <f t="shared" ref="I167" si="108">E167</f>
        <v>N.A</v>
      </c>
      <c r="J167" s="682" t="str">
        <f t="shared" si="93"/>
        <v>N.A</v>
      </c>
      <c r="K167" s="478">
        <v>0</v>
      </c>
      <c r="L167" s="427" t="str">
        <f t="shared" ref="L167" si="109">IF(C167=0,E167,(E167*K167))</f>
        <v>N.A</v>
      </c>
      <c r="M167" s="430" t="str">
        <f t="shared" si="107"/>
        <v>N.A</v>
      </c>
      <c r="N167" s="426">
        <f>(IF(M167="N.A",0,M167))+N166</f>
        <v>0.57223636363636388</v>
      </c>
      <c r="O167" s="1022"/>
      <c r="P167" s="979"/>
      <c r="Q167" s="988"/>
      <c r="R167" s="979"/>
      <c r="S167" s="979"/>
      <c r="T167" s="994"/>
      <c r="U167" s="979"/>
      <c r="V167" s="1046"/>
      <c r="W167" s="1046"/>
      <c r="X167" s="1046"/>
    </row>
    <row r="168" spans="1:26" s="457" customFormat="1">
      <c r="A168" s="989" t="s">
        <v>643</v>
      </c>
      <c r="B168" s="990"/>
      <c r="C168" s="990"/>
      <c r="D168" s="990"/>
      <c r="E168" s="990"/>
      <c r="F168" s="991"/>
      <c r="G168" s="407"/>
      <c r="H168" s="416"/>
      <c r="I168" s="419"/>
      <c r="J168" s="682">
        <f t="shared" si="93"/>
        <v>0</v>
      </c>
      <c r="K168" s="761"/>
      <c r="L168" s="429">
        <f>SUM(L165:L167)</f>
        <v>1</v>
      </c>
      <c r="M168" s="430"/>
      <c r="N168" s="426"/>
      <c r="O168" s="799"/>
      <c r="P168" s="501"/>
      <c r="Q168" s="502"/>
      <c r="R168" s="503"/>
      <c r="S168" s="482"/>
      <c r="T168" s="420"/>
      <c r="U168" s="504"/>
      <c r="V168" s="813"/>
      <c r="W168" s="422"/>
      <c r="X168" s="422"/>
    </row>
    <row r="169" spans="1:26" s="424" customFormat="1" ht="60">
      <c r="A169" s="458" t="str">
        <f>'TABLA 7 ESTRUCTURA PROGRAMÁTICA'!B130</f>
        <v>6. ECOEDUCACIÓN: ENDÓGENA Y TRANSVERSAL</v>
      </c>
      <c r="B169" s="753"/>
      <c r="C169" s="469"/>
      <c r="D169" s="470"/>
      <c r="E169" s="433"/>
      <c r="F169" s="436"/>
      <c r="G169" s="409"/>
      <c r="H169" s="441"/>
      <c r="I169" s="441"/>
      <c r="J169" s="441"/>
      <c r="K169" s="444">
        <v>0.1</v>
      </c>
      <c r="L169" s="445"/>
      <c r="M169" s="433"/>
      <c r="N169" s="484"/>
      <c r="O169" s="785"/>
      <c r="P169" s="484"/>
      <c r="Q169" s="484"/>
      <c r="R169" s="485"/>
      <c r="S169" s="485"/>
      <c r="T169" s="444"/>
      <c r="U169" s="486"/>
      <c r="V169" s="486"/>
      <c r="W169" s="486"/>
      <c r="X169" s="486"/>
      <c r="Y169" s="457"/>
      <c r="Z169" s="457"/>
    </row>
    <row r="170" spans="1:26" s="459" customFormat="1" ht="150">
      <c r="A170" s="462" t="str">
        <f>'TABLA 7 ESTRUCTURA PROGRAMÁTICA'!C130</f>
        <v xml:space="preserve">6.1 Fortalecimento de la participación ciudadana en la Gestión ambiental,  con enfoque endógeno y/o cultural,   intergeneracional, y consensual para promover el desarrollo ECOsocial en el dpto del Cesar.  </v>
      </c>
      <c r="B170" s="410"/>
      <c r="C170" s="471"/>
      <c r="D170" s="414"/>
      <c r="E170" s="429">
        <f>E171*$K$171+E173*$K$173+E174*$K$174+E175*$K$175</f>
        <v>1</v>
      </c>
      <c r="F170" s="359"/>
      <c r="G170" s="429">
        <f>G171*$K$171+G173*$K$173+G174*$K$174+G175*$K$175</f>
        <v>1</v>
      </c>
      <c r="H170" s="357"/>
      <c r="I170" s="357"/>
      <c r="J170" s="429">
        <f>J171*$K$171+J173*$K$173+J174*$K$174+J175*$K$175</f>
        <v>1</v>
      </c>
      <c r="K170" s="415">
        <v>0.3</v>
      </c>
      <c r="L170" s="428"/>
      <c r="M170" s="429"/>
      <c r="N170" s="487"/>
      <c r="O170" s="358"/>
      <c r="P170" s="487"/>
      <c r="Q170" s="487"/>
      <c r="R170" s="488"/>
      <c r="S170" s="488"/>
      <c r="T170" s="415"/>
      <c r="U170" s="489"/>
      <c r="V170" s="815"/>
      <c r="W170" s="811"/>
      <c r="X170" s="811"/>
      <c r="Y170" s="457"/>
      <c r="Z170" s="457"/>
    </row>
    <row r="171" spans="1:26" s="457" customFormat="1" ht="390">
      <c r="A171" s="463" t="str">
        <f>'TABLA 7 ESTRUCTURA PROGRAMÁTICA'!D130</f>
        <v xml:space="preserve">6.1.1 Gestión e Implementación de  medidas para el fortalecimiento de  la participación ciudadana en la gestión ambiental </v>
      </c>
      <c r="B171" s="851" t="str">
        <f>'TABLA 7 ESTRUCTURA PROGRAMÁTICA'!K130</f>
        <v>Número de procesos participativos implementados (las 4 act, siguientes/año)</v>
      </c>
      <c r="C171" s="820">
        <f>'TABLA 7 ESTRUCTURA PROGRAMÁTICA'!E130</f>
        <v>3</v>
      </c>
      <c r="D171" s="477">
        <v>3</v>
      </c>
      <c r="E171" s="682">
        <f t="shared" ref="E171:E174" si="110">IF(C171=0,"N.A",(D171/C171)*1)</f>
        <v>1</v>
      </c>
      <c r="F171" s="456" t="s">
        <v>1223</v>
      </c>
      <c r="G171" s="825">
        <f>E171</f>
        <v>1</v>
      </c>
      <c r="H171" s="442">
        <f>'TABLA 7 ESTRUCTURA PROGRAMÁTICA'!I130</f>
        <v>14</v>
      </c>
      <c r="I171" s="478">
        <f>E171</f>
        <v>1</v>
      </c>
      <c r="J171" s="682">
        <f t="shared" si="93"/>
        <v>1</v>
      </c>
      <c r="K171" s="478">
        <v>0.25</v>
      </c>
      <c r="L171" s="427">
        <f>IF(C171=0,E171,(E171*K171))</f>
        <v>0.25</v>
      </c>
      <c r="M171" s="430">
        <f>IF(L171="N.A","N.A",L171*$K$169*$K$170)</f>
        <v>7.4999999999999997E-3</v>
      </c>
      <c r="N171" s="426">
        <f>(IF(M171="N.A",0,M171))+N167</f>
        <v>0.57973636363636383</v>
      </c>
      <c r="O171" s="1020">
        <v>100000000</v>
      </c>
      <c r="P171" s="977">
        <v>66185000</v>
      </c>
      <c r="Q171" s="986">
        <f>P171/O171</f>
        <v>0.66185000000000005</v>
      </c>
      <c r="R171" s="977">
        <f>O171</f>
        <v>100000000</v>
      </c>
      <c r="S171" s="977">
        <f>P171</f>
        <v>66185000</v>
      </c>
      <c r="T171" s="992">
        <f>Q171</f>
        <v>0.66185000000000005</v>
      </c>
      <c r="U171" s="977"/>
      <c r="V171" s="1044" t="s">
        <v>1121</v>
      </c>
      <c r="W171" s="1044" t="s">
        <v>1149</v>
      </c>
      <c r="X171" s="1044" t="s">
        <v>1128</v>
      </c>
    </row>
    <row r="172" spans="1:26" s="457" customFormat="1" ht="120">
      <c r="A172" s="463" t="str">
        <f>'TABLA 7 ESTRUCTURA PROGRAMÁTICA'!D131</f>
        <v xml:space="preserve">6.1.2 Implementación de acciones para incluir el enfoque étnico, de género e intergeneracional en los procesos de educación  ambiental. Asociado con el proyecto 6.2   </v>
      </c>
      <c r="B172" s="851" t="str">
        <f>'TABLA 7 ESTRUCTURA PROGRAMÁTICA'!K131</f>
        <v xml:space="preserve">Número de procesos de educación ambiental con enfoque diferencial realizados     </v>
      </c>
      <c r="C172" s="820">
        <f>'TABLA 7 ESTRUCTURA PROGRAMÁTICA'!E131</f>
        <v>0</v>
      </c>
      <c r="D172" s="477">
        <v>0</v>
      </c>
      <c r="E172" s="682" t="str">
        <f t="shared" si="110"/>
        <v>N.A</v>
      </c>
      <c r="F172" s="456" t="s">
        <v>1103</v>
      </c>
      <c r="G172" s="825" t="str">
        <f t="shared" ref="G172:G175" si="111">E172</f>
        <v>N.A</v>
      </c>
      <c r="H172" s="594">
        <f>'TABLA 7 ESTRUCTURA PROGRAMÁTICA'!I131</f>
        <v>3</v>
      </c>
      <c r="I172" s="478" t="str">
        <f t="shared" ref="I172:I175" si="112">E172</f>
        <v>N.A</v>
      </c>
      <c r="J172" s="682" t="str">
        <f t="shared" si="93"/>
        <v>N.A</v>
      </c>
      <c r="K172" s="478">
        <v>0</v>
      </c>
      <c r="L172" s="427" t="str">
        <f>IF(C172=0,E172,(E172*K172))</f>
        <v>N.A</v>
      </c>
      <c r="M172" s="430" t="str">
        <f t="shared" ref="M172:M174" si="113">IF(L172="N.A","N.A",L172*$K$169*$K$170)</f>
        <v>N.A</v>
      </c>
      <c r="N172" s="426">
        <f>(IF(M172="N.A",0,M172))+N171</f>
        <v>0.57973636363636383</v>
      </c>
      <c r="O172" s="1021"/>
      <c r="P172" s="978"/>
      <c r="Q172" s="987"/>
      <c r="R172" s="978"/>
      <c r="S172" s="978"/>
      <c r="T172" s="993"/>
      <c r="U172" s="978"/>
      <c r="V172" s="1045"/>
      <c r="W172" s="1045"/>
      <c r="X172" s="1045"/>
    </row>
    <row r="173" spans="1:26" s="457" customFormat="1" ht="409.5">
      <c r="A173" s="463" t="str">
        <f>'TABLA 7 ESTRUCTURA PROGRAMÁTICA'!D132</f>
        <v xml:space="preserve">6.1.3 Creación de  escenarios de diálogo entre los ciudadanos  las entidades para la prevención de conflictos socioambientales, en armonía con la actividad 6.1.1 y el proyecto 6.3  </v>
      </c>
      <c r="B173" s="851" t="str">
        <f>'TABLA 7 ESTRUCTURA PROGRAMÁTICA'!K132</f>
        <v xml:space="preserve">Número de acciones realizadas en el marco de la conmemoración del Bicentenario "200 años de biodiversidad"     </v>
      </c>
      <c r="C173" s="820">
        <f>'TABLA 7 ESTRUCTURA PROGRAMÁTICA'!E132</f>
        <v>1</v>
      </c>
      <c r="D173" s="477">
        <v>1</v>
      </c>
      <c r="E173" s="682">
        <f t="shared" si="110"/>
        <v>1</v>
      </c>
      <c r="F173" s="852" t="s">
        <v>1224</v>
      </c>
      <c r="G173" s="825">
        <f t="shared" si="111"/>
        <v>1</v>
      </c>
      <c r="H173" s="594">
        <f>'TABLA 7 ESTRUCTURA PROGRAMÁTICA'!I132</f>
        <v>8</v>
      </c>
      <c r="I173" s="478">
        <f t="shared" si="112"/>
        <v>1</v>
      </c>
      <c r="J173" s="682">
        <f t="shared" si="93"/>
        <v>1</v>
      </c>
      <c r="K173" s="478">
        <v>0.25</v>
      </c>
      <c r="L173" s="427">
        <f>IF(C173=0,E173,(E173*K173))</f>
        <v>0.25</v>
      </c>
      <c r="M173" s="430">
        <f t="shared" si="113"/>
        <v>7.4999999999999997E-3</v>
      </c>
      <c r="N173" s="426">
        <f t="shared" ref="N173:N175" si="114">(IF(M173="N.A",0,M173))+N172</f>
        <v>0.58723636363636378</v>
      </c>
      <c r="O173" s="1021"/>
      <c r="P173" s="978"/>
      <c r="Q173" s="987"/>
      <c r="R173" s="978"/>
      <c r="S173" s="978"/>
      <c r="T173" s="993"/>
      <c r="U173" s="978"/>
      <c r="V173" s="1045"/>
      <c r="W173" s="1045"/>
      <c r="X173" s="1045"/>
    </row>
    <row r="174" spans="1:26" s="457" customFormat="1" ht="180">
      <c r="A174" s="463" t="str">
        <f>'TABLA 7 ESTRUCTURA PROGRAMÁTICA'!D133</f>
        <v xml:space="preserve">6.1.4 Diseño  e implementación de estrategias para el rescate y divulgación de los conocimientos tradicionales asociados al uso y manejo de la biodiversidad en el marco de la conmemoración del  Bicentenario "200 Años de Biodiversidad", en armonía con el MADS </v>
      </c>
      <c r="B174" s="851" t="str">
        <f>'TABLA 7 ESTRUCTURA PROGRAMÁTICA'!K133</f>
        <v>Avance de Estrategia Bicentenario ejecutada</v>
      </c>
      <c r="C174" s="820">
        <f>'TABLA 7 ESTRUCTURA PROGRAMÁTICA'!E133</f>
        <v>20</v>
      </c>
      <c r="D174" s="477">
        <v>20</v>
      </c>
      <c r="E174" s="682">
        <f t="shared" si="110"/>
        <v>1</v>
      </c>
      <c r="F174" s="456" t="s">
        <v>1199</v>
      </c>
      <c r="G174" s="825">
        <f t="shared" si="111"/>
        <v>1</v>
      </c>
      <c r="H174" s="594">
        <f>'TABLA 7 ESTRUCTURA PROGRAMÁTICA'!I133</f>
        <v>100</v>
      </c>
      <c r="I174" s="478">
        <f t="shared" si="112"/>
        <v>1</v>
      </c>
      <c r="J174" s="682">
        <f t="shared" si="93"/>
        <v>1</v>
      </c>
      <c r="K174" s="478">
        <v>0.25</v>
      </c>
      <c r="L174" s="427">
        <f>IF(C174=0,E174,(E174*K174))</f>
        <v>0.25</v>
      </c>
      <c r="M174" s="430">
        <f t="shared" si="113"/>
        <v>7.4999999999999997E-3</v>
      </c>
      <c r="N174" s="426">
        <f t="shared" si="114"/>
        <v>0.59473636363636373</v>
      </c>
      <c r="O174" s="1021"/>
      <c r="P174" s="978"/>
      <c r="Q174" s="987"/>
      <c r="R174" s="978"/>
      <c r="S174" s="978"/>
      <c r="T174" s="993"/>
      <c r="U174" s="978"/>
      <c r="V174" s="1045"/>
      <c r="W174" s="1045"/>
      <c r="X174" s="1045"/>
    </row>
    <row r="175" spans="1:26" s="457" customFormat="1" ht="90">
      <c r="A175" s="463" t="str">
        <f>'TABLA 7 ESTRUCTURA PROGRAMÁTICA'!D134</f>
        <v>6.1.5 Fortalecimiento y apoyo a la participación de los jóvenes de ambiente en el marco de la Política Nacional de Educación Ambiental</v>
      </c>
      <c r="B175" s="851" t="str">
        <f>'TABLA 7 ESTRUCTURA PROGRAMÁTICA'!K134</f>
        <v>Apoyo operativo de la red de jóvenes de ambiente del Cesar</v>
      </c>
      <c r="C175" s="820">
        <f>'TABLA 7 ESTRUCTURA PROGRAMÁTICA'!E134</f>
        <v>1</v>
      </c>
      <c r="D175" s="681">
        <v>1</v>
      </c>
      <c r="E175" s="682">
        <v>1</v>
      </c>
      <c r="F175" s="456" t="s">
        <v>1225</v>
      </c>
      <c r="G175" s="825">
        <f t="shared" si="111"/>
        <v>1</v>
      </c>
      <c r="H175" s="594">
        <f>'TABLA 7 ESTRUCTURA PROGRAMÁTICA'!I134</f>
        <v>4</v>
      </c>
      <c r="I175" s="478">
        <f t="shared" si="112"/>
        <v>1</v>
      </c>
      <c r="J175" s="682">
        <f t="shared" si="93"/>
        <v>1</v>
      </c>
      <c r="K175" s="478">
        <v>0.25</v>
      </c>
      <c r="L175" s="427">
        <f>IF(C175=0,E175,(E175*K175))</f>
        <v>0.25</v>
      </c>
      <c r="M175" s="430">
        <f>IF(L175="N.A","N.A",L175*$K$169*$K$170)</f>
        <v>7.4999999999999997E-3</v>
      </c>
      <c r="N175" s="426">
        <f t="shared" si="114"/>
        <v>0.60223636363636368</v>
      </c>
      <c r="O175" s="1022"/>
      <c r="P175" s="979"/>
      <c r="Q175" s="988"/>
      <c r="R175" s="979"/>
      <c r="S175" s="979"/>
      <c r="T175" s="994"/>
      <c r="U175" s="979"/>
      <c r="V175" s="1046"/>
      <c r="W175" s="1046"/>
      <c r="X175" s="1046"/>
    </row>
    <row r="176" spans="1:26" s="457" customFormat="1">
      <c r="A176" s="989" t="s">
        <v>643</v>
      </c>
      <c r="B176" s="990"/>
      <c r="C176" s="990"/>
      <c r="D176" s="990"/>
      <c r="E176" s="990"/>
      <c r="F176" s="991"/>
      <c r="G176" s="407"/>
      <c r="H176" s="416"/>
      <c r="I176" s="419"/>
      <c r="J176" s="682">
        <f t="shared" si="93"/>
        <v>0</v>
      </c>
      <c r="K176" s="761"/>
      <c r="L176" s="429">
        <f>SUM(L170:L175)</f>
        <v>1</v>
      </c>
      <c r="M176" s="430"/>
      <c r="N176" s="426"/>
      <c r="O176" s="799"/>
      <c r="P176" s="501"/>
      <c r="Q176" s="502"/>
      <c r="R176" s="503"/>
      <c r="S176" s="482"/>
      <c r="T176" s="420"/>
      <c r="U176" s="504"/>
      <c r="V176" s="813"/>
      <c r="W176" s="422"/>
      <c r="X176" s="422"/>
    </row>
    <row r="177" spans="1:26" s="424" customFormat="1" ht="60">
      <c r="A177" s="458" t="str">
        <f>A169</f>
        <v>6. ECOEDUCACIÓN: ENDÓGENA Y TRANSVERSAL</v>
      </c>
      <c r="B177" s="753"/>
      <c r="C177" s="469"/>
      <c r="D177" s="470"/>
      <c r="E177" s="433"/>
      <c r="F177" s="436"/>
      <c r="G177" s="409"/>
      <c r="H177" s="441"/>
      <c r="I177" s="441"/>
      <c r="J177" s="441"/>
      <c r="K177" s="444">
        <v>0.1</v>
      </c>
      <c r="L177" s="445"/>
      <c r="M177" s="433"/>
      <c r="N177" s="484"/>
      <c r="O177" s="785"/>
      <c r="P177" s="484"/>
      <c r="Q177" s="484"/>
      <c r="R177" s="485"/>
      <c r="S177" s="485"/>
      <c r="T177" s="444"/>
      <c r="U177" s="486"/>
      <c r="V177" s="812"/>
      <c r="W177" s="422"/>
      <c r="X177" s="422"/>
      <c r="Y177" s="457"/>
      <c r="Z177" s="457"/>
    </row>
    <row r="178" spans="1:26" s="459" customFormat="1" ht="210">
      <c r="A178" s="462" t="str">
        <f>'TABLA 7 ESTRUCTURA PROGRAMÁTICA'!C136</f>
        <v>6.2 Fortalecimiento y optimización del programa transversal de Educación Ambiental de la Corporación, armonizado a la Política Nacional de Educación Ambiental de Colombia, en el contexto de la propuesta DEPARTAMENTO DEL CESAR - CORPOCESAR– 2020: "Por la sustentabilidad de la vida".</v>
      </c>
      <c r="B178" s="410"/>
      <c r="C178" s="471"/>
      <c r="D178" s="414"/>
      <c r="E178" s="429">
        <f>E179*$K$179+E180*$K$180+E181*$K$181+E182*$K$182+E183*$K$183+E184*$K$184</f>
        <v>0.99999999999999989</v>
      </c>
      <c r="F178" s="359"/>
      <c r="G178" s="429">
        <f>G179*$K$179+G180*$K$180+G181*$K$181+G182*$K$182+G183*$K$183+G184*$K$184</f>
        <v>0.99999999999999989</v>
      </c>
      <c r="H178" s="357"/>
      <c r="I178" s="357"/>
      <c r="J178" s="429">
        <f>J179*$K$179+J180*$K$180+J181*$K$181+J182*$K$182+J183*$K$183+J184*$K$184</f>
        <v>0.99999999999999989</v>
      </c>
      <c r="K178" s="415">
        <v>0.6</v>
      </c>
      <c r="L178" s="428"/>
      <c r="M178" s="429"/>
      <c r="N178" s="487"/>
      <c r="O178" s="358"/>
      <c r="P178" s="487"/>
      <c r="Q178" s="487"/>
      <c r="R178" s="488"/>
      <c r="S178" s="488"/>
      <c r="T178" s="415"/>
      <c r="U178" s="489"/>
      <c r="V178" s="812"/>
      <c r="W178" s="498"/>
      <c r="X178" s="422"/>
      <c r="Y178" s="457"/>
      <c r="Z178" s="457"/>
    </row>
    <row r="179" spans="1:26" s="457" customFormat="1" ht="90">
      <c r="A179" s="1057" t="str">
        <f>'TABLA 7 ESTRUCTURA PROGRAMÁTICA'!D136</f>
        <v>6.2.1 Resignificación de los  PRAES y CIDEAS (Promoción de la incorporación de la dimensión ambiental en la educación formal (contenidos curriculares en PRAES) y apoyo a la implementación de PRAUS, con enfoque en cambio climático.</v>
      </c>
      <c r="B179" s="741" t="str">
        <f>'TABLA 7 ESTRUCTURA PROGRAMÁTICA'!K136</f>
        <v>PRAUS apoyados</v>
      </c>
      <c r="C179" s="820">
        <f>'TABLA 7 ESTRUCTURA PROGRAMÁTICA'!E136</f>
        <v>1</v>
      </c>
      <c r="D179" s="681">
        <v>1</v>
      </c>
      <c r="E179" s="430">
        <f t="shared" ref="E179:E184" si="115">IF(C179=0,"N.A",(D179/C179)*1)</f>
        <v>1</v>
      </c>
      <c r="F179" s="683" t="s">
        <v>1237</v>
      </c>
      <c r="G179" s="827">
        <f>E179</f>
        <v>1</v>
      </c>
      <c r="H179" s="442">
        <f>'TABLA 7 ESTRUCTURA PROGRAMÁTICA'!I136</f>
        <v>5</v>
      </c>
      <c r="I179" s="478">
        <f>E179</f>
        <v>1</v>
      </c>
      <c r="J179" s="682">
        <f t="shared" si="93"/>
        <v>1</v>
      </c>
      <c r="K179" s="478">
        <v>0.1</v>
      </c>
      <c r="L179" s="427">
        <f>IF(C179=0,E179,(E179*K179))</f>
        <v>0.1</v>
      </c>
      <c r="M179" s="430">
        <f>IF(L179="N.A","N.A",L179*$K$178*$K$179)</f>
        <v>6.0000000000000001E-3</v>
      </c>
      <c r="N179" s="426">
        <f>(IF(M179="N.A",0,M179))+N175</f>
        <v>0.60823636363636369</v>
      </c>
      <c r="O179" s="1020">
        <f>200000000+36085000</f>
        <v>236085000</v>
      </c>
      <c r="P179" s="977">
        <f>70000000+36085000</f>
        <v>106085000</v>
      </c>
      <c r="Q179" s="1051">
        <f>P179/O179</f>
        <v>0.44935086939026198</v>
      </c>
      <c r="R179" s="977">
        <f>O179</f>
        <v>236085000</v>
      </c>
      <c r="S179" s="977">
        <f>P179</f>
        <v>106085000</v>
      </c>
      <c r="T179" s="980">
        <f>Q179</f>
        <v>0.44935086939026198</v>
      </c>
      <c r="U179" s="977"/>
      <c r="V179" s="1044" t="s">
        <v>1121</v>
      </c>
      <c r="W179" s="1044" t="str">
        <f>W171</f>
        <v>27. Ejecución de Acciones en Educación Ambiental</v>
      </c>
      <c r="X179" s="1044" t="s">
        <v>1128</v>
      </c>
    </row>
    <row r="180" spans="1:26" s="457" customFormat="1" ht="372" customHeight="1">
      <c r="A180" s="1058"/>
      <c r="B180" s="741" t="str">
        <f>'TABLA 7 ESTRUCTURA PROGRAMÁTICA'!K137</f>
        <v xml:space="preserve">Contenidos curriculares de PRAES fortalecidos e incorporados (avance plan) </v>
      </c>
      <c r="C180" s="820">
        <f>'TABLA 7 ESTRUCTURA PROGRAMÁTICA'!E137</f>
        <v>10</v>
      </c>
      <c r="D180" s="681">
        <v>10</v>
      </c>
      <c r="E180" s="430">
        <f t="shared" si="115"/>
        <v>1</v>
      </c>
      <c r="F180" s="683" t="s">
        <v>1226</v>
      </c>
      <c r="G180" s="827">
        <f t="shared" ref="G180:G184" si="116">E180</f>
        <v>1</v>
      </c>
      <c r="H180" s="594">
        <f>'TABLA 7 ESTRUCTURA PROGRAMÁTICA'!I137</f>
        <v>100</v>
      </c>
      <c r="I180" s="478">
        <f t="shared" ref="I180:I184" si="117">E180</f>
        <v>1</v>
      </c>
      <c r="J180" s="682">
        <f t="shared" si="93"/>
        <v>1</v>
      </c>
      <c r="K180" s="478">
        <v>0.2</v>
      </c>
      <c r="L180" s="427">
        <f>IF(C180=0,E180,(E180*K180))</f>
        <v>0.2</v>
      </c>
      <c r="M180" s="430">
        <f t="shared" ref="M180:M184" si="118">IF(L180="N.A","N.A",L180*$K$178*$K$179)</f>
        <v>1.2E-2</v>
      </c>
      <c r="N180" s="426">
        <f>(IF(M180="N.A",0,M180))+N179</f>
        <v>0.6202363636363637</v>
      </c>
      <c r="O180" s="1021"/>
      <c r="P180" s="978"/>
      <c r="Q180" s="1052"/>
      <c r="R180" s="978"/>
      <c r="S180" s="978"/>
      <c r="T180" s="981"/>
      <c r="U180" s="978"/>
      <c r="V180" s="1045"/>
      <c r="W180" s="1045"/>
      <c r="X180" s="1045"/>
    </row>
    <row r="181" spans="1:26" s="457" customFormat="1" ht="120">
      <c r="A181" s="1058"/>
      <c r="B181" s="741" t="str">
        <f>'TABLA 7 ESTRUCTURA PROGRAMÁTICA'!K138</f>
        <v>CIDEA´s asesorados</v>
      </c>
      <c r="C181" s="820">
        <f>'TABLA 7 ESTRUCTURA PROGRAMÁTICA'!E138</f>
        <v>5</v>
      </c>
      <c r="D181" s="681">
        <v>25</v>
      </c>
      <c r="E181" s="430">
        <v>1</v>
      </c>
      <c r="F181" s="683" t="s">
        <v>1227</v>
      </c>
      <c r="G181" s="827">
        <f t="shared" si="116"/>
        <v>1</v>
      </c>
      <c r="H181" s="594">
        <f>'TABLA 7 ESTRUCTURA PROGRAMÁTICA'!I138</f>
        <v>20</v>
      </c>
      <c r="I181" s="478">
        <f t="shared" si="117"/>
        <v>1</v>
      </c>
      <c r="J181" s="682">
        <f t="shared" si="93"/>
        <v>1</v>
      </c>
      <c r="K181" s="478">
        <v>0.2</v>
      </c>
      <c r="L181" s="427">
        <f>IF(C181=0,E181,(E181*K181))</f>
        <v>0.2</v>
      </c>
      <c r="M181" s="430">
        <f t="shared" si="118"/>
        <v>1.2E-2</v>
      </c>
      <c r="N181" s="426">
        <f t="shared" ref="N181:N184" si="119">(IF(M181="N.A",0,M181))+N180</f>
        <v>0.63223636363636371</v>
      </c>
      <c r="O181" s="1021"/>
      <c r="P181" s="978"/>
      <c r="Q181" s="1052"/>
      <c r="R181" s="978"/>
      <c r="S181" s="978"/>
      <c r="T181" s="981"/>
      <c r="U181" s="978"/>
      <c r="V181" s="1045"/>
      <c r="W181" s="1045"/>
      <c r="X181" s="1045"/>
    </row>
    <row r="182" spans="1:26" s="457" customFormat="1" ht="114" customHeight="1">
      <c r="A182" s="1059"/>
      <c r="B182" s="741" t="str">
        <f>'TABLA 7 ESTRUCTURA PROGRAMÁTICA'!K139</f>
        <v>Miembros CIDEA y educadores ambientales formados</v>
      </c>
      <c r="C182" s="820">
        <f>'TABLA 7 ESTRUCTURA PROGRAMÁTICA'!E139</f>
        <v>10</v>
      </c>
      <c r="D182" s="681">
        <v>25</v>
      </c>
      <c r="E182" s="430">
        <v>1</v>
      </c>
      <c r="F182" s="683" t="s">
        <v>1240</v>
      </c>
      <c r="G182" s="827">
        <f t="shared" si="116"/>
        <v>1</v>
      </c>
      <c r="H182" s="594">
        <f>'TABLA 7 ESTRUCTURA PROGRAMÁTICA'!I139</f>
        <v>35</v>
      </c>
      <c r="I182" s="478">
        <f t="shared" si="117"/>
        <v>1</v>
      </c>
      <c r="J182" s="682">
        <f t="shared" si="93"/>
        <v>1</v>
      </c>
      <c r="K182" s="478">
        <v>0.2</v>
      </c>
      <c r="L182" s="427">
        <f>IF(C182=0,E182,(E182*K182))</f>
        <v>0.2</v>
      </c>
      <c r="M182" s="430">
        <f t="shared" si="118"/>
        <v>1.2E-2</v>
      </c>
      <c r="N182" s="426">
        <f t="shared" si="119"/>
        <v>0.64423636363636372</v>
      </c>
      <c r="O182" s="1021"/>
      <c r="P182" s="978"/>
      <c r="Q182" s="1052"/>
      <c r="R182" s="978"/>
      <c r="S182" s="978"/>
      <c r="T182" s="981"/>
      <c r="U182" s="978"/>
      <c r="V182" s="1045"/>
      <c r="W182" s="1045"/>
      <c r="X182" s="1045"/>
    </row>
    <row r="183" spans="1:26" s="457" customFormat="1" ht="210">
      <c r="A183" s="834" t="str">
        <f>'TABLA 7 ESTRUCTURA PROGRAMÁTICA'!D140</f>
        <v>6.2.2 Promoción del desarrollo de la dimensión ambiental en la educación no formal (PROCEDAS, empresas, investigación en tecnologías limpias).</v>
      </c>
      <c r="B183" s="741" t="str">
        <f>'TABLA 7 ESTRUCTURA PROGRAMÁTICA'!K140</f>
        <v>Gremios, asociaciones, investigaciones apoyadas a través de los PROCEDAS</v>
      </c>
      <c r="C183" s="820">
        <f>'TABLA 7 ESTRUCTURA PROGRAMÁTICA'!E140</f>
        <v>10</v>
      </c>
      <c r="D183" s="681">
        <v>10</v>
      </c>
      <c r="E183" s="430">
        <f t="shared" si="115"/>
        <v>1</v>
      </c>
      <c r="F183" s="683" t="s">
        <v>1228</v>
      </c>
      <c r="G183" s="827">
        <f t="shared" si="116"/>
        <v>1</v>
      </c>
      <c r="H183" s="594">
        <f>'TABLA 7 ESTRUCTURA PROGRAMÁTICA'!I140</f>
        <v>60</v>
      </c>
      <c r="I183" s="478">
        <f t="shared" si="117"/>
        <v>1</v>
      </c>
      <c r="J183" s="682">
        <f t="shared" si="93"/>
        <v>1</v>
      </c>
      <c r="K183" s="478">
        <v>0.2</v>
      </c>
      <c r="L183" s="427">
        <f>IF(C183=0,E183,(E183*K183))</f>
        <v>0.2</v>
      </c>
      <c r="M183" s="430">
        <f t="shared" si="118"/>
        <v>1.2E-2</v>
      </c>
      <c r="N183" s="426">
        <f t="shared" si="119"/>
        <v>0.65623636363636373</v>
      </c>
      <c r="O183" s="1021"/>
      <c r="P183" s="978"/>
      <c r="Q183" s="1052"/>
      <c r="R183" s="978"/>
      <c r="S183" s="978"/>
      <c r="T183" s="981"/>
      <c r="U183" s="978"/>
      <c r="V183" s="1045"/>
      <c r="W183" s="1045"/>
      <c r="X183" s="1045"/>
    </row>
    <row r="184" spans="1:26" s="457" customFormat="1" ht="120">
      <c r="A184" s="834" t="str">
        <f>'TABLA 7 ESTRUCTURA PROGRAMÁTICA'!D141</f>
        <v xml:space="preserve">6.2.3 Apoyo al diseño, implementación y promoción de planes y acciones de educación ambiental, con enfoque en cambio climático, en asocio con el proyecto 2.1 </v>
      </c>
      <c r="B184" s="741" t="str">
        <f>'TABLA 7 ESTRUCTURA PROGRAMÁTICA'!K141</f>
        <v>Proyectos requeridos apoyados/año</v>
      </c>
      <c r="C184" s="820">
        <f>'TABLA 7 ESTRUCTURA PROGRAMÁTICA'!E141</f>
        <v>100</v>
      </c>
      <c r="D184" s="681">
        <v>100</v>
      </c>
      <c r="E184" s="430">
        <f t="shared" si="115"/>
        <v>1</v>
      </c>
      <c r="F184" s="683" t="s">
        <v>1229</v>
      </c>
      <c r="G184" s="827">
        <f t="shared" si="116"/>
        <v>1</v>
      </c>
      <c r="H184" s="594">
        <f>'TABLA 7 ESTRUCTURA PROGRAMÁTICA'!I141</f>
        <v>100</v>
      </c>
      <c r="I184" s="478">
        <f t="shared" si="117"/>
        <v>1</v>
      </c>
      <c r="J184" s="682">
        <f t="shared" si="93"/>
        <v>1</v>
      </c>
      <c r="K184" s="478">
        <v>0.1</v>
      </c>
      <c r="L184" s="427">
        <f t="shared" ref="L184" si="120">IF(C184=0,E184,(E184*K184))</f>
        <v>0.1</v>
      </c>
      <c r="M184" s="430">
        <f t="shared" si="118"/>
        <v>6.0000000000000001E-3</v>
      </c>
      <c r="N184" s="426">
        <f t="shared" si="119"/>
        <v>0.66223636363636373</v>
      </c>
      <c r="O184" s="1021"/>
      <c r="P184" s="978"/>
      <c r="Q184" s="1052"/>
      <c r="R184" s="978"/>
      <c r="S184" s="978"/>
      <c r="T184" s="981"/>
      <c r="U184" s="978"/>
      <c r="V184" s="1046"/>
      <c r="W184" s="1046"/>
      <c r="X184" s="1046"/>
    </row>
    <row r="185" spans="1:26" s="457" customFormat="1">
      <c r="A185" s="989" t="s">
        <v>643</v>
      </c>
      <c r="B185" s="990"/>
      <c r="C185" s="990"/>
      <c r="D185" s="990"/>
      <c r="E185" s="990"/>
      <c r="F185" s="991"/>
      <c r="G185" s="407"/>
      <c r="H185" s="416"/>
      <c r="I185" s="419"/>
      <c r="J185" s="682">
        <f t="shared" si="93"/>
        <v>0</v>
      </c>
      <c r="K185" s="761"/>
      <c r="L185" s="429">
        <f>SUM(L178:L184)</f>
        <v>0.99999999999999989</v>
      </c>
      <c r="M185" s="430"/>
      <c r="N185" s="426"/>
      <c r="O185" s="799"/>
      <c r="P185" s="501"/>
      <c r="Q185" s="502"/>
      <c r="R185" s="503"/>
      <c r="S185" s="482"/>
      <c r="T185" s="420"/>
      <c r="U185" s="504"/>
      <c r="V185" s="813"/>
      <c r="W185" s="422"/>
      <c r="X185" s="422"/>
    </row>
    <row r="186" spans="1:26" s="424" customFormat="1" ht="60">
      <c r="A186" s="458" t="str">
        <f>A177</f>
        <v>6. ECOEDUCACIÓN: ENDÓGENA Y TRANSVERSAL</v>
      </c>
      <c r="B186" s="753"/>
      <c r="C186" s="469"/>
      <c r="D186" s="470"/>
      <c r="E186" s="433"/>
      <c r="F186" s="436"/>
      <c r="G186" s="409"/>
      <c r="H186" s="441"/>
      <c r="I186" s="441"/>
      <c r="J186" s="441"/>
      <c r="K186" s="444">
        <v>0.1</v>
      </c>
      <c r="L186" s="445"/>
      <c r="M186" s="433"/>
      <c r="N186" s="484"/>
      <c r="O186" s="785"/>
      <c r="P186" s="484"/>
      <c r="Q186" s="484"/>
      <c r="R186" s="485"/>
      <c r="S186" s="485"/>
      <c r="T186" s="444"/>
      <c r="U186" s="486"/>
      <c r="V186" s="812"/>
      <c r="W186" s="422"/>
      <c r="X186" s="422"/>
      <c r="Y186" s="457"/>
      <c r="Z186" s="457"/>
    </row>
    <row r="187" spans="1:26" s="459" customFormat="1" ht="150">
      <c r="A187" s="462" t="str">
        <f>'TABLA 7 ESTRUCTURA PROGRAMÁTICA'!C143</f>
        <v>6.3 Planeación, gestión e Implementación de acciones  para el manejo de conflictos socioambientales  asociados a la productividad económica y/o uso de RN en áreas estratégicas del Cesar.</v>
      </c>
      <c r="B187" s="410"/>
      <c r="C187" s="471"/>
      <c r="D187" s="414"/>
      <c r="E187" s="429">
        <f>E190*$K$190</f>
        <v>1</v>
      </c>
      <c r="F187" s="359"/>
      <c r="G187" s="429">
        <f>G190*$K$190</f>
        <v>1</v>
      </c>
      <c r="H187" s="357"/>
      <c r="I187" s="357"/>
      <c r="J187" s="429">
        <f>J190*$K$190</f>
        <v>1</v>
      </c>
      <c r="K187" s="415">
        <v>0.1</v>
      </c>
      <c r="L187" s="428"/>
      <c r="M187" s="429"/>
      <c r="N187" s="487"/>
      <c r="O187" s="358"/>
      <c r="P187" s="487"/>
      <c r="Q187" s="487"/>
      <c r="R187" s="488"/>
      <c r="S187" s="488"/>
      <c r="T187" s="415"/>
      <c r="U187" s="489"/>
      <c r="V187" s="812"/>
      <c r="W187" s="422"/>
      <c r="X187" s="422"/>
      <c r="Y187" s="457"/>
      <c r="Z187" s="457"/>
    </row>
    <row r="188" spans="1:26" s="457" customFormat="1" ht="120">
      <c r="A188" s="476" t="str">
        <f>'TABLA 7 ESTRUCTURA PROGRAMÁTICA'!D143</f>
        <v xml:space="preserve">6.3.1 Apoyo a la estructuración, implementación y evaluación de compromisos en negocios verdes con enfoque cultural y/o diferencial  (comunidad étnica, y  afrodescendiente). en armonía con la actividad 5.1.4 </v>
      </c>
      <c r="B188" s="741" t="str">
        <f>'TABLA 7 ESTRUCTURA PROGRAMÁTICA'!K143</f>
        <v>Negocios verdes apoyados con enfoque diferencial.</v>
      </c>
      <c r="C188" s="820">
        <f>'TABLA 7 ESTRUCTURA PROGRAMÁTICA'!E143</f>
        <v>0</v>
      </c>
      <c r="D188" s="477">
        <v>0</v>
      </c>
      <c r="E188" s="430" t="str">
        <f>IF(C188=0,"N.A",(D188/C188)*1)</f>
        <v>N.A</v>
      </c>
      <c r="F188" s="476" t="s">
        <v>1103</v>
      </c>
      <c r="G188" s="827" t="str">
        <f>E188</f>
        <v>N.A</v>
      </c>
      <c r="H188" s="442">
        <f>'TABLA 7 ESTRUCTURA PROGRAMÁTICA'!I143</f>
        <v>3</v>
      </c>
      <c r="I188" s="478" t="str">
        <f t="shared" ref="I188:I190" si="121">E188</f>
        <v>N.A</v>
      </c>
      <c r="J188" s="682" t="str">
        <f t="shared" si="93"/>
        <v>N.A</v>
      </c>
      <c r="K188" s="478">
        <v>0</v>
      </c>
      <c r="L188" s="427" t="str">
        <f>IF(C188=0,E188,(E188*K188))</f>
        <v>N.A</v>
      </c>
      <c r="M188" s="430" t="str">
        <f>IF(L188="N.A","N.A",L188*$K$187*$K$188)</f>
        <v>N.A</v>
      </c>
      <c r="N188" s="426">
        <f>(IF(M188="N.A",0,M188))+N184</f>
        <v>0.66223636363636373</v>
      </c>
      <c r="O188" s="1020">
        <v>150000000</v>
      </c>
      <c r="P188" s="977">
        <v>71827340</v>
      </c>
      <c r="Q188" s="986">
        <f>P188/O188</f>
        <v>0.47884893333333334</v>
      </c>
      <c r="R188" s="977">
        <f>O188</f>
        <v>150000000</v>
      </c>
      <c r="S188" s="977">
        <f>P188</f>
        <v>71827340</v>
      </c>
      <c r="T188" s="980">
        <f>Q188</f>
        <v>0.47884893333333334</v>
      </c>
      <c r="U188" s="977"/>
      <c r="V188" s="1044" t="s">
        <v>1121</v>
      </c>
      <c r="W188" s="1044" t="str">
        <f>W171</f>
        <v>27. Ejecución de Acciones en Educación Ambiental</v>
      </c>
      <c r="X188" s="1044" t="s">
        <v>1128</v>
      </c>
    </row>
    <row r="189" spans="1:26" s="457" customFormat="1" ht="90">
      <c r="A189" s="476" t="str">
        <f>'TABLA 7 ESTRUCTURA PROGRAMÁTICA'!D144</f>
        <v xml:space="preserve">6.3.2 Implementación de Cátedra social de cambio climático y riesgo ambiental para la productividad con eco-educación (vía one-line pág. web de Corpocesar) </v>
      </c>
      <c r="B189" s="741" t="str">
        <f>'TABLA 7 ESTRUCTURA PROGRAMÁTICA'!K144</f>
        <v>Cátedra implementada</v>
      </c>
      <c r="C189" s="820">
        <f>'TABLA 7 ESTRUCTURA PROGRAMÁTICA'!E144</f>
        <v>0</v>
      </c>
      <c r="D189" s="477">
        <v>0</v>
      </c>
      <c r="E189" s="430" t="str">
        <f t="shared" ref="E189:E190" si="122">IF(C189=0,"N.A",(D189/C189)*1)</f>
        <v>N.A</v>
      </c>
      <c r="F189" s="476" t="s">
        <v>1103</v>
      </c>
      <c r="G189" s="827" t="str">
        <f t="shared" ref="G189:G190" si="123">E189</f>
        <v>N.A</v>
      </c>
      <c r="H189" s="594">
        <f>'TABLA 7 ESTRUCTURA PROGRAMÁTICA'!I144</f>
        <v>1</v>
      </c>
      <c r="I189" s="478" t="str">
        <f t="shared" si="121"/>
        <v>N.A</v>
      </c>
      <c r="J189" s="682" t="str">
        <f t="shared" si="93"/>
        <v>N.A</v>
      </c>
      <c r="K189" s="478">
        <v>0</v>
      </c>
      <c r="L189" s="427" t="str">
        <f t="shared" ref="L189:L190" si="124">IF(C189=0,E189,(E189*K189))</f>
        <v>N.A</v>
      </c>
      <c r="M189" s="430" t="str">
        <f>IF(L189="N.A","N.A",L189*$K$187*$K$188)</f>
        <v>N.A</v>
      </c>
      <c r="N189" s="426">
        <f>(IF(M189="N.A",0,M189))+N188</f>
        <v>0.66223636363636373</v>
      </c>
      <c r="O189" s="1021"/>
      <c r="P189" s="978"/>
      <c r="Q189" s="987"/>
      <c r="R189" s="978"/>
      <c r="S189" s="978"/>
      <c r="T189" s="981"/>
      <c r="U189" s="978"/>
      <c r="V189" s="1045"/>
      <c r="W189" s="1045"/>
      <c r="X189" s="1045"/>
    </row>
    <row r="190" spans="1:26" s="457" customFormat="1" ht="248.25" customHeight="1">
      <c r="A190" s="476" t="str">
        <f>'TABLA 7 ESTRUCTURA PROGRAMÁTICA'!D145</f>
        <v>6.3.3 Implementación de estrategia para disminución de conflictos por uso de la Ciénaga de Zapatosa</v>
      </c>
      <c r="B190" s="741" t="str">
        <f>'TABLA 7 ESTRUCTURA PROGRAMÁTICA'!K145</f>
        <v>Avance de estrategia implementada y evaluada</v>
      </c>
      <c r="C190" s="820">
        <f>'TABLA 7 ESTRUCTURA PROGRAMÁTICA'!E145</f>
        <v>10</v>
      </c>
      <c r="D190" s="681">
        <v>10</v>
      </c>
      <c r="E190" s="430">
        <f t="shared" si="122"/>
        <v>1</v>
      </c>
      <c r="F190" s="853" t="s">
        <v>1230</v>
      </c>
      <c r="G190" s="827">
        <f t="shared" si="123"/>
        <v>1</v>
      </c>
      <c r="H190" s="594">
        <f>'TABLA 7 ESTRUCTURA PROGRAMÁTICA'!I145</f>
        <v>100</v>
      </c>
      <c r="I190" s="478">
        <f t="shared" si="121"/>
        <v>1</v>
      </c>
      <c r="J190" s="682">
        <f t="shared" si="93"/>
        <v>1</v>
      </c>
      <c r="K190" s="478">
        <v>1</v>
      </c>
      <c r="L190" s="427">
        <f t="shared" si="124"/>
        <v>1</v>
      </c>
      <c r="M190" s="430">
        <f>IF(L190="N.A","N.A",L190*$K$187*$K$188)</f>
        <v>0</v>
      </c>
      <c r="N190" s="426">
        <f>(IF(M190="N.A",0,M190))+N189</f>
        <v>0.66223636363636373</v>
      </c>
      <c r="O190" s="1021"/>
      <c r="P190" s="978"/>
      <c r="Q190" s="987"/>
      <c r="R190" s="978"/>
      <c r="S190" s="978"/>
      <c r="T190" s="981"/>
      <c r="U190" s="978"/>
      <c r="V190" s="1046"/>
      <c r="W190" s="1046"/>
      <c r="X190" s="1046"/>
    </row>
    <row r="191" spans="1:26" s="457" customFormat="1">
      <c r="A191" s="989" t="s">
        <v>643</v>
      </c>
      <c r="B191" s="990"/>
      <c r="C191" s="990"/>
      <c r="D191" s="990"/>
      <c r="E191" s="990"/>
      <c r="F191" s="991"/>
      <c r="G191" s="407"/>
      <c r="H191" s="416"/>
      <c r="I191" s="419"/>
      <c r="J191" s="682">
        <f t="shared" si="93"/>
        <v>0</v>
      </c>
      <c r="K191" s="761"/>
      <c r="L191" s="429">
        <f>SUM(L188:L190)</f>
        <v>1</v>
      </c>
      <c r="M191" s="430"/>
      <c r="N191" s="426"/>
      <c r="O191" s="799"/>
      <c r="P191" s="501"/>
      <c r="Q191" s="502"/>
      <c r="R191" s="503"/>
      <c r="S191" s="482"/>
      <c r="T191" s="420"/>
      <c r="U191" s="504"/>
      <c r="V191" s="813"/>
      <c r="W191" s="422"/>
      <c r="X191" s="422"/>
    </row>
    <row r="192" spans="1:26" s="424" customFormat="1" ht="90">
      <c r="A192" s="458" t="str">
        <f>'TABLA 7 ESTRUCTURA PROGRAMÁTICA'!B147</f>
        <v xml:space="preserve">7.                                                                                                                                         PACTANDO EQUIDAD:  ANCESTRAL Y DIFERENCIAL </v>
      </c>
      <c r="B192" s="753"/>
      <c r="C192" s="469"/>
      <c r="D192" s="470"/>
      <c r="E192" s="433"/>
      <c r="F192" s="436"/>
      <c r="G192" s="409"/>
      <c r="H192" s="441"/>
      <c r="I192" s="441"/>
      <c r="J192" s="441"/>
      <c r="K192" s="444">
        <v>0.05</v>
      </c>
      <c r="L192" s="445"/>
      <c r="M192" s="433"/>
      <c r="N192" s="484"/>
      <c r="O192" s="785"/>
      <c r="P192" s="484"/>
      <c r="Q192" s="484"/>
      <c r="R192" s="485"/>
      <c r="S192" s="485"/>
      <c r="T192" s="444"/>
      <c r="U192" s="486"/>
      <c r="V192" s="812"/>
      <c r="W192" s="422"/>
      <c r="X192" s="422"/>
      <c r="Y192" s="457"/>
      <c r="Z192" s="457"/>
    </row>
    <row r="193" spans="1:27" s="459" customFormat="1" ht="180">
      <c r="A193" s="462" t="str">
        <f>'TABLA 7 ESTRUCTURA PROGRAMÁTICA'!C147</f>
        <v>7.1 Implementación de estrategias para el manejo ambiental en territorios indígenas de la Sierra Nevada de Santa Marta y Serranía de Perijá,   incorporando la cosmovisión de los pueblos indígenas  y  el enfoque diferencial en la restauración ecológica integral .</v>
      </c>
      <c r="B193" s="410"/>
      <c r="C193" s="471"/>
      <c r="D193" s="414"/>
      <c r="E193" s="429">
        <f>E195*$K$195</f>
        <v>1</v>
      </c>
      <c r="F193" s="359"/>
      <c r="G193" s="429">
        <f>G195*$K$195</f>
        <v>1</v>
      </c>
      <c r="H193" s="357"/>
      <c r="I193" s="357"/>
      <c r="J193" s="429">
        <f>J195*$K$195</f>
        <v>1</v>
      </c>
      <c r="K193" s="415">
        <v>0.5</v>
      </c>
      <c r="L193" s="428"/>
      <c r="M193" s="429"/>
      <c r="N193" s="487"/>
      <c r="O193" s="358"/>
      <c r="P193" s="487"/>
      <c r="Q193" s="487"/>
      <c r="R193" s="488"/>
      <c r="S193" s="488"/>
      <c r="T193" s="415"/>
      <c r="U193" s="489"/>
      <c r="V193" s="812"/>
      <c r="W193" s="422"/>
      <c r="X193" s="422"/>
      <c r="Y193" s="457"/>
      <c r="Z193" s="457"/>
    </row>
    <row r="194" spans="1:27" s="457" customFormat="1" ht="212.25" customHeight="1">
      <c r="A194" s="701" t="str">
        <f>'TABLA 7 ESTRUCTURA PROGRAMÁTICA'!D147</f>
        <v>7.1.1 Implemetación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v>
      </c>
      <c r="B194" s="758" t="str">
        <f>'TABLA 7 ESTRUCTURA PROGRAMÁTICA'!K147</f>
        <v>Acciones priorizadas y/o implementadas</v>
      </c>
      <c r="C194" s="820">
        <f>'TABLA 7 ESTRUCTURA PROGRAMÁTICA'!E147</f>
        <v>0</v>
      </c>
      <c r="D194" s="681">
        <v>0</v>
      </c>
      <c r="E194" s="682" t="str">
        <f t="shared" ref="E194:E200" si="125">IF(C194=0,"N.A",(D194/C194)*1)</f>
        <v>N.A</v>
      </c>
      <c r="F194" s="683" t="s">
        <v>1103</v>
      </c>
      <c r="G194" s="825" t="str">
        <f>E194</f>
        <v>N.A</v>
      </c>
      <c r="H194" s="442">
        <f>'TABLA 7 ESTRUCTURA PROGRAMÁTICA'!I147</f>
        <v>3</v>
      </c>
      <c r="I194" s="682" t="str">
        <f>E194</f>
        <v>N.A</v>
      </c>
      <c r="J194" s="682" t="str">
        <f t="shared" si="93"/>
        <v>N.A</v>
      </c>
      <c r="K194" s="478">
        <v>0</v>
      </c>
      <c r="L194" s="427" t="str">
        <f>IF(C194=0,E194,(E194*K194))</f>
        <v>N.A</v>
      </c>
      <c r="M194" s="430" t="str">
        <f>IF(L194="N.A","N.A",L194*$K$192*$K$193)</f>
        <v>N.A</v>
      </c>
      <c r="N194" s="426">
        <f>(IF(M194="N.A",0,M194))+N190</f>
        <v>0.66223636363636373</v>
      </c>
      <c r="O194" s="1020">
        <f>300000000+1808000</f>
        <v>301808000</v>
      </c>
      <c r="P194" s="977">
        <f>79905362+1808000</f>
        <v>81713362</v>
      </c>
      <c r="Q194" s="986">
        <f>P194/O194</f>
        <v>0.27074617637703441</v>
      </c>
      <c r="R194" s="977">
        <f>O194</f>
        <v>301808000</v>
      </c>
      <c r="S194" s="977">
        <f>P194</f>
        <v>81713362</v>
      </c>
      <c r="T194" s="980">
        <f>Q194</f>
        <v>0.27074617637703441</v>
      </c>
      <c r="U194" s="1044"/>
      <c r="V194" s="1044" t="s">
        <v>1115</v>
      </c>
      <c r="W194" s="1044" t="s">
        <v>1128</v>
      </c>
      <c r="X194" s="1044" t="s">
        <v>1128</v>
      </c>
    </row>
    <row r="195" spans="1:27" s="457" customFormat="1" ht="188.25" customHeight="1">
      <c r="A195" s="456" t="str">
        <f>'TABLA 7 ESTRUCTURA PROGRAMÁTICA'!D148</f>
        <v xml:space="preserve">7.1.2 Gestión, coordinación y evaluación al cumplimiento y materialización de acuerdos pactados mediante protocolización de consultas previas, en el marco de los POMCA adoptados, según responsabilidades de los consejos de cuencas. </v>
      </c>
      <c r="B195" s="758" t="str">
        <f>'TABLA 7 ESTRUCTURA PROGRAMÁTICA'!K148</f>
        <v xml:space="preserve">Avance del proceso de materialización de acuerdos/consejos de cuencas </v>
      </c>
      <c r="C195" s="820">
        <f>'TABLA 7 ESTRUCTURA PROGRAMÁTICA'!E148</f>
        <v>10</v>
      </c>
      <c r="D195" s="477">
        <v>10</v>
      </c>
      <c r="E195" s="682">
        <f t="shared" si="125"/>
        <v>1</v>
      </c>
      <c r="F195" s="683" t="s">
        <v>1244</v>
      </c>
      <c r="G195" s="825">
        <f t="shared" ref="G195:G200" si="126">E195</f>
        <v>1</v>
      </c>
      <c r="H195" s="594">
        <f>'TABLA 7 ESTRUCTURA PROGRAMÁTICA'!I148</f>
        <v>35</v>
      </c>
      <c r="I195" s="682">
        <f t="shared" ref="I195:I200" si="127">E195</f>
        <v>1</v>
      </c>
      <c r="J195" s="682">
        <f t="shared" si="93"/>
        <v>1</v>
      </c>
      <c r="K195" s="478">
        <v>1</v>
      </c>
      <c r="L195" s="427">
        <f t="shared" ref="L195:L200" si="128">IF(C195=0,E195,(E195*K195))</f>
        <v>1</v>
      </c>
      <c r="M195" s="430">
        <f t="shared" ref="M195:M200" si="129">IF(L195="N.A","N.A",L195*$K$192*$K$193)</f>
        <v>2.5000000000000001E-2</v>
      </c>
      <c r="N195" s="426">
        <f>(IF(M195="N.A",0,M195))+N194</f>
        <v>0.68723636363636376</v>
      </c>
      <c r="O195" s="1021"/>
      <c r="P195" s="978"/>
      <c r="Q195" s="987"/>
      <c r="R195" s="978"/>
      <c r="S195" s="978"/>
      <c r="T195" s="981"/>
      <c r="U195" s="1045"/>
      <c r="V195" s="1045"/>
      <c r="W195" s="1045"/>
      <c r="X195" s="1045"/>
    </row>
    <row r="196" spans="1:27" s="457" customFormat="1" ht="120">
      <c r="A196" s="456" t="str">
        <f>'TABLA 7 ESTRUCTURA PROGRAMÁTICA'!D149</f>
        <v xml:space="preserve">7.1.3 Identificación de  oportunidades y necesidades de gestión del cambio climático en territorios étnicos para la implementación de acciones de manejo conjuntas con enfoque diferencial.  </v>
      </c>
      <c r="B196" s="758" t="str">
        <f>'TABLA 7 ESTRUCTURA PROGRAMÁTICA'!K149</f>
        <v xml:space="preserve">Estudios de identificación </v>
      </c>
      <c r="C196" s="820">
        <f>'TABLA 7 ESTRUCTURA PROGRAMÁTICA'!E149</f>
        <v>0</v>
      </c>
      <c r="D196" s="681">
        <v>0</v>
      </c>
      <c r="E196" s="682" t="str">
        <f t="shared" si="125"/>
        <v>N.A</v>
      </c>
      <c r="F196" s="683" t="s">
        <v>1103</v>
      </c>
      <c r="G196" s="825" t="str">
        <f t="shared" si="126"/>
        <v>N.A</v>
      </c>
      <c r="H196" s="594">
        <f>'TABLA 7 ESTRUCTURA PROGRAMÁTICA'!I149</f>
        <v>2</v>
      </c>
      <c r="I196" s="682" t="str">
        <f t="shared" si="127"/>
        <v>N.A</v>
      </c>
      <c r="J196" s="682" t="str">
        <f t="shared" si="93"/>
        <v>N.A</v>
      </c>
      <c r="K196" s="478">
        <v>0</v>
      </c>
      <c r="L196" s="427" t="str">
        <f t="shared" si="128"/>
        <v>N.A</v>
      </c>
      <c r="M196" s="430" t="str">
        <f t="shared" si="129"/>
        <v>N.A</v>
      </c>
      <c r="N196" s="426">
        <f t="shared" ref="N196:N200" si="130">(IF(M196="N.A",0,M196))+N195</f>
        <v>0.68723636363636376</v>
      </c>
      <c r="O196" s="1021"/>
      <c r="P196" s="978"/>
      <c r="Q196" s="987"/>
      <c r="R196" s="978"/>
      <c r="S196" s="978"/>
      <c r="T196" s="981"/>
      <c r="U196" s="1045"/>
      <c r="V196" s="1045"/>
      <c r="W196" s="1045"/>
      <c r="X196" s="1045"/>
    </row>
    <row r="197" spans="1:27" s="457" customFormat="1" ht="90">
      <c r="A197" s="702" t="str">
        <f>'TABLA 7 ESTRUCTURA PROGRAMÁTICA'!D150</f>
        <v xml:space="preserve">7.1.4 Desarrollo de escenario de gobernanza con grupos étnicos para la gestión de estrategias de Prevención de conflictos socioambientales. </v>
      </c>
      <c r="B197" s="758" t="str">
        <f>'TABLA 7 ESTRUCTURA PROGRAMÁTICA'!K150</f>
        <v>Encuentros realizados (SNSM; SP)</v>
      </c>
      <c r="C197" s="820">
        <f>'TABLA 7 ESTRUCTURA PROGRAMÁTICA'!E150</f>
        <v>0</v>
      </c>
      <c r="D197" s="684">
        <v>0</v>
      </c>
      <c r="E197" s="682" t="str">
        <f t="shared" si="125"/>
        <v>N.A</v>
      </c>
      <c r="F197" s="683" t="s">
        <v>1103</v>
      </c>
      <c r="G197" s="825" t="str">
        <f t="shared" si="126"/>
        <v>N.A</v>
      </c>
      <c r="H197" s="594">
        <f>'TABLA 7 ESTRUCTURA PROGRAMÁTICA'!I150</f>
        <v>2</v>
      </c>
      <c r="I197" s="682" t="str">
        <f t="shared" si="127"/>
        <v>N.A</v>
      </c>
      <c r="J197" s="682" t="str">
        <f t="shared" si="93"/>
        <v>N.A</v>
      </c>
      <c r="K197" s="478">
        <v>0</v>
      </c>
      <c r="L197" s="427" t="str">
        <f t="shared" si="128"/>
        <v>N.A</v>
      </c>
      <c r="M197" s="430" t="str">
        <f t="shared" si="129"/>
        <v>N.A</v>
      </c>
      <c r="N197" s="426">
        <f t="shared" si="130"/>
        <v>0.68723636363636376</v>
      </c>
      <c r="O197" s="1021"/>
      <c r="P197" s="978"/>
      <c r="Q197" s="987"/>
      <c r="R197" s="978"/>
      <c r="S197" s="978"/>
      <c r="T197" s="981"/>
      <c r="U197" s="1045"/>
      <c r="V197" s="1045"/>
      <c r="W197" s="1045"/>
      <c r="X197" s="1045"/>
    </row>
    <row r="198" spans="1:27" s="457" customFormat="1" ht="150">
      <c r="A198" s="702" t="str">
        <f>'TABLA 7 ESTRUCTURA PROGRAMÁTICA'!D151</f>
        <v>7.1.5 Gestion, y apoyo y/o Construcción de sistemas de abastecimiento de agua,  de manejo integral de residuos y  de saneamiento básico (baterías sanitarias)  en asentamientos de comunidades  indígenas.</v>
      </c>
      <c r="B198" s="758" t="str">
        <f>'TABLA 7 ESTRUCTURA PROGRAMÁTICA'!K151</f>
        <v>Sistemas apoyados y/o construidos</v>
      </c>
      <c r="C198" s="820">
        <f>'TABLA 7 ESTRUCTURA PROGRAMÁTICA'!E151</f>
        <v>0</v>
      </c>
      <c r="D198" s="684">
        <v>0</v>
      </c>
      <c r="E198" s="682" t="str">
        <f t="shared" si="125"/>
        <v>N.A</v>
      </c>
      <c r="F198" s="740" t="s">
        <v>1112</v>
      </c>
      <c r="G198" s="825" t="str">
        <f>E198</f>
        <v>N.A</v>
      </c>
      <c r="H198" s="594">
        <f>'TABLA 7 ESTRUCTURA PROGRAMÁTICA'!I151</f>
        <v>3</v>
      </c>
      <c r="I198" s="682" t="str">
        <f>G198</f>
        <v>N.A</v>
      </c>
      <c r="J198" s="682" t="str">
        <f t="shared" si="93"/>
        <v>N.A</v>
      </c>
      <c r="K198" s="478">
        <v>0</v>
      </c>
      <c r="L198" s="427" t="str">
        <f>IF(C198=0,G198,(G198*K198))</f>
        <v>N.A</v>
      </c>
      <c r="M198" s="430" t="str">
        <f t="shared" si="129"/>
        <v>N.A</v>
      </c>
      <c r="N198" s="426">
        <f>(IF(M198="N.A",0,M198))+N197</f>
        <v>0.68723636363636376</v>
      </c>
      <c r="O198" s="1021"/>
      <c r="P198" s="978"/>
      <c r="Q198" s="987"/>
      <c r="R198" s="978"/>
      <c r="S198" s="978"/>
      <c r="T198" s="981"/>
      <c r="U198" s="1045"/>
      <c r="V198" s="1045"/>
      <c r="W198" s="1045"/>
      <c r="X198" s="1045"/>
    </row>
    <row r="199" spans="1:27" s="457" customFormat="1" ht="210">
      <c r="A199" s="456" t="str">
        <f>'TABLA 7 ESTRUCTURA PROGRAMÁTICA'!D152</f>
        <v>7.1.6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v>
      </c>
      <c r="B199" s="758" t="str">
        <f>'TABLA 7 ESTRUCTURA PROGRAMÁTICA'!K152</f>
        <v xml:space="preserve">Estrategias implementadas </v>
      </c>
      <c r="C199" s="820">
        <f>'TABLA 7 ESTRUCTURA PROGRAMÁTICA'!E152</f>
        <v>0</v>
      </c>
      <c r="D199" s="684">
        <v>0</v>
      </c>
      <c r="E199" s="682" t="str">
        <f t="shared" si="125"/>
        <v>N.A</v>
      </c>
      <c r="F199" s="740" t="s">
        <v>1103</v>
      </c>
      <c r="G199" s="825" t="str">
        <f t="shared" si="126"/>
        <v>N.A</v>
      </c>
      <c r="H199" s="594">
        <f>'TABLA 7 ESTRUCTURA PROGRAMÁTICA'!I152</f>
        <v>3</v>
      </c>
      <c r="I199" s="682" t="str">
        <f t="shared" si="127"/>
        <v>N.A</v>
      </c>
      <c r="J199" s="682" t="str">
        <f t="shared" si="93"/>
        <v>N.A</v>
      </c>
      <c r="K199" s="478">
        <v>0</v>
      </c>
      <c r="L199" s="427" t="str">
        <f t="shared" si="128"/>
        <v>N.A</v>
      </c>
      <c r="M199" s="430" t="str">
        <f>IF(L199="N.A","N.A",L199*$K$192*$K$193)</f>
        <v>N.A</v>
      </c>
      <c r="N199" s="426">
        <f t="shared" si="130"/>
        <v>0.68723636363636376</v>
      </c>
      <c r="O199" s="1021"/>
      <c r="P199" s="978"/>
      <c r="Q199" s="987"/>
      <c r="R199" s="978"/>
      <c r="S199" s="978"/>
      <c r="T199" s="981"/>
      <c r="U199" s="1045"/>
      <c r="V199" s="1045"/>
      <c r="W199" s="1045"/>
      <c r="X199" s="1045"/>
    </row>
    <row r="200" spans="1:27" s="457" customFormat="1" ht="120">
      <c r="A200" s="456" t="str">
        <f>'TABLA 7 ESTRUCTURA PROGRAMÁTICA'!D153</f>
        <v>7.1.7 Apoyo para la determinación de línea base socioambiental  en asentamientos indígenas para fundamentar procesos geopolíticos en la Serranía del Perijá.</v>
      </c>
      <c r="B200" s="758" t="str">
        <f>'TABLA 7 ESTRUCTURA PROGRAMÁTICA'!K153</f>
        <v xml:space="preserve">LB apoyada </v>
      </c>
      <c r="C200" s="820">
        <f>'TABLA 7 ESTRUCTURA PROGRAMÁTICA'!E153</f>
        <v>0</v>
      </c>
      <c r="D200" s="684">
        <v>0</v>
      </c>
      <c r="E200" s="682" t="str">
        <f t="shared" si="125"/>
        <v>N.A</v>
      </c>
      <c r="F200" s="740" t="s">
        <v>1103</v>
      </c>
      <c r="G200" s="825" t="str">
        <f t="shared" si="126"/>
        <v>N.A</v>
      </c>
      <c r="H200" s="594">
        <f>'TABLA 7 ESTRUCTURA PROGRAMÁTICA'!I153</f>
        <v>1</v>
      </c>
      <c r="I200" s="682" t="str">
        <f t="shared" si="127"/>
        <v>N.A</v>
      </c>
      <c r="J200" s="682" t="str">
        <f t="shared" si="93"/>
        <v>N.A</v>
      </c>
      <c r="K200" s="478">
        <v>0</v>
      </c>
      <c r="L200" s="427" t="str">
        <f t="shared" si="128"/>
        <v>N.A</v>
      </c>
      <c r="M200" s="430" t="str">
        <f t="shared" si="129"/>
        <v>N.A</v>
      </c>
      <c r="N200" s="426">
        <f t="shared" si="130"/>
        <v>0.68723636363636376</v>
      </c>
      <c r="O200" s="1022"/>
      <c r="P200" s="979"/>
      <c r="Q200" s="988"/>
      <c r="R200" s="979"/>
      <c r="S200" s="979"/>
      <c r="T200" s="982"/>
      <c r="U200" s="1046"/>
      <c r="V200" s="1046"/>
      <c r="W200" s="1046"/>
      <c r="X200" s="1046"/>
    </row>
    <row r="201" spans="1:27" s="457" customFormat="1">
      <c r="A201" s="989" t="s">
        <v>643</v>
      </c>
      <c r="B201" s="990"/>
      <c r="C201" s="990"/>
      <c r="D201" s="990"/>
      <c r="E201" s="990"/>
      <c r="F201" s="991"/>
      <c r="G201" s="407"/>
      <c r="H201" s="416"/>
      <c r="I201" s="419"/>
      <c r="J201" s="682">
        <f t="shared" si="93"/>
        <v>0</v>
      </c>
      <c r="K201" s="761"/>
      <c r="L201" s="824">
        <f>SUM(L193:L200)</f>
        <v>1</v>
      </c>
      <c r="M201" s="430"/>
      <c r="N201" s="426"/>
      <c r="O201" s="799"/>
      <c r="P201" s="501"/>
      <c r="Q201" s="502"/>
      <c r="R201" s="503"/>
      <c r="S201" s="482"/>
      <c r="T201" s="420"/>
      <c r="U201" s="504"/>
      <c r="V201" s="813"/>
      <c r="W201" s="422"/>
      <c r="X201" s="422"/>
    </row>
    <row r="202" spans="1:27" s="424" customFormat="1" ht="90">
      <c r="A202" s="458" t="str">
        <f>A192</f>
        <v xml:space="preserve">7.                                                                                                                                         PACTANDO EQUIDAD:  ANCESTRAL Y DIFERENCIAL </v>
      </c>
      <c r="B202" s="753"/>
      <c r="C202" s="469"/>
      <c r="D202" s="470"/>
      <c r="E202" s="433"/>
      <c r="F202" s="436"/>
      <c r="G202" s="409"/>
      <c r="H202" s="441"/>
      <c r="I202" s="441"/>
      <c r="J202" s="441"/>
      <c r="K202" s="444">
        <v>0.05</v>
      </c>
      <c r="L202" s="445"/>
      <c r="M202" s="433"/>
      <c r="N202" s="484"/>
      <c r="O202" s="785"/>
      <c r="P202" s="484"/>
      <c r="Q202" s="484"/>
      <c r="R202" s="485"/>
      <c r="S202" s="485"/>
      <c r="T202" s="444"/>
      <c r="U202" s="486"/>
      <c r="V202" s="812"/>
      <c r="W202" s="422"/>
      <c r="X202" s="422"/>
      <c r="Y202" s="457"/>
      <c r="Z202" s="457"/>
    </row>
    <row r="203" spans="1:27" s="459" customFormat="1" ht="150">
      <c r="A203" s="462" t="str">
        <f>'TABLA 7 ESTRUCTURA PROGRAMÁTICA'!C155</f>
        <v xml:space="preserve">7.2 Implementación de estrategias para el manejo ambiental en comunidades afrodescendientes,  otras minorías étnicas, y/o poblaciones victimas del conflicto armado en el dpto. del Cesar. </v>
      </c>
      <c r="B203" s="410"/>
      <c r="C203" s="471"/>
      <c r="D203" s="414"/>
      <c r="E203" s="429">
        <f>E204*$K$204+E205*$K$205</f>
        <v>0.75</v>
      </c>
      <c r="F203" s="359"/>
      <c r="G203" s="429">
        <f>G204*$K$204+G205*$K$205</f>
        <v>0.75</v>
      </c>
      <c r="H203" s="357"/>
      <c r="I203" s="357"/>
      <c r="J203" s="429">
        <f>J204*$K$204+J205*$K$205</f>
        <v>0.75</v>
      </c>
      <c r="K203" s="415">
        <v>0.5</v>
      </c>
      <c r="L203" s="428"/>
      <c r="M203" s="429"/>
      <c r="N203" s="487"/>
      <c r="O203" s="358"/>
      <c r="P203" s="487"/>
      <c r="Q203" s="487"/>
      <c r="R203" s="488"/>
      <c r="S203" s="488"/>
      <c r="T203" s="415"/>
      <c r="U203" s="489"/>
      <c r="V203" s="812"/>
      <c r="W203" s="422"/>
      <c r="X203" s="422"/>
      <c r="Y203" s="457"/>
      <c r="Z203" s="457"/>
    </row>
    <row r="204" spans="1:27" s="457" customFormat="1" ht="202.5" customHeight="1">
      <c r="A204" s="456" t="str">
        <f>'TABLA 7 ESTRUCTURA PROGRAMÁTICA'!D155</f>
        <v xml:space="preserve">7.2.1  Priorización de acciones (según capacidad y competencia)  para el apoyo conjunto con el MADS a  territorios colectivos y otras minorías vulnerables, en el marco del Pacto por los grupos étnicos  del PND 2018-2022. </v>
      </c>
      <c r="B204" s="750" t="str">
        <f>'TABLA 7 ESTRUCTURA PROGRAMÁTICA'!K155</f>
        <v xml:space="preserve">Acciones priorizadas </v>
      </c>
      <c r="C204" s="820">
        <f>'TABLA 7 ESTRUCTURA PROGRAMÁTICA'!E155</f>
        <v>1</v>
      </c>
      <c r="D204" s="477">
        <v>1</v>
      </c>
      <c r="E204" s="430">
        <f t="shared" ref="E204:E206" si="131">IF(C204=0,"N.A",(D204/C204)*1)</f>
        <v>1</v>
      </c>
      <c r="F204" s="456" t="s">
        <v>1252</v>
      </c>
      <c r="G204" s="827">
        <f>E204</f>
        <v>1</v>
      </c>
      <c r="H204" s="442">
        <f>'TABLA 7 ESTRUCTURA PROGRAMÁTICA'!I155</f>
        <v>3</v>
      </c>
      <c r="I204" s="478">
        <f>E204</f>
        <v>1</v>
      </c>
      <c r="J204" s="682">
        <f t="shared" ref="J204:J265" si="132">I204</f>
        <v>1</v>
      </c>
      <c r="K204" s="478">
        <v>0.5</v>
      </c>
      <c r="L204" s="427">
        <f>IF(C204=0,E204,(E204*K204))</f>
        <v>0.5</v>
      </c>
      <c r="M204" s="430">
        <f>IF(L204="N.A","N.A",L204*$K$202*$K$203)</f>
        <v>1.2500000000000001E-2</v>
      </c>
      <c r="N204" s="426">
        <f>(IF(M204="N.A",0,M204))+N200</f>
        <v>0.69973636363636371</v>
      </c>
      <c r="O204" s="1020">
        <v>200000000</v>
      </c>
      <c r="P204" s="977">
        <v>61321400</v>
      </c>
      <c r="Q204" s="986">
        <f>P204/O204</f>
        <v>0.30660700000000002</v>
      </c>
      <c r="R204" s="977">
        <f>O204</f>
        <v>200000000</v>
      </c>
      <c r="S204" s="977">
        <f>P204</f>
        <v>61321400</v>
      </c>
      <c r="T204" s="980">
        <f>Q204</f>
        <v>0.30660700000000002</v>
      </c>
      <c r="U204" s="977"/>
      <c r="V204" s="1044" t="s">
        <v>1115</v>
      </c>
      <c r="W204" s="1044" t="s">
        <v>1128</v>
      </c>
      <c r="X204" s="1044" t="s">
        <v>1128</v>
      </c>
      <c r="Y204" s="1076"/>
      <c r="Z204" s="1076"/>
      <c r="AA204" s="1076"/>
    </row>
    <row r="205" spans="1:27" s="457" customFormat="1" ht="180" customHeight="1">
      <c r="A205" s="456" t="str">
        <f>'TABLA 7 ESTRUCTURA PROGRAMÁTICA'!D156</f>
        <v xml:space="preserve">7.2.2  Implementación de proyectos  agroforestales como alternativa de sostenibilidad ambiental  para el óptimo aprovechamiento y/o uso del suelo, y que favorezcan las condiciones alimentarias de subsistencia de las comunidades afrocolombianas  </v>
      </c>
      <c r="B205" s="750" t="str">
        <f>'TABLA 7 ESTRUCTURA PROGRAMÁTICA'!K156</f>
        <v xml:space="preserve">no de proyectos implementados </v>
      </c>
      <c r="C205" s="820">
        <f>'TABLA 7 ESTRUCTURA PROGRAMÁTICA'!E156</f>
        <v>1</v>
      </c>
      <c r="D205" s="477">
        <v>0.5</v>
      </c>
      <c r="E205" s="430">
        <f t="shared" si="131"/>
        <v>0.5</v>
      </c>
      <c r="F205" s="456" t="s">
        <v>1253</v>
      </c>
      <c r="G205" s="827">
        <f t="shared" ref="G205:G206" si="133">E205</f>
        <v>0.5</v>
      </c>
      <c r="H205" s="594">
        <f>'TABLA 7 ESTRUCTURA PROGRAMÁTICA'!I156</f>
        <v>3</v>
      </c>
      <c r="I205" s="478">
        <f t="shared" ref="I205:I206" si="134">E205</f>
        <v>0.5</v>
      </c>
      <c r="J205" s="682">
        <f t="shared" si="132"/>
        <v>0.5</v>
      </c>
      <c r="K205" s="478">
        <v>0.5</v>
      </c>
      <c r="L205" s="427">
        <f t="shared" ref="L205:L206" si="135">IF(C205=0,E205,(E205*K205))</f>
        <v>0.25</v>
      </c>
      <c r="M205" s="430">
        <f t="shared" ref="M205:M206" si="136">IF(L205="N.A","N.A",L205*$K$202*$K$203)</f>
        <v>6.2500000000000003E-3</v>
      </c>
      <c r="N205" s="426">
        <f>(IF(M205="N.A",0,M205))+N204</f>
        <v>0.70598636363636369</v>
      </c>
      <c r="O205" s="1021"/>
      <c r="P205" s="978"/>
      <c r="Q205" s="987"/>
      <c r="R205" s="978"/>
      <c r="S205" s="978"/>
      <c r="T205" s="981"/>
      <c r="U205" s="978"/>
      <c r="V205" s="1045"/>
      <c r="W205" s="1045"/>
      <c r="X205" s="1045"/>
      <c r="Y205" s="1074"/>
      <c r="Z205" s="1074"/>
      <c r="AA205" s="1074"/>
    </row>
    <row r="206" spans="1:27" s="457" customFormat="1" ht="180">
      <c r="A206" s="456" t="str">
        <f>'TABLA 7 ESTRUCTURA PROGRAMÁTICA'!D157</f>
        <v xml:space="preserve">7.2.3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 </v>
      </c>
      <c r="B206" s="750" t="str">
        <f>'TABLA 7 ESTRUCTURA PROGRAMÁTICA'!K157</f>
        <v>Acciones de identificación, caracterización y/o capacitación</v>
      </c>
      <c r="C206" s="820">
        <f>'TABLA 7 ESTRUCTURA PROGRAMÁTICA'!E157</f>
        <v>0</v>
      </c>
      <c r="D206" s="477">
        <v>0</v>
      </c>
      <c r="E206" s="430" t="str">
        <f t="shared" si="131"/>
        <v>N.A</v>
      </c>
      <c r="F206" s="456"/>
      <c r="G206" s="827" t="str">
        <f t="shared" si="133"/>
        <v>N.A</v>
      </c>
      <c r="H206" s="594">
        <f>'TABLA 7 ESTRUCTURA PROGRAMÁTICA'!I157</f>
        <v>3</v>
      </c>
      <c r="I206" s="478" t="str">
        <f t="shared" si="134"/>
        <v>N.A</v>
      </c>
      <c r="J206" s="682" t="str">
        <f t="shared" si="132"/>
        <v>N.A</v>
      </c>
      <c r="K206" s="478">
        <v>0</v>
      </c>
      <c r="L206" s="427" t="str">
        <f t="shared" si="135"/>
        <v>N.A</v>
      </c>
      <c r="M206" s="430" t="str">
        <f t="shared" si="136"/>
        <v>N.A</v>
      </c>
      <c r="N206" s="426">
        <f>(IF(M206="N.A",0,M206))+N205</f>
        <v>0.70598636363636369</v>
      </c>
      <c r="O206" s="1021"/>
      <c r="P206" s="978"/>
      <c r="Q206" s="987"/>
      <c r="R206" s="978"/>
      <c r="S206" s="978"/>
      <c r="T206" s="981"/>
      <c r="U206" s="978"/>
      <c r="V206" s="1046"/>
      <c r="W206" s="1046"/>
      <c r="X206" s="1046"/>
      <c r="Y206" s="1075"/>
      <c r="Z206" s="1075"/>
      <c r="AA206" s="1075"/>
    </row>
    <row r="207" spans="1:27" s="457" customFormat="1">
      <c r="A207" s="989" t="s">
        <v>643</v>
      </c>
      <c r="B207" s="990"/>
      <c r="C207" s="990"/>
      <c r="D207" s="990"/>
      <c r="E207" s="990"/>
      <c r="F207" s="991"/>
      <c r="G207" s="407"/>
      <c r="H207" s="416"/>
      <c r="I207" s="419"/>
      <c r="J207" s="682">
        <f t="shared" si="132"/>
        <v>0</v>
      </c>
      <c r="K207" s="761"/>
      <c r="L207" s="429">
        <f>SUM(L203:L206)</f>
        <v>0.75</v>
      </c>
      <c r="M207" s="430"/>
      <c r="N207" s="426"/>
      <c r="O207" s="799"/>
      <c r="P207" s="501"/>
      <c r="Q207" s="502"/>
      <c r="R207" s="503"/>
      <c r="S207" s="482"/>
      <c r="T207" s="420"/>
      <c r="U207" s="504"/>
      <c r="V207" s="813"/>
      <c r="W207" s="422"/>
      <c r="X207" s="422"/>
    </row>
    <row r="208" spans="1:27" s="424" customFormat="1">
      <c r="A208" s="458" t="str">
        <f>'TABLA 7 ESTRUCTURA PROGRAMÁTICA'!B159</f>
        <v>8. DESARROLLO INSTITUCIONAL SINÉRGICO</v>
      </c>
      <c r="B208" s="753"/>
      <c r="C208" s="469"/>
      <c r="D208" s="470"/>
      <c r="E208" s="433"/>
      <c r="F208" s="436"/>
      <c r="G208" s="409"/>
      <c r="H208" s="441"/>
      <c r="I208" s="441"/>
      <c r="J208" s="441"/>
      <c r="K208" s="444">
        <v>0.05</v>
      </c>
      <c r="L208" s="445"/>
      <c r="M208" s="433"/>
      <c r="N208" s="484"/>
      <c r="O208" s="785"/>
      <c r="P208" s="484"/>
      <c r="Q208" s="484"/>
      <c r="R208" s="485"/>
      <c r="S208" s="485"/>
      <c r="T208" s="444"/>
      <c r="U208" s="486"/>
      <c r="V208" s="812"/>
      <c r="W208" s="422"/>
      <c r="X208" s="422"/>
      <c r="Y208" s="457"/>
      <c r="Z208" s="457"/>
    </row>
    <row r="209" spans="1:26" s="459" customFormat="1" ht="120">
      <c r="A209" s="462" t="str">
        <f>'TABLA 7 ESTRUCTURA PROGRAMÁTICA'!C159</f>
        <v>8.1  Fortalecimiento  e implementación de medidas  Técnicas, económicas  y financieras  para la sostenibilidad  administrativa y financiera  de Corpocesar.</v>
      </c>
      <c r="B209" s="410"/>
      <c r="C209" s="471"/>
      <c r="D209" s="414"/>
      <c r="E209" s="832">
        <f>E210*$K$210+E212*$K$212+E213*$K$213+E214*$K$214+E215*$K$215+E216*$K$216+E217*$K$217+E221*$K$221</f>
        <v>0.8</v>
      </c>
      <c r="F209" s="359"/>
      <c r="G209" s="832">
        <f>G210*$K$210+G212*$K$212+G213*$K$213+G214*$K$214+G215*$K$215+G216*$K$216+G217*$K$217+G221*$K$221</f>
        <v>0.8</v>
      </c>
      <c r="H209" s="357"/>
      <c r="I209" s="357"/>
      <c r="J209" s="429" t="e">
        <f>J210*$K$210+J211*$K$211+J212*$K$212+J213*$K$213+J214*$K$214+J215*$K$215+J216*$K$216+J217*$K$217+J221*$K$221</f>
        <v>#VALUE!</v>
      </c>
      <c r="K209" s="415">
        <v>0.4</v>
      </c>
      <c r="L209" s="428"/>
      <c r="M209" s="429"/>
      <c r="N209" s="487"/>
      <c r="O209" s="358"/>
      <c r="P209" s="487"/>
      <c r="Q209" s="487"/>
      <c r="R209" s="488"/>
      <c r="S209" s="488"/>
      <c r="T209" s="415"/>
      <c r="U209" s="489"/>
      <c r="V209" s="812"/>
      <c r="W209" s="422"/>
      <c r="X209" s="422"/>
      <c r="Y209" s="457"/>
      <c r="Z209" s="457"/>
    </row>
    <row r="210" spans="1:26" s="457" customFormat="1" ht="240">
      <c r="A210" s="1029" t="str">
        <f>'TABLA 7 ESTRUCTURA PROGRAMÁTICA'!D159</f>
        <v xml:space="preserve">8.1.1 Implementación y valoración cuantitativa  de estrategias eficaces en el Recaudo de las rentas propias de la entidad  (gestión de cobro persuasivo, coactivo y de saneamiento contable, Adecuada implementación de la reglamentación existente en materia de tasas ambientales; otros) </v>
      </c>
      <c r="B210" s="750" t="str">
        <f>'TABLA 7 ESTRUCTURA PROGRAMÁTICA'!K159</f>
        <v>Estrategias implementadas  evaluadas</v>
      </c>
      <c r="C210" s="820">
        <f>'TABLA 7 ESTRUCTURA PROGRAMÁTICA'!E159</f>
        <v>1</v>
      </c>
      <c r="D210" s="684">
        <v>1</v>
      </c>
      <c r="E210" s="682">
        <f t="shared" ref="E210:E221" si="137">IF(C210=0,"N.A",(D210/C210)*1)</f>
        <v>1</v>
      </c>
      <c r="F210" s="456" t="s">
        <v>1254</v>
      </c>
      <c r="G210" s="825">
        <f>E210</f>
        <v>1</v>
      </c>
      <c r="H210" s="442">
        <f>'TABLA 7 ESTRUCTURA PROGRAMÁTICA'!I159</f>
        <v>4</v>
      </c>
      <c r="I210" s="478">
        <f>E210</f>
        <v>1</v>
      </c>
      <c r="J210" s="682">
        <f t="shared" si="132"/>
        <v>1</v>
      </c>
      <c r="K210" s="478">
        <v>0.2</v>
      </c>
      <c r="L210" s="427">
        <f>IF(C210=0,E210,(E210*K210))</f>
        <v>0.2</v>
      </c>
      <c r="M210" s="430">
        <f>IF(L210="N.A","N.A",L210*$K$208*$K$209)</f>
        <v>4.000000000000001E-3</v>
      </c>
      <c r="N210" s="426">
        <f>(IF(M210="N.A",0,M210))+N206</f>
        <v>0.70998636363636369</v>
      </c>
      <c r="O210" s="1020">
        <f>500000000+176195197+51750000</f>
        <v>727945197</v>
      </c>
      <c r="P210" s="977">
        <f>51750000+142070663+106229825</f>
        <v>300050488</v>
      </c>
      <c r="Q210" s="1051">
        <f>P210/O210</f>
        <v>0.41218829279534347</v>
      </c>
      <c r="R210" s="977">
        <f>O210</f>
        <v>727945197</v>
      </c>
      <c r="S210" s="977">
        <f>P210</f>
        <v>300050488</v>
      </c>
      <c r="T210" s="980">
        <f>Q210</f>
        <v>0.41218829279534347</v>
      </c>
      <c r="U210" s="977"/>
      <c r="V210" s="1044" t="s">
        <v>1122</v>
      </c>
      <c r="W210" s="1044" t="s">
        <v>729</v>
      </c>
      <c r="X210" s="1044" t="s">
        <v>1129</v>
      </c>
    </row>
    <row r="211" spans="1:26" s="457" customFormat="1" ht="90">
      <c r="A211" s="1031"/>
      <c r="B211" s="750" t="str">
        <f>'TABLA 7 ESTRUCTURA PROGRAMÁTICA'!K160</f>
        <v xml:space="preserve">Nuevas estrategias (tributo de carbono, tasas) implementadas/año </v>
      </c>
      <c r="C211" s="820">
        <f>'TABLA 7 ESTRUCTURA PROGRAMÁTICA'!E160</f>
        <v>0</v>
      </c>
      <c r="D211" s="681">
        <v>0</v>
      </c>
      <c r="E211" s="682" t="str">
        <f t="shared" si="137"/>
        <v>N.A</v>
      </c>
      <c r="F211" s="456" t="s">
        <v>1103</v>
      </c>
      <c r="G211" s="825" t="str">
        <f t="shared" ref="G211:G220" si="138">E211</f>
        <v>N.A</v>
      </c>
      <c r="H211" s="594">
        <f>'TABLA 7 ESTRUCTURA PROGRAMÁTICA'!I160</f>
        <v>4</v>
      </c>
      <c r="I211" s="478" t="str">
        <f t="shared" ref="I211:I221" si="139">E211</f>
        <v>N.A</v>
      </c>
      <c r="J211" s="682" t="str">
        <f t="shared" si="132"/>
        <v>N.A</v>
      </c>
      <c r="K211" s="478">
        <v>0</v>
      </c>
      <c r="L211" s="427" t="str">
        <f t="shared" ref="L211:L221" si="140">IF(C211=0,E211,(E211*K211))</f>
        <v>N.A</v>
      </c>
      <c r="M211" s="430" t="str">
        <f t="shared" ref="M211:M221" si="141">IF(L211="N.A","N.A",L211*$K$208*$K$209)</f>
        <v>N.A</v>
      </c>
      <c r="N211" s="426">
        <f>(IF(M211="N.A",0,M211))+N210</f>
        <v>0.70998636363636369</v>
      </c>
      <c r="O211" s="1021"/>
      <c r="P211" s="978"/>
      <c r="Q211" s="1052"/>
      <c r="R211" s="978"/>
      <c r="S211" s="978"/>
      <c r="T211" s="981"/>
      <c r="U211" s="978"/>
      <c r="V211" s="1045"/>
      <c r="W211" s="1045"/>
      <c r="X211" s="1045"/>
    </row>
    <row r="212" spans="1:26" s="457" customFormat="1" ht="150">
      <c r="A212" s="456" t="str">
        <f>'TABLA 7 ESTRUCTURA PROGRAMÁTICA'!D161</f>
        <v xml:space="preserve">8.1.2 Gestión y actualización efectiva de la base de datos de usuarios de la TUA enfocada a la reglamentación y/o ordenación de corrientes, teniendo en cuenta la variabilidad climática  (asocio con el programa 2)   </v>
      </c>
      <c r="B212" s="750" t="str">
        <f>'TABLA 7 ESTRUCTURA PROGRAMÁTICA'!K161</f>
        <v>Avance de Base de datos TUA actualizada</v>
      </c>
      <c r="C212" s="820">
        <f>'TABLA 7 ESTRUCTURA PROGRAMÁTICA'!E161</f>
        <v>20</v>
      </c>
      <c r="D212" s="681">
        <v>10</v>
      </c>
      <c r="E212" s="682">
        <f t="shared" si="137"/>
        <v>0.5</v>
      </c>
      <c r="F212" s="456" t="s">
        <v>1131</v>
      </c>
      <c r="G212" s="825">
        <f t="shared" si="138"/>
        <v>0.5</v>
      </c>
      <c r="H212" s="594">
        <f>'TABLA 7 ESTRUCTURA PROGRAMÁTICA'!I161</f>
        <v>100</v>
      </c>
      <c r="I212" s="478">
        <f t="shared" si="139"/>
        <v>0.5</v>
      </c>
      <c r="J212" s="682">
        <f t="shared" si="132"/>
        <v>0.5</v>
      </c>
      <c r="K212" s="478">
        <v>0.3</v>
      </c>
      <c r="L212" s="427">
        <f t="shared" si="140"/>
        <v>0.15</v>
      </c>
      <c r="M212" s="430">
        <f t="shared" si="141"/>
        <v>3.0000000000000001E-3</v>
      </c>
      <c r="N212" s="426">
        <f t="shared" ref="N212:N221" si="142">(IF(M212="N.A",0,M212))+N211</f>
        <v>0.7129863636363637</v>
      </c>
      <c r="O212" s="1021"/>
      <c r="P212" s="978"/>
      <c r="Q212" s="1052"/>
      <c r="R212" s="978"/>
      <c r="S212" s="978"/>
      <c r="T212" s="981"/>
      <c r="U212" s="978"/>
      <c r="V212" s="1045"/>
      <c r="W212" s="1045"/>
      <c r="X212" s="1045"/>
    </row>
    <row r="213" spans="1:26" s="457" customFormat="1" ht="90">
      <c r="A213" s="456" t="str">
        <f>'TABLA 7 ESTRUCTURA PROGRAMÁTICA'!D162</f>
        <v xml:space="preserve">8.1.3 Control y seguimiento a la gestión de la tasa retributiva para promover la eficacia y eficiencia de la reinversión, en armonía con Actividad  2.4.3 </v>
      </c>
      <c r="B213" s="750" t="str">
        <f>'TABLA 7 ESTRUCTURA PROGRAMÁTICA'!K162</f>
        <v xml:space="preserve">Fuente TR controlada </v>
      </c>
      <c r="C213" s="820">
        <f>'TABLA 7 ESTRUCTURA PROGRAMÁTICA'!E162</f>
        <v>20</v>
      </c>
      <c r="D213" s="681">
        <v>20</v>
      </c>
      <c r="E213" s="682">
        <f t="shared" si="137"/>
        <v>1</v>
      </c>
      <c r="F213" s="456" t="s">
        <v>1200</v>
      </c>
      <c r="G213" s="825">
        <f t="shared" si="138"/>
        <v>1</v>
      </c>
      <c r="H213" s="594">
        <f>'TABLA 7 ESTRUCTURA PROGRAMÁTICA'!I162</f>
        <v>100</v>
      </c>
      <c r="I213" s="478">
        <f t="shared" si="139"/>
        <v>1</v>
      </c>
      <c r="J213" s="682">
        <f t="shared" si="132"/>
        <v>1</v>
      </c>
      <c r="K213" s="478">
        <v>0.15</v>
      </c>
      <c r="L213" s="427">
        <f t="shared" si="140"/>
        <v>0.15</v>
      </c>
      <c r="M213" s="430">
        <f t="shared" si="141"/>
        <v>3.0000000000000001E-3</v>
      </c>
      <c r="N213" s="426">
        <f t="shared" si="142"/>
        <v>0.7159863636363637</v>
      </c>
      <c r="O213" s="1021"/>
      <c r="P213" s="978"/>
      <c r="Q213" s="1052"/>
      <c r="R213" s="978"/>
      <c r="S213" s="978"/>
      <c r="T213" s="981"/>
      <c r="U213" s="978"/>
      <c r="V213" s="1045"/>
      <c r="W213" s="1045"/>
      <c r="X213" s="1045"/>
    </row>
    <row r="214" spans="1:26" s="457" customFormat="1" ht="180">
      <c r="A214" s="456" t="str">
        <f>'TABLA 7 ESTRUCTURA PROGRAMÁTICA'!D163</f>
        <v xml:space="preserve">8.1.4 Sostenimiento técnico y adtvo  en la Implementación de las NIIF, IGPR, PCT, y otros instrumentos de apoyo  (cumplimiento tributario, contable, operativo, y   reportes de información correspondientes en los tiempos y bajo los parámetros establecidos. etc) </v>
      </c>
      <c r="B214" s="750" t="str">
        <f>'TABLA 7 ESTRUCTURA PROGRAMÁTICA'!K163</f>
        <v xml:space="preserve">Capacidad operativa de apoyo </v>
      </c>
      <c r="C214" s="820">
        <f>'TABLA 7 ESTRUCTURA PROGRAMÁTICA'!E163</f>
        <v>100</v>
      </c>
      <c r="D214" s="681">
        <v>100</v>
      </c>
      <c r="E214" s="682">
        <f t="shared" si="137"/>
        <v>1</v>
      </c>
      <c r="F214" s="683" t="s">
        <v>1201</v>
      </c>
      <c r="G214" s="825">
        <f t="shared" si="138"/>
        <v>1</v>
      </c>
      <c r="H214" s="594">
        <f>'TABLA 7 ESTRUCTURA PROGRAMÁTICA'!I163</f>
        <v>100</v>
      </c>
      <c r="I214" s="478">
        <f t="shared" si="139"/>
        <v>1</v>
      </c>
      <c r="J214" s="682">
        <f t="shared" si="132"/>
        <v>1</v>
      </c>
      <c r="K214" s="478">
        <v>0.15</v>
      </c>
      <c r="L214" s="427">
        <f t="shared" si="140"/>
        <v>0.15</v>
      </c>
      <c r="M214" s="430">
        <f t="shared" si="141"/>
        <v>3.0000000000000001E-3</v>
      </c>
      <c r="N214" s="426">
        <f t="shared" si="142"/>
        <v>0.7189863636363637</v>
      </c>
      <c r="O214" s="1021"/>
      <c r="P214" s="978"/>
      <c r="Q214" s="1052"/>
      <c r="R214" s="978"/>
      <c r="S214" s="978"/>
      <c r="T214" s="981"/>
      <c r="U214" s="978"/>
      <c r="V214" s="1045"/>
      <c r="W214" s="1045"/>
      <c r="X214" s="1045"/>
    </row>
    <row r="215" spans="1:26" s="457" customFormat="1" ht="101.25" customHeight="1">
      <c r="A215" s="1042" t="str">
        <f>'TABLA 7 ESTRUCTURA PROGRAMÁTICA'!D164</f>
        <v>8.1.5 Ejecución de las inversiones en preservación, restauración, uso sostenible y generación de conocimiento (art.  11 de la Ley 1955 de 2019 y los artículos 24 y 25 de la Ley 1930 de 2018) y Participación en los espacios de consulta pública de los proyectos de reglamentación de los instrumentos económicos, financieros y de mercado, liderados por el MADS.</v>
      </c>
      <c r="B215" s="750" t="str">
        <f>'TABLA 7 ESTRUCTURA PROGRAMÁTICA'!K164</f>
        <v>Indice de ejecución RAE/GI</v>
      </c>
      <c r="C215" s="820">
        <f>'TABLA 7 ESTRUCTURA PROGRAMÁTICA'!E164</f>
        <v>60</v>
      </c>
      <c r="D215" s="681">
        <v>50</v>
      </c>
      <c r="E215" s="682">
        <f t="shared" si="137"/>
        <v>0.83333333333333337</v>
      </c>
      <c r="F215" s="683" t="s">
        <v>1202</v>
      </c>
      <c r="G215" s="825">
        <f t="shared" si="138"/>
        <v>0.83333333333333337</v>
      </c>
      <c r="H215" s="594">
        <f>'TABLA 7 ESTRUCTURA PROGRAMÁTICA'!I164</f>
        <v>95</v>
      </c>
      <c r="I215" s="478">
        <f t="shared" si="139"/>
        <v>0.83333333333333337</v>
      </c>
      <c r="J215" s="682">
        <f t="shared" si="132"/>
        <v>0.83333333333333337</v>
      </c>
      <c r="K215" s="478">
        <v>0.05</v>
      </c>
      <c r="L215" s="427">
        <f t="shared" si="140"/>
        <v>4.1666666666666671E-2</v>
      </c>
      <c r="M215" s="430">
        <f t="shared" si="141"/>
        <v>8.333333333333335E-4</v>
      </c>
      <c r="N215" s="426">
        <f t="shared" si="142"/>
        <v>0.71981969696969705</v>
      </c>
      <c r="O215" s="1021"/>
      <c r="P215" s="978"/>
      <c r="Q215" s="1052"/>
      <c r="R215" s="978"/>
      <c r="S215" s="978"/>
      <c r="T215" s="981"/>
      <c r="U215" s="978"/>
      <c r="V215" s="1045"/>
      <c r="W215" s="1045"/>
      <c r="X215" s="1045"/>
    </row>
    <row r="216" spans="1:26" s="457" customFormat="1" ht="157.5" customHeight="1">
      <c r="A216" s="1043"/>
      <c r="B216" s="750" t="str">
        <f>'TABLA 7 ESTRUCTURA PROGRAMÁTICA'!K165</f>
        <v xml:space="preserve">Nivel de participación y aportes a consutas </v>
      </c>
      <c r="C216" s="820">
        <f>'TABLA 7 ESTRUCTURA PROGRAMÁTICA'!E165</f>
        <v>100</v>
      </c>
      <c r="D216" s="681">
        <v>100</v>
      </c>
      <c r="E216" s="682">
        <f t="shared" si="137"/>
        <v>1</v>
      </c>
      <c r="F216" s="683" t="s">
        <v>1219</v>
      </c>
      <c r="G216" s="825">
        <f t="shared" si="138"/>
        <v>1</v>
      </c>
      <c r="H216" s="594">
        <f>'TABLA 7 ESTRUCTURA PROGRAMÁTICA'!I165</f>
        <v>100</v>
      </c>
      <c r="I216" s="478">
        <f t="shared" si="139"/>
        <v>1</v>
      </c>
      <c r="J216" s="682">
        <f t="shared" si="132"/>
        <v>1</v>
      </c>
      <c r="K216" s="478">
        <v>0.05</v>
      </c>
      <c r="L216" s="427">
        <f t="shared" si="140"/>
        <v>0.05</v>
      </c>
      <c r="M216" s="430">
        <f t="shared" si="141"/>
        <v>1.0000000000000002E-3</v>
      </c>
      <c r="N216" s="426">
        <f t="shared" si="142"/>
        <v>0.72081969696969705</v>
      </c>
      <c r="O216" s="1021"/>
      <c r="P216" s="978"/>
      <c r="Q216" s="1052"/>
      <c r="R216" s="978"/>
      <c r="S216" s="978"/>
      <c r="T216" s="981"/>
      <c r="U216" s="978"/>
      <c r="V216" s="1045"/>
      <c r="W216" s="1045"/>
      <c r="X216" s="1045"/>
    </row>
    <row r="217" spans="1:26" s="457" customFormat="1" ht="161.25" customHeight="1">
      <c r="A217" s="1036" t="str">
        <f>'TABLA 7 ESTRUCTURA PROGRAMÁTICA'!D166</f>
        <v>8.1.6  Diseño e implementación del Sistema de Gestión Ambiental SGA- NTC ISO 14001:2015 para la sede bioclimática de la entidad en Valledupar</v>
      </c>
      <c r="B217" s="854" t="str">
        <f>'TABLA 7 ESTRUCTURA PROGRAMÁTICA'!K166</f>
        <v>Sistema diseñado</v>
      </c>
      <c r="C217" s="820">
        <f>'TABLA 7 ESTRUCTURA PROGRAMÁTICA'!E166</f>
        <v>0.3</v>
      </c>
      <c r="D217" s="477">
        <v>0.05</v>
      </c>
      <c r="E217" s="682">
        <f>IF(C217=0,"N.A",(D217/C217)*1)</f>
        <v>0.16666666666666669</v>
      </c>
      <c r="F217" s="740" t="s">
        <v>1220</v>
      </c>
      <c r="G217" s="825">
        <f t="shared" si="138"/>
        <v>0.16666666666666669</v>
      </c>
      <c r="H217" s="594">
        <f>'TABLA 7 ESTRUCTURA PROGRAMÁTICA'!I166</f>
        <v>1</v>
      </c>
      <c r="I217" s="478">
        <f t="shared" si="139"/>
        <v>0.16666666666666669</v>
      </c>
      <c r="J217" s="682">
        <f t="shared" si="132"/>
        <v>0.16666666666666669</v>
      </c>
      <c r="K217" s="478">
        <v>0.05</v>
      </c>
      <c r="L217" s="427">
        <f t="shared" si="140"/>
        <v>8.333333333333335E-3</v>
      </c>
      <c r="M217" s="430">
        <f t="shared" si="141"/>
        <v>1.6666666666666672E-4</v>
      </c>
      <c r="N217" s="426">
        <f t="shared" si="142"/>
        <v>0.7209863636363637</v>
      </c>
      <c r="O217" s="1021"/>
      <c r="P217" s="978"/>
      <c r="Q217" s="1052"/>
      <c r="R217" s="978"/>
      <c r="S217" s="978"/>
      <c r="T217" s="981"/>
      <c r="U217" s="978"/>
      <c r="V217" s="1045"/>
      <c r="W217" s="1045"/>
      <c r="X217" s="1045"/>
    </row>
    <row r="218" spans="1:26" s="457" customFormat="1">
      <c r="A218" s="1056"/>
      <c r="B218" s="854" t="str">
        <f>'TABLA 7 ESTRUCTURA PROGRAMÁTICA'!K167</f>
        <v>Sistema implementado</v>
      </c>
      <c r="C218" s="820">
        <f>'TABLA 7 ESTRUCTURA PROGRAMÁTICA'!E167</f>
        <v>0</v>
      </c>
      <c r="D218" s="681">
        <v>0</v>
      </c>
      <c r="E218" s="682" t="str">
        <f t="shared" si="137"/>
        <v>N.A</v>
      </c>
      <c r="F218" s="740" t="s">
        <v>1103</v>
      </c>
      <c r="G218" s="825" t="str">
        <f t="shared" si="138"/>
        <v>N.A</v>
      </c>
      <c r="H218" s="594">
        <f>'TABLA 7 ESTRUCTURA PROGRAMÁTICA'!I167</f>
        <v>1</v>
      </c>
      <c r="I218" s="478" t="str">
        <f t="shared" si="139"/>
        <v>N.A</v>
      </c>
      <c r="J218" s="682" t="str">
        <f t="shared" si="132"/>
        <v>N.A</v>
      </c>
      <c r="K218" s="478">
        <v>0</v>
      </c>
      <c r="L218" s="427" t="str">
        <f t="shared" si="140"/>
        <v>N.A</v>
      </c>
      <c r="M218" s="430" t="str">
        <f t="shared" si="141"/>
        <v>N.A</v>
      </c>
      <c r="N218" s="426">
        <f t="shared" si="142"/>
        <v>0.7209863636363637</v>
      </c>
      <c r="O218" s="1021"/>
      <c r="P218" s="978"/>
      <c r="Q218" s="1052"/>
      <c r="R218" s="978"/>
      <c r="S218" s="978"/>
      <c r="T218" s="981"/>
      <c r="U218" s="978"/>
      <c r="V218" s="1045"/>
      <c r="W218" s="1045"/>
      <c r="X218" s="1045"/>
    </row>
    <row r="219" spans="1:26" s="457" customFormat="1" ht="60">
      <c r="A219" s="1056"/>
      <c r="B219" s="854" t="str">
        <f>'TABLA 7 ESTRUCTURA PROGRAMÁTICA'!K168</f>
        <v>Sistema evaluado y certificado</v>
      </c>
      <c r="C219" s="820">
        <f>'TABLA 7 ESTRUCTURA PROGRAMÁTICA'!E168</f>
        <v>0</v>
      </c>
      <c r="D219" s="681">
        <v>0</v>
      </c>
      <c r="E219" s="682" t="str">
        <f t="shared" si="137"/>
        <v>N.A</v>
      </c>
      <c r="F219" s="740" t="s">
        <v>1103</v>
      </c>
      <c r="G219" s="825" t="str">
        <f t="shared" si="138"/>
        <v>N.A</v>
      </c>
      <c r="H219" s="594">
        <f>'TABLA 7 ESTRUCTURA PROGRAMÁTICA'!I168</f>
        <v>1</v>
      </c>
      <c r="I219" s="478" t="str">
        <f t="shared" si="139"/>
        <v>N.A</v>
      </c>
      <c r="J219" s="682" t="str">
        <f t="shared" si="132"/>
        <v>N.A</v>
      </c>
      <c r="K219" s="478">
        <v>0</v>
      </c>
      <c r="L219" s="427" t="str">
        <f t="shared" si="140"/>
        <v>N.A</v>
      </c>
      <c r="M219" s="430" t="str">
        <f t="shared" si="141"/>
        <v>N.A</v>
      </c>
      <c r="N219" s="426">
        <f t="shared" si="142"/>
        <v>0.7209863636363637</v>
      </c>
      <c r="O219" s="1021"/>
      <c r="P219" s="978"/>
      <c r="Q219" s="1052"/>
      <c r="R219" s="978"/>
      <c r="S219" s="978"/>
      <c r="T219" s="981"/>
      <c r="U219" s="978"/>
      <c r="V219" s="1045"/>
      <c r="W219" s="1045"/>
      <c r="X219" s="1045"/>
    </row>
    <row r="220" spans="1:26" s="457" customFormat="1" ht="60">
      <c r="A220" s="1037"/>
      <c r="B220" s="854" t="str">
        <f>'TABLA 7 ESTRUCTURA PROGRAMÁTICA'!K169</f>
        <v>Sistema en mantenimiento y mejoramiento continuo</v>
      </c>
      <c r="C220" s="820">
        <f>'TABLA 7 ESTRUCTURA PROGRAMÁTICA'!E169</f>
        <v>0</v>
      </c>
      <c r="D220" s="681">
        <v>0</v>
      </c>
      <c r="E220" s="682" t="str">
        <f t="shared" si="137"/>
        <v>N.A</v>
      </c>
      <c r="F220" s="740" t="s">
        <v>1103</v>
      </c>
      <c r="G220" s="825" t="str">
        <f t="shared" si="138"/>
        <v>N.A</v>
      </c>
      <c r="H220" s="594">
        <f>'TABLA 7 ESTRUCTURA PROGRAMÁTICA'!I169</f>
        <v>1</v>
      </c>
      <c r="I220" s="478" t="str">
        <f t="shared" si="139"/>
        <v>N.A</v>
      </c>
      <c r="J220" s="682" t="str">
        <f t="shared" si="132"/>
        <v>N.A</v>
      </c>
      <c r="K220" s="478">
        <v>0</v>
      </c>
      <c r="L220" s="427" t="str">
        <f t="shared" si="140"/>
        <v>N.A</v>
      </c>
      <c r="M220" s="430" t="str">
        <f t="shared" si="141"/>
        <v>N.A</v>
      </c>
      <c r="N220" s="426">
        <f t="shared" si="142"/>
        <v>0.7209863636363637</v>
      </c>
      <c r="O220" s="1021"/>
      <c r="P220" s="978"/>
      <c r="Q220" s="1052"/>
      <c r="R220" s="978"/>
      <c r="S220" s="978"/>
      <c r="T220" s="981"/>
      <c r="U220" s="978"/>
      <c r="V220" s="1045"/>
      <c r="W220" s="1045"/>
      <c r="X220" s="1045"/>
    </row>
    <row r="221" spans="1:26" s="457" customFormat="1" ht="120">
      <c r="A221" s="854" t="str">
        <f>'TABLA 7 ESTRUCTURA PROGRAMÁTICA'!D170</f>
        <v xml:space="preserve">8.1.7 Gestión para la venta de  servicio de laboratorio ambiental de agua  (estrategia administrativa y de sostenibilidad financiera) en armonía con la actividad o subp 2.4.4   </v>
      </c>
      <c r="B221" s="854" t="str">
        <f>'TABLA 7 ESTRUCTURA PROGRAMÁTICA'!K170</f>
        <v>Dotación, operación y posterior acreditación del laboratorio de aguas</v>
      </c>
      <c r="C221" s="820">
        <f>'TABLA 7 ESTRUCTURA PROGRAMÁTICA'!E170</f>
        <v>10</v>
      </c>
      <c r="D221" s="681">
        <v>10</v>
      </c>
      <c r="E221" s="682">
        <f t="shared" si="137"/>
        <v>1</v>
      </c>
      <c r="F221" s="740" t="s">
        <v>1231</v>
      </c>
      <c r="G221" s="825">
        <f>E221</f>
        <v>1</v>
      </c>
      <c r="H221" s="594">
        <f>'TABLA 7 ESTRUCTURA PROGRAMÁTICA'!I171</f>
        <v>100</v>
      </c>
      <c r="I221" s="478">
        <f t="shared" si="139"/>
        <v>1</v>
      </c>
      <c r="J221" s="682">
        <f t="shared" si="132"/>
        <v>1</v>
      </c>
      <c r="K221" s="478">
        <v>0.05</v>
      </c>
      <c r="L221" s="427">
        <f t="shared" si="140"/>
        <v>0.05</v>
      </c>
      <c r="M221" s="430">
        <f t="shared" si="141"/>
        <v>1.0000000000000002E-3</v>
      </c>
      <c r="N221" s="426">
        <f t="shared" si="142"/>
        <v>0.7219863636363637</v>
      </c>
      <c r="O221" s="1022"/>
      <c r="P221" s="979"/>
      <c r="Q221" s="1055"/>
      <c r="R221" s="979"/>
      <c r="S221" s="979"/>
      <c r="T221" s="982"/>
      <c r="U221" s="979"/>
      <c r="V221" s="1046"/>
      <c r="W221" s="1046"/>
      <c r="X221" s="1046"/>
    </row>
    <row r="222" spans="1:26" s="457" customFormat="1">
      <c r="A222" s="989" t="s">
        <v>643</v>
      </c>
      <c r="B222" s="990"/>
      <c r="C222" s="990"/>
      <c r="D222" s="990"/>
      <c r="E222" s="990"/>
      <c r="F222" s="991"/>
      <c r="G222" s="407"/>
      <c r="H222" s="416"/>
      <c r="I222" s="419"/>
      <c r="J222" s="682">
        <f t="shared" si="132"/>
        <v>0</v>
      </c>
      <c r="K222" s="761"/>
      <c r="L222" s="429">
        <f>SUM(L210:L221)</f>
        <v>0.8</v>
      </c>
      <c r="M222" s="430"/>
      <c r="N222" s="426"/>
      <c r="O222" s="799"/>
      <c r="P222" s="501"/>
      <c r="Q222" s="502"/>
      <c r="R222" s="503"/>
      <c r="S222" s="482"/>
      <c r="T222" s="420"/>
      <c r="U222" s="504"/>
      <c r="V222" s="813"/>
      <c r="W222" s="422"/>
      <c r="X222" s="422"/>
    </row>
    <row r="223" spans="1:26" s="424" customFormat="1">
      <c r="A223" s="458" t="str">
        <f>A208</f>
        <v>8. DESARROLLO INSTITUCIONAL SINÉRGICO</v>
      </c>
      <c r="B223" s="753"/>
      <c r="C223" s="469"/>
      <c r="D223" s="470"/>
      <c r="E223" s="433"/>
      <c r="F223" s="436"/>
      <c r="G223" s="409"/>
      <c r="H223" s="441"/>
      <c r="I223" s="441"/>
      <c r="J223" s="441"/>
      <c r="K223" s="444">
        <v>0.05</v>
      </c>
      <c r="L223" s="445"/>
      <c r="M223" s="433"/>
      <c r="N223" s="484"/>
      <c r="O223" s="785"/>
      <c r="P223" s="484"/>
      <c r="Q223" s="484"/>
      <c r="R223" s="485"/>
      <c r="S223" s="485"/>
      <c r="T223" s="444"/>
      <c r="U223" s="486"/>
      <c r="V223" s="812"/>
      <c r="W223" s="422"/>
      <c r="X223" s="422"/>
      <c r="Y223" s="457"/>
      <c r="Z223" s="457"/>
    </row>
    <row r="224" spans="1:26" s="459" customFormat="1" ht="90">
      <c r="A224" s="462" t="str">
        <f>'TABLA 7 ESTRUCTURA PROGRAMÁTICA'!C173</f>
        <v>8.2 Gestión e implementacion de acciones  para el aumento de la capacidad de desempeño  institucional integral de Corpocesar.</v>
      </c>
      <c r="B224" s="410"/>
      <c r="C224" s="471"/>
      <c r="D224" s="414"/>
      <c r="E224" s="429">
        <f>E225*$K$225+E226*$K$226+E227*$K$227+E228*$K$228+E229*$K$229+E230*$K$230+E232*$K$232+E233*$K$233+E234*$K$234</f>
        <v>0.8600000000000001</v>
      </c>
      <c r="F224" s="359"/>
      <c r="G224" s="429">
        <f>G225*$K$225+G226*$K$226+G227*$K$227+G228*$K$228+G229*$K$229+G230*$K$230+G232*$K$232+G233*$K$233+G234*$K$234</f>
        <v>0.8600000000000001</v>
      </c>
      <c r="H224" s="357"/>
      <c r="I224" s="357"/>
      <c r="J224" s="429">
        <f>J225*$K$225+J226*$K$226+J227*$K$227+J228*$K$228+J229*$K$229+J230*$K$230+J232*$K$232+J233*$K$233+J234*$K$234</f>
        <v>0.8600000000000001</v>
      </c>
      <c r="K224" s="415">
        <v>0.3</v>
      </c>
      <c r="L224" s="428"/>
      <c r="M224" s="429"/>
      <c r="N224" s="487"/>
      <c r="O224" s="358"/>
      <c r="P224" s="487"/>
      <c r="Q224" s="487"/>
      <c r="R224" s="488"/>
      <c r="S224" s="488"/>
      <c r="T224" s="415"/>
      <c r="U224" s="489"/>
      <c r="V224" s="812"/>
      <c r="W224" s="422"/>
      <c r="X224" s="422"/>
      <c r="Y224" s="457"/>
      <c r="Z224" s="457"/>
    </row>
    <row r="225" spans="1:26" s="457" customFormat="1" ht="60">
      <c r="A225" s="1042" t="str">
        <f>'TABLA 7 ESTRUCTURA PROGRAMÁTICA'!D173</f>
        <v>8.2.1 Optimización del SIGC de la entidad en el marco del modelo integrado de planeación y gestión MIPG (revisión de la política de calidad y sus sistemas)   enfocada al desempeño óptimo de la entidad  - IEDI- (eficiencia comparativa) y control interno de gestión,  en armonia con la política y retos del PGAR).</v>
      </c>
      <c r="B225" s="750" t="str">
        <f>'TABLA 7 ESTRUCTURA PROGRAMÁTICA'!K173</f>
        <v>Indice Sistema de calidad y MIPG optimizado</v>
      </c>
      <c r="C225" s="820">
        <f>'TABLA 7 ESTRUCTURA PROGRAMÁTICA'!E173</f>
        <v>30</v>
      </c>
      <c r="D225" s="681">
        <v>30</v>
      </c>
      <c r="E225" s="682">
        <f t="shared" ref="E225:E234" si="143">IF(C225=0,"N.A",(D225/C225)*1)</f>
        <v>1</v>
      </c>
      <c r="F225" s="683" t="s">
        <v>1173</v>
      </c>
      <c r="G225" s="825">
        <f>E225</f>
        <v>1</v>
      </c>
      <c r="H225" s="417">
        <f>'TABLA 7 ESTRUCTURA PROGRAMÁTICA'!I173</f>
        <v>100</v>
      </c>
      <c r="I225" s="478">
        <f>E225</f>
        <v>1</v>
      </c>
      <c r="J225" s="682">
        <f t="shared" si="132"/>
        <v>1</v>
      </c>
      <c r="K225" s="478">
        <v>0.1</v>
      </c>
      <c r="L225" s="427">
        <f>IF(C225=0,E225,(E225*K225))</f>
        <v>0.1</v>
      </c>
      <c r="M225" s="430">
        <f>IF(L225="N.A","N.A",L225*$K$224*$K$225)</f>
        <v>3.0000000000000001E-3</v>
      </c>
      <c r="N225" s="426">
        <f>(IF(M225="N.A",0,M225))+N221</f>
        <v>0.72498636363636371</v>
      </c>
      <c r="O225" s="1020">
        <f>500000000+197988167+233837199+13797140</f>
        <v>945622506</v>
      </c>
      <c r="P225" s="977">
        <f>277046504.5+231867313+196456500+12114480</f>
        <v>717484797.5</v>
      </c>
      <c r="Q225" s="986">
        <f>P225/O225</f>
        <v>0.7587433600062814</v>
      </c>
      <c r="R225" s="977">
        <f>O225</f>
        <v>945622506</v>
      </c>
      <c r="S225" s="977">
        <f>P225</f>
        <v>717484797.5</v>
      </c>
      <c r="T225" s="980">
        <f>Q225</f>
        <v>0.7587433600062814</v>
      </c>
      <c r="U225" s="977"/>
      <c r="V225" s="1044" t="s">
        <v>1122</v>
      </c>
      <c r="W225" s="1044" t="s">
        <v>729</v>
      </c>
      <c r="X225" s="1044" t="s">
        <v>1129</v>
      </c>
    </row>
    <row r="226" spans="1:26" s="457" customFormat="1" ht="150">
      <c r="A226" s="1043"/>
      <c r="B226" s="750" t="str">
        <f>'TABLA 7 ESTRUCTURA PROGRAMÁTICA'!K174</f>
        <v xml:space="preserve">Sistema de Control interno de gestión fortalecido (recursos  físicos, tecnológico y humano)/año </v>
      </c>
      <c r="C226" s="820">
        <f>'TABLA 7 ESTRUCTURA PROGRAMÁTICA'!E174</f>
        <v>1</v>
      </c>
      <c r="D226" s="684">
        <v>1</v>
      </c>
      <c r="E226" s="682">
        <f t="shared" si="143"/>
        <v>1</v>
      </c>
      <c r="F226" s="683" t="s">
        <v>1132</v>
      </c>
      <c r="G226" s="825">
        <f>E226</f>
        <v>1</v>
      </c>
      <c r="H226" s="417">
        <f>'TABLA 7 ESTRUCTURA PROGRAMÁTICA'!I174</f>
        <v>1</v>
      </c>
      <c r="I226" s="478">
        <f>G226</f>
        <v>1</v>
      </c>
      <c r="J226" s="682">
        <f t="shared" si="132"/>
        <v>1</v>
      </c>
      <c r="K226" s="478">
        <v>0.1</v>
      </c>
      <c r="L226" s="427">
        <f>IF(C226=0,G226,(G226*K226))</f>
        <v>0.1</v>
      </c>
      <c r="M226" s="430">
        <f t="shared" ref="M226:M234" si="144">IF(L226="N.A","N.A",L226*$K$224*$K$225)</f>
        <v>3.0000000000000001E-3</v>
      </c>
      <c r="N226" s="426">
        <f>(IF(M226="N.A",0,M226))+N225</f>
        <v>0.72798636363636371</v>
      </c>
      <c r="O226" s="1021"/>
      <c r="P226" s="978"/>
      <c r="Q226" s="987"/>
      <c r="R226" s="978"/>
      <c r="S226" s="978"/>
      <c r="T226" s="981"/>
      <c r="U226" s="978"/>
      <c r="V226" s="1045"/>
      <c r="W226" s="1045"/>
      <c r="X226" s="1045"/>
    </row>
    <row r="227" spans="1:26" s="457" customFormat="1" ht="178.5" customHeight="1">
      <c r="A227" s="456" t="str">
        <f>'TABLA 7 ESTRUCTURA PROGRAMÁTICA'!D175</f>
        <v xml:space="preserve">8.2.2 Optimización integrada del sistema de atención al ciudadano (PQR´s, ventanilla única),  quejas y sanciones ambientales con el VITAL. (RH, tecnológicos, documental  y físicos). </v>
      </c>
      <c r="B227" s="750" t="str">
        <f>'TABLA 7 ESTRUCTURA PROGRAMÁTICA'!K175</f>
        <v xml:space="preserve">Avance de la optimización del sistema </v>
      </c>
      <c r="C227" s="820">
        <f>'TABLA 7 ESTRUCTURA PROGRAMÁTICA'!E175</f>
        <v>10</v>
      </c>
      <c r="D227" s="681">
        <v>6</v>
      </c>
      <c r="E227" s="682">
        <f t="shared" si="143"/>
        <v>0.6</v>
      </c>
      <c r="F227" s="683" t="s">
        <v>1242</v>
      </c>
      <c r="G227" s="825">
        <f>E227</f>
        <v>0.6</v>
      </c>
      <c r="H227" s="417">
        <f>'TABLA 7 ESTRUCTURA PROGRAMÁTICA'!I175</f>
        <v>100</v>
      </c>
      <c r="I227" s="478">
        <f t="shared" ref="I227:I234" si="145">E227</f>
        <v>0.6</v>
      </c>
      <c r="J227" s="682">
        <f t="shared" si="132"/>
        <v>0.6</v>
      </c>
      <c r="K227" s="478">
        <v>0.1</v>
      </c>
      <c r="L227" s="427">
        <f t="shared" ref="L227:L234" si="146">IF(C227=0,E227,(E227*K227))</f>
        <v>0.06</v>
      </c>
      <c r="M227" s="430">
        <f t="shared" si="144"/>
        <v>1.8E-3</v>
      </c>
      <c r="N227" s="426">
        <f t="shared" ref="N227:N234" si="147">(IF(M227="N.A",0,M227))+N226</f>
        <v>0.72978636363636373</v>
      </c>
      <c r="O227" s="1021"/>
      <c r="P227" s="978"/>
      <c r="Q227" s="987"/>
      <c r="R227" s="978"/>
      <c r="S227" s="978"/>
      <c r="T227" s="981"/>
      <c r="U227" s="978"/>
      <c r="V227" s="1045"/>
      <c r="W227" s="1045"/>
      <c r="X227" s="1045"/>
    </row>
    <row r="228" spans="1:26" s="457" customFormat="1" ht="120">
      <c r="A228" s="456" t="str">
        <f>'TABLA 7 ESTRUCTURA PROGRAMÁTICA'!D177</f>
        <v xml:space="preserve">8.2.3 Fortalecimiento del Banco de Programas y Proyectos como soporte a la gestión de inversión ambiental de la entidad </v>
      </c>
      <c r="B228" s="750" t="str">
        <f>'TABLA 7 ESTRUCTURA PROGRAMÁTICA'!K177</f>
        <v>BPI-CAR fortalecido</v>
      </c>
      <c r="C228" s="820">
        <f>'TABLA 7 ESTRUCTURA PROGRAMÁTICA'!E177</f>
        <v>1</v>
      </c>
      <c r="D228" s="684">
        <v>1</v>
      </c>
      <c r="E228" s="682">
        <f t="shared" si="143"/>
        <v>1</v>
      </c>
      <c r="F228" s="856" t="s">
        <v>1172</v>
      </c>
      <c r="G228" s="825">
        <f>E228</f>
        <v>1</v>
      </c>
      <c r="H228" s="417">
        <f>'TABLA 7 ESTRUCTURA PROGRAMÁTICA'!I177</f>
        <v>1</v>
      </c>
      <c r="I228" s="478">
        <f>G228</f>
        <v>1</v>
      </c>
      <c r="J228" s="682">
        <f t="shared" si="132"/>
        <v>1</v>
      </c>
      <c r="K228" s="478">
        <v>0.15</v>
      </c>
      <c r="L228" s="427">
        <f>IF(C228=0,G228,(G228*K228))</f>
        <v>0.15</v>
      </c>
      <c r="M228" s="430">
        <f t="shared" si="144"/>
        <v>4.4999999999999997E-3</v>
      </c>
      <c r="N228" s="426">
        <f t="shared" si="147"/>
        <v>0.73428636363636368</v>
      </c>
      <c r="O228" s="1021"/>
      <c r="P228" s="978"/>
      <c r="Q228" s="987"/>
      <c r="R228" s="978"/>
      <c r="S228" s="978"/>
      <c r="T228" s="981"/>
      <c r="U228" s="978"/>
      <c r="V228" s="1045"/>
      <c r="W228" s="1045"/>
      <c r="X228" s="1045"/>
    </row>
    <row r="229" spans="1:26" s="457" customFormat="1" ht="90">
      <c r="A229" s="456" t="str">
        <f>'TABLA 7 ESTRUCTURA PROGRAMÁTICA'!D178</f>
        <v>8.2.4 Concertación, gestión  e Implementación del programa de bienestar social e incentivos, y  de  formación y capacitación</v>
      </c>
      <c r="B229" s="750" t="str">
        <f>'TABLA 7 ESTRUCTURA PROGRAMÁTICA'!K178</f>
        <v xml:space="preserve">Indice de Eficacia/programa </v>
      </c>
      <c r="C229" s="820">
        <f>'TABLA 7 ESTRUCTURA PROGRAMÁTICA'!E177</f>
        <v>1</v>
      </c>
      <c r="D229" s="681">
        <v>1</v>
      </c>
      <c r="E229" s="478">
        <f t="shared" si="143"/>
        <v>1</v>
      </c>
      <c r="F229" s="856" t="s">
        <v>1203</v>
      </c>
      <c r="G229" s="825">
        <f>E229</f>
        <v>1</v>
      </c>
      <c r="H229" s="417">
        <f>'TABLA 7 ESTRUCTURA PROGRAMÁTICA'!I178</f>
        <v>100</v>
      </c>
      <c r="I229" s="478">
        <f t="shared" si="145"/>
        <v>1</v>
      </c>
      <c r="J229" s="682">
        <f t="shared" si="132"/>
        <v>1</v>
      </c>
      <c r="K229" s="478">
        <v>0.1</v>
      </c>
      <c r="L229" s="427">
        <f t="shared" si="146"/>
        <v>0.1</v>
      </c>
      <c r="M229" s="430">
        <f t="shared" si="144"/>
        <v>3.0000000000000001E-3</v>
      </c>
      <c r="N229" s="426">
        <f t="shared" si="147"/>
        <v>0.73728636363636368</v>
      </c>
      <c r="O229" s="1021"/>
      <c r="P229" s="978"/>
      <c r="Q229" s="987"/>
      <c r="R229" s="978"/>
      <c r="S229" s="978"/>
      <c r="T229" s="981"/>
      <c r="U229" s="978"/>
      <c r="V229" s="1045"/>
      <c r="W229" s="1045"/>
      <c r="X229" s="1045"/>
    </row>
    <row r="230" spans="1:26" s="457" customFormat="1" ht="210">
      <c r="A230" s="1039" t="str">
        <f>'TABLA 7 ESTRUCTURA PROGRAMÁTICA'!D180</f>
        <v>8.2.5 Optimización física de la  sede principal de Corpocesar y seccionales (infraestructura, Dotación, mantenimiento, protección de activos y bienes corporativos, etc. Según diagnóstico, PM y SIGC).</v>
      </c>
      <c r="B230" s="750" t="str">
        <f>'TABLA 7 ESTRUCTURA PROGRAMÁTICA'!K180</f>
        <v xml:space="preserve">Infraestructuras optimizadas y mantenidas/sedes propias </v>
      </c>
      <c r="C230" s="820">
        <f>'[1]TABLA 7 ESTRUCTURA PROGRAMÁTICA'!E180</f>
        <v>1</v>
      </c>
      <c r="D230" s="681">
        <v>1</v>
      </c>
      <c r="E230" s="682">
        <f t="shared" si="143"/>
        <v>1</v>
      </c>
      <c r="F230" s="856" t="s">
        <v>1221</v>
      </c>
      <c r="G230" s="825">
        <f t="shared" ref="G230:G234" si="148">E230</f>
        <v>1</v>
      </c>
      <c r="H230" s="417">
        <f>'TABLA 7 ESTRUCTURA PROGRAMÁTICA'!I180</f>
        <v>3</v>
      </c>
      <c r="I230" s="478">
        <f t="shared" si="145"/>
        <v>1</v>
      </c>
      <c r="J230" s="682">
        <f t="shared" si="132"/>
        <v>1</v>
      </c>
      <c r="K230" s="478">
        <v>0.1</v>
      </c>
      <c r="L230" s="427">
        <f t="shared" si="146"/>
        <v>0.1</v>
      </c>
      <c r="M230" s="430">
        <f t="shared" si="144"/>
        <v>3.0000000000000001E-3</v>
      </c>
      <c r="N230" s="426">
        <f t="shared" si="147"/>
        <v>0.74028636363636369</v>
      </c>
      <c r="O230" s="1021"/>
      <c r="P230" s="978"/>
      <c r="Q230" s="987"/>
      <c r="R230" s="978"/>
      <c r="S230" s="978"/>
      <c r="T230" s="981"/>
      <c r="U230" s="978"/>
      <c r="V230" s="1045"/>
      <c r="W230" s="1045"/>
      <c r="X230" s="1045"/>
    </row>
    <row r="231" spans="1:26" s="457" customFormat="1" ht="60">
      <c r="A231" s="1040"/>
      <c r="B231" s="750" t="str">
        <f>'TABLA 7 ESTRUCTURA PROGRAMÁTICA'!K181</f>
        <v>Seccionales adecuadas   dotadas y mantenidas</v>
      </c>
      <c r="C231" s="820">
        <f>'[1]TABLA 7 ESTRUCTURA PROGRAMÁTICA'!E181</f>
        <v>2</v>
      </c>
      <c r="D231" s="681">
        <v>0</v>
      </c>
      <c r="E231" s="682">
        <f t="shared" si="143"/>
        <v>0</v>
      </c>
      <c r="F231" s="856"/>
      <c r="G231" s="825">
        <f t="shared" si="148"/>
        <v>0</v>
      </c>
      <c r="H231" s="417">
        <f>'TABLA 7 ESTRUCTURA PROGRAMÁTICA'!I181</f>
        <v>4</v>
      </c>
      <c r="I231" s="478">
        <f t="shared" si="145"/>
        <v>0</v>
      </c>
      <c r="J231" s="682">
        <f t="shared" si="132"/>
        <v>0</v>
      </c>
      <c r="K231" s="478">
        <v>0.1</v>
      </c>
      <c r="L231" s="427">
        <f t="shared" si="146"/>
        <v>0</v>
      </c>
      <c r="M231" s="430">
        <f t="shared" si="144"/>
        <v>0</v>
      </c>
      <c r="N231" s="426">
        <f>(IF(M231="N.A",0,M231))+N230</f>
        <v>0.74028636363636369</v>
      </c>
      <c r="O231" s="1021"/>
      <c r="P231" s="978"/>
      <c r="Q231" s="987"/>
      <c r="R231" s="978"/>
      <c r="S231" s="978"/>
      <c r="T231" s="981"/>
      <c r="U231" s="978"/>
      <c r="V231" s="1045"/>
      <c r="W231" s="1045"/>
      <c r="X231" s="1045"/>
    </row>
    <row r="232" spans="1:26" s="457" customFormat="1" ht="60">
      <c r="A232" s="1041"/>
      <c r="B232" s="750" t="str">
        <f>'TABLA 7 ESTRUCTURA PROGRAMÁTICA'!K182</f>
        <v xml:space="preserve">Activos y bienes protegidos </v>
      </c>
      <c r="C232" s="820">
        <f>'[1]TABLA 7 ESTRUCTURA PROGRAMÁTICA'!E182</f>
        <v>100</v>
      </c>
      <c r="D232" s="681">
        <v>100</v>
      </c>
      <c r="E232" s="682">
        <f t="shared" si="143"/>
        <v>1</v>
      </c>
      <c r="F232" s="683" t="s">
        <v>1238</v>
      </c>
      <c r="G232" s="825">
        <f t="shared" si="148"/>
        <v>1</v>
      </c>
      <c r="H232" s="417">
        <f>'TABLA 7 ESTRUCTURA PROGRAMÁTICA'!I182</f>
        <v>100</v>
      </c>
      <c r="I232" s="478">
        <f>E232</f>
        <v>1</v>
      </c>
      <c r="J232" s="682">
        <f t="shared" si="132"/>
        <v>1</v>
      </c>
      <c r="K232" s="478">
        <v>0.15</v>
      </c>
      <c r="L232" s="427">
        <f t="shared" si="146"/>
        <v>0.15</v>
      </c>
      <c r="M232" s="430">
        <f t="shared" si="144"/>
        <v>4.4999999999999997E-3</v>
      </c>
      <c r="N232" s="426">
        <f t="shared" si="147"/>
        <v>0.74478636363636364</v>
      </c>
      <c r="O232" s="1021"/>
      <c r="P232" s="978"/>
      <c r="Q232" s="987"/>
      <c r="R232" s="978"/>
      <c r="S232" s="978"/>
      <c r="T232" s="981"/>
      <c r="U232" s="978"/>
      <c r="V232" s="1045"/>
      <c r="W232" s="1045"/>
      <c r="X232" s="1045"/>
    </row>
    <row r="233" spans="1:26" s="457" customFormat="1" ht="150">
      <c r="A233" s="855" t="str">
        <f>'TABLA 7 ESTRUCTURA PROGRAMÁTICA'!D183</f>
        <v xml:space="preserve">8.2.6 Continuación de la optimización fisica y  operativa (TRD, TVD,  PINAR, SIC)  de la gestión archívistica y documental  (consulta virtual y física centro de documentación), según plan específico. </v>
      </c>
      <c r="B233" s="750" t="str">
        <f>'TABLA 7 ESTRUCTURA PROGRAMÁTICA'!K183</f>
        <v xml:space="preserve">Avance del sistema archivístico y documental.  </v>
      </c>
      <c r="C233" s="820">
        <f>'[1]TABLA 7 ESTRUCTURA PROGRAMÁTICA'!E183</f>
        <v>20</v>
      </c>
      <c r="D233" s="681">
        <v>20</v>
      </c>
      <c r="E233" s="682">
        <v>1</v>
      </c>
      <c r="F233" s="683" t="s">
        <v>1204</v>
      </c>
      <c r="G233" s="825">
        <f t="shared" si="148"/>
        <v>1</v>
      </c>
      <c r="H233" s="417">
        <f>'TABLA 7 ESTRUCTURA PROGRAMÁTICA'!I183</f>
        <v>100</v>
      </c>
      <c r="I233" s="478">
        <f t="shared" si="145"/>
        <v>1</v>
      </c>
      <c r="J233" s="682">
        <f t="shared" si="132"/>
        <v>1</v>
      </c>
      <c r="K233" s="478">
        <v>0.05</v>
      </c>
      <c r="L233" s="427">
        <f t="shared" si="146"/>
        <v>0.05</v>
      </c>
      <c r="M233" s="430">
        <f t="shared" si="144"/>
        <v>1.5E-3</v>
      </c>
      <c r="N233" s="426">
        <f t="shared" si="147"/>
        <v>0.74628636363636358</v>
      </c>
      <c r="O233" s="1021"/>
      <c r="P233" s="978"/>
      <c r="Q233" s="987"/>
      <c r="R233" s="978"/>
      <c r="S233" s="978"/>
      <c r="T233" s="981"/>
      <c r="U233" s="978"/>
      <c r="V233" s="1045"/>
      <c r="W233" s="1045"/>
      <c r="X233" s="1045"/>
    </row>
    <row r="234" spans="1:26" s="457" customFormat="1" ht="60">
      <c r="A234" s="456" t="str">
        <f>'TABLA 7 ESTRUCTURA PROGRAMÁTICA'!D184</f>
        <v>8.2.7 Optimización de la estrategia de Compras públicas sostenibles</v>
      </c>
      <c r="B234" s="750" t="str">
        <f>'TABLA 7 ESTRUCTURA PROGRAMÁTICA'!K184</f>
        <v xml:space="preserve">Avance de la estrategia </v>
      </c>
      <c r="C234" s="820">
        <f>'[1]TABLA 7 ESTRUCTURA PROGRAMÁTICA'!E184</f>
        <v>10</v>
      </c>
      <c r="D234" s="681">
        <v>10</v>
      </c>
      <c r="E234" s="682">
        <f t="shared" si="143"/>
        <v>1</v>
      </c>
      <c r="F234" s="683" t="s">
        <v>1222</v>
      </c>
      <c r="G234" s="825">
        <f t="shared" si="148"/>
        <v>1</v>
      </c>
      <c r="H234" s="417">
        <f>'TABLA 7 ESTRUCTURA PROGRAMÁTICA'!I184</f>
        <v>80</v>
      </c>
      <c r="I234" s="478">
        <f t="shared" si="145"/>
        <v>1</v>
      </c>
      <c r="J234" s="682">
        <f t="shared" si="132"/>
        <v>1</v>
      </c>
      <c r="K234" s="478">
        <v>0.05</v>
      </c>
      <c r="L234" s="427">
        <f t="shared" si="146"/>
        <v>0.05</v>
      </c>
      <c r="M234" s="430">
        <f t="shared" si="144"/>
        <v>1.5E-3</v>
      </c>
      <c r="N234" s="426">
        <f t="shared" si="147"/>
        <v>0.74778636363636353</v>
      </c>
      <c r="O234" s="1021"/>
      <c r="P234" s="978"/>
      <c r="Q234" s="987"/>
      <c r="R234" s="978"/>
      <c r="S234" s="978"/>
      <c r="T234" s="981"/>
      <c r="U234" s="978"/>
      <c r="V234" s="1046"/>
      <c r="W234" s="1046"/>
      <c r="X234" s="1046"/>
    </row>
    <row r="235" spans="1:26" s="457" customFormat="1">
      <c r="A235" s="989" t="s">
        <v>643</v>
      </c>
      <c r="B235" s="990"/>
      <c r="C235" s="990"/>
      <c r="D235" s="990"/>
      <c r="E235" s="990"/>
      <c r="F235" s="991"/>
      <c r="G235" s="407"/>
      <c r="H235" s="416"/>
      <c r="I235" s="419"/>
      <c r="J235" s="682">
        <f t="shared" si="132"/>
        <v>0</v>
      </c>
      <c r="K235" s="761"/>
      <c r="L235" s="429">
        <f>SUM(L225:L234)</f>
        <v>0.8600000000000001</v>
      </c>
      <c r="M235" s="430"/>
      <c r="N235" s="426"/>
      <c r="O235" s="799"/>
      <c r="P235" s="501"/>
      <c r="Q235" s="502"/>
      <c r="R235" s="503"/>
      <c r="S235" s="482"/>
      <c r="T235" s="420"/>
      <c r="U235" s="504"/>
      <c r="V235" s="813"/>
      <c r="W235" s="422"/>
      <c r="X235" s="422"/>
    </row>
    <row r="236" spans="1:26" s="424" customFormat="1">
      <c r="A236" s="458" t="str">
        <f>A223</f>
        <v>8. DESARROLLO INSTITUCIONAL SINÉRGICO</v>
      </c>
      <c r="B236" s="753"/>
      <c r="C236" s="469"/>
      <c r="D236" s="470"/>
      <c r="E236" s="433"/>
      <c r="F236" s="436"/>
      <c r="G236" s="409"/>
      <c r="H236" s="441"/>
      <c r="I236" s="441"/>
      <c r="J236" s="441"/>
      <c r="K236" s="444">
        <v>0.05</v>
      </c>
      <c r="L236" s="445"/>
      <c r="M236" s="433"/>
      <c r="N236" s="484"/>
      <c r="O236" s="785"/>
      <c r="P236" s="484"/>
      <c r="Q236" s="484"/>
      <c r="R236" s="485"/>
      <c r="S236" s="485"/>
      <c r="T236" s="444"/>
      <c r="U236" s="486"/>
      <c r="V236" s="812"/>
      <c r="W236" s="422"/>
      <c r="X236" s="422"/>
      <c r="Y236" s="457"/>
      <c r="Z236" s="457"/>
    </row>
    <row r="237" spans="1:26" s="459" customFormat="1" ht="150">
      <c r="A237" s="462" t="str">
        <f>'TABLA 7 ESTRUCTURA PROGRAMÁTICA'!C186</f>
        <v>8.3 Fortalecimiento institucional sostenible del ejercicio de la autoridad ambiental regional  (seguimiento, control y vigilancia) y apoyo  integral de los procesos operativos de trámites ambientales otorgados por la Corporación</v>
      </c>
      <c r="B237" s="410"/>
      <c r="C237" s="471"/>
      <c r="D237" s="414"/>
      <c r="E237" s="429">
        <f>E238*$K$238+E239*$K$239+E240*$K$240+E241*$K$241+E242*$K$242+E243*$K$243</f>
        <v>1.0000000000000002</v>
      </c>
      <c r="F237" s="359"/>
      <c r="G237" s="429">
        <f>G238*$K$238+G239*$K$239+G240*$K$240+G241*$K$241+G242*$K$242+G243*$K$243</f>
        <v>1.0000000000000002</v>
      </c>
      <c r="H237" s="357"/>
      <c r="I237" s="357"/>
      <c r="J237" s="429">
        <f>J238*$K$238+J239*$K$239+J240*$K$240+J241*$K$241+J242*$K$242+J243*$K$243</f>
        <v>1.0000000000000002</v>
      </c>
      <c r="K237" s="415">
        <v>0.3</v>
      </c>
      <c r="L237" s="428"/>
      <c r="M237" s="429"/>
      <c r="N237" s="487"/>
      <c r="O237" s="358"/>
      <c r="P237" s="487"/>
      <c r="Q237" s="487"/>
      <c r="R237" s="488"/>
      <c r="S237" s="488"/>
      <c r="T237" s="415"/>
      <c r="U237" s="489"/>
      <c r="V237" s="812"/>
      <c r="W237" s="422"/>
      <c r="X237" s="422"/>
      <c r="Y237" s="457"/>
      <c r="Z237" s="457"/>
    </row>
    <row r="238" spans="1:26" s="457" customFormat="1" ht="346.5" customHeight="1">
      <c r="A238" s="456" t="str">
        <f>'TABLA 7 ESTRUCTURA PROGRAMÁTICA'!D186</f>
        <v xml:space="preserve">8.3.1 Implementación de una estrategia de seguimiento documental a los compromisos adquiridos mediante informes impuestos en el acto administrativo </v>
      </c>
      <c r="B238" s="750" t="str">
        <f>'TABLA 7 ESTRUCTURA PROGRAMÁTICA'!K186</f>
        <v>Estrategia de seguimiento implementada/año</v>
      </c>
      <c r="C238" s="820">
        <f>'TABLA 7 ESTRUCTURA PROGRAMÁTICA'!E186</f>
        <v>1</v>
      </c>
      <c r="D238" s="477">
        <v>1</v>
      </c>
      <c r="E238" s="430">
        <f t="shared" ref="E238:E244" si="149">IF(C238=0,"N.A",(D238/C238)*1)</f>
        <v>1</v>
      </c>
      <c r="F238" s="846" t="s">
        <v>1164</v>
      </c>
      <c r="G238" s="826">
        <f>E238</f>
        <v>1</v>
      </c>
      <c r="H238" s="442">
        <f>'TABLA 7 ESTRUCTURA PROGRAMÁTICA'!I186</f>
        <v>1</v>
      </c>
      <c r="I238" s="478">
        <f>G238</f>
        <v>1</v>
      </c>
      <c r="J238" s="682">
        <f t="shared" si="132"/>
        <v>1</v>
      </c>
      <c r="K238" s="478">
        <v>0.3</v>
      </c>
      <c r="L238" s="427">
        <f>IF(C238=0,G238,(G238*K238))</f>
        <v>0.3</v>
      </c>
      <c r="M238" s="430">
        <f>IF(L238="N.A","N.A",L238*$K$236*$K$237)</f>
        <v>4.4999999999999997E-3</v>
      </c>
      <c r="N238" s="426">
        <f>(IF(M238="N.A",0,M238))+N234</f>
        <v>0.75228636363636348</v>
      </c>
      <c r="O238" s="1020">
        <f>593934461+372600000+1175400000+342597304+46898500+63930666</f>
        <v>2595360931</v>
      </c>
      <c r="P238" s="977">
        <f>245850078+312206492+46898500+63930666+1168374343+265890304</f>
        <v>2103150383</v>
      </c>
      <c r="Q238" s="986">
        <f>P238/O238</f>
        <v>0.81034986613197191</v>
      </c>
      <c r="R238" s="977">
        <f>O238</f>
        <v>2595360931</v>
      </c>
      <c r="S238" s="977">
        <f>P238</f>
        <v>2103150383</v>
      </c>
      <c r="T238" s="980">
        <f>Q238</f>
        <v>0.81034986613197191</v>
      </c>
      <c r="U238" s="977"/>
      <c r="V238" s="1044" t="s">
        <v>1122</v>
      </c>
      <c r="W238" s="1044" t="s">
        <v>1151</v>
      </c>
      <c r="X238" s="1044" t="s">
        <v>1129</v>
      </c>
    </row>
    <row r="239" spans="1:26" s="457" customFormat="1" ht="331.5">
      <c r="A239" s="456" t="str">
        <f>'TABLA 7 ESTRUCTURA PROGRAMÁTICA'!D187</f>
        <v>8.3.2 Verificación en campo por alertas identificadas en los informes</v>
      </c>
      <c r="B239" s="750" t="str">
        <f>'TABLA 7 ESTRUCTURA PROGRAMÁTICA'!K187</f>
        <v>Alertas con seguimiento y evaluación en campo</v>
      </c>
      <c r="C239" s="820">
        <f>'TABLA 7 ESTRUCTURA PROGRAMÁTICA'!E187</f>
        <v>50</v>
      </c>
      <c r="D239" s="684">
        <v>100</v>
      </c>
      <c r="E239" s="478">
        <v>1</v>
      </c>
      <c r="F239" s="852" t="s">
        <v>1259</v>
      </c>
      <c r="G239" s="825">
        <f>E239</f>
        <v>1</v>
      </c>
      <c r="H239" s="594">
        <f>'TABLA 7 ESTRUCTURA PROGRAMÁTICA'!I187</f>
        <v>100</v>
      </c>
      <c r="I239" s="478">
        <f>G239</f>
        <v>1</v>
      </c>
      <c r="J239" s="682">
        <f t="shared" si="132"/>
        <v>1</v>
      </c>
      <c r="K239" s="478">
        <v>0.2</v>
      </c>
      <c r="L239" s="427">
        <f>IF(C239=0,G239,(G239*K239))</f>
        <v>0.2</v>
      </c>
      <c r="M239" s="430">
        <f t="shared" ref="M239:M243" si="150">IF(L239="N.A","N.A",L239*$K$236*$K$237)</f>
        <v>3.0000000000000005E-3</v>
      </c>
      <c r="N239" s="426">
        <f>(IF(M239="N.A",0,M239))+N238</f>
        <v>0.75528636363636348</v>
      </c>
      <c r="O239" s="1021"/>
      <c r="P239" s="978"/>
      <c r="Q239" s="987"/>
      <c r="R239" s="978"/>
      <c r="S239" s="978"/>
      <c r="T239" s="981"/>
      <c r="U239" s="978"/>
      <c r="V239" s="1045"/>
      <c r="W239" s="1045"/>
      <c r="X239" s="1045"/>
    </row>
    <row r="240" spans="1:26" s="457" customFormat="1" ht="223.5" customHeight="1">
      <c r="A240" s="456" t="str">
        <f>'TABLA 7 ESTRUCTURA PROGRAMÁTICA'!D188</f>
        <v>8.3.3 Verificación en campo a los permisos, autorizaciones o licencias que no han cumplido con la presentación de informes</v>
      </c>
      <c r="B240" s="750" t="str">
        <f>'TABLA 7 ESTRUCTURA PROGRAMÁTICA'!K188</f>
        <v>Seguimiento y control a los que incumplen obligaciones</v>
      </c>
      <c r="C240" s="820">
        <f>'TABLA 7 ESTRUCTURA PROGRAMÁTICA'!E188</f>
        <v>50</v>
      </c>
      <c r="D240" s="684">
        <v>100</v>
      </c>
      <c r="E240" s="478">
        <v>1</v>
      </c>
      <c r="F240" s="456" t="s">
        <v>1163</v>
      </c>
      <c r="G240" s="825">
        <f>E240</f>
        <v>1</v>
      </c>
      <c r="H240" s="594">
        <f>'TABLA 7 ESTRUCTURA PROGRAMÁTICA'!I188</f>
        <v>100</v>
      </c>
      <c r="I240" s="478">
        <f t="shared" ref="I240:I244" si="151">G240</f>
        <v>1</v>
      </c>
      <c r="J240" s="682">
        <f t="shared" si="132"/>
        <v>1</v>
      </c>
      <c r="K240" s="478">
        <v>0.15</v>
      </c>
      <c r="L240" s="427">
        <f t="shared" ref="L240:L243" si="152">IF(C240=0,E240,(E240*K240))</f>
        <v>0.15</v>
      </c>
      <c r="M240" s="430">
        <f t="shared" si="150"/>
        <v>2.2499999999999998E-3</v>
      </c>
      <c r="N240" s="426">
        <f t="shared" ref="N240:N244" si="153">(IF(M240="N.A",0,M240))+N239</f>
        <v>0.75753636363636345</v>
      </c>
      <c r="O240" s="1021"/>
      <c r="P240" s="978"/>
      <c r="Q240" s="987"/>
      <c r="R240" s="978"/>
      <c r="S240" s="978"/>
      <c r="T240" s="981"/>
      <c r="U240" s="978"/>
      <c r="V240" s="1045"/>
      <c r="W240" s="1045"/>
      <c r="X240" s="1045"/>
    </row>
    <row r="241" spans="1:26" s="457" customFormat="1" ht="73.5" customHeight="1">
      <c r="A241" s="456" t="str">
        <f>'TABLA 7 ESTRUCTURA PROGRAMÁTICA'!D189</f>
        <v xml:space="preserve">8.3.4 Optimización integral de los procesos operativos de trámites ambientales otorgados por la Corporación </v>
      </c>
      <c r="B241" s="750" t="str">
        <f>'TABLA 7 ESTRUCTURA PROGRAMÁTICA'!K189</f>
        <v xml:space="preserve">Procesos óptimos </v>
      </c>
      <c r="C241" s="820">
        <f>'TABLA 7 ESTRUCTURA PROGRAMÁTICA'!E189</f>
        <v>100</v>
      </c>
      <c r="D241" s="684">
        <v>100</v>
      </c>
      <c r="E241" s="478">
        <f t="shared" si="149"/>
        <v>1</v>
      </c>
      <c r="F241" s="683" t="s">
        <v>1194</v>
      </c>
      <c r="G241" s="825">
        <f>E241</f>
        <v>1</v>
      </c>
      <c r="H241" s="594">
        <f>'TABLA 7 ESTRUCTURA PROGRAMÁTICA'!I189</f>
        <v>100</v>
      </c>
      <c r="I241" s="478">
        <f t="shared" si="151"/>
        <v>1</v>
      </c>
      <c r="J241" s="682">
        <f t="shared" si="132"/>
        <v>1</v>
      </c>
      <c r="K241" s="478">
        <v>0.2</v>
      </c>
      <c r="L241" s="427">
        <f t="shared" si="152"/>
        <v>0.2</v>
      </c>
      <c r="M241" s="430">
        <f t="shared" si="150"/>
        <v>3.0000000000000005E-3</v>
      </c>
      <c r="N241" s="426">
        <f t="shared" si="153"/>
        <v>0.76053636363636345</v>
      </c>
      <c r="O241" s="1021"/>
      <c r="P241" s="978"/>
      <c r="Q241" s="987"/>
      <c r="R241" s="978"/>
      <c r="S241" s="978"/>
      <c r="T241" s="981"/>
      <c r="U241" s="978"/>
      <c r="V241" s="1045"/>
      <c r="W241" s="1045"/>
      <c r="X241" s="1045"/>
    </row>
    <row r="242" spans="1:26" s="457" customFormat="1" ht="180">
      <c r="A242" s="456" t="str">
        <f>'TABLA 7 ESTRUCTURA PROGRAMÁTICA'!D190</f>
        <v xml:space="preserve">8.3.5 Dotación, mantenimiento y/o calibración de equipos receptores del Sistema de posicionamiento global - GPS, molinetes, Drone, sonómetros, cámaras fotográficas, software/licencias (ArcGis) otras dotaciones institucionales (según requisitos definidos en la NTC ISO 9001:2015) </v>
      </c>
      <c r="B242" s="750" t="str">
        <f>'TABLA 7 ESTRUCTURA PROGRAMÁTICA'!K190</f>
        <v xml:space="preserve">Dotacion,mantenimiento y/o calibración   </v>
      </c>
      <c r="C242" s="820">
        <f>'TABLA 7 ESTRUCTURA PROGRAMÁTICA'!E190</f>
        <v>1</v>
      </c>
      <c r="D242" s="684">
        <v>1</v>
      </c>
      <c r="E242" s="478">
        <f t="shared" si="149"/>
        <v>1</v>
      </c>
      <c r="F242" s="683" t="s">
        <v>1239</v>
      </c>
      <c r="G242" s="825">
        <f t="shared" ref="G242:G244" si="154">E242</f>
        <v>1</v>
      </c>
      <c r="H242" s="594">
        <f>'TABLA 7 ESTRUCTURA PROGRAMÁTICA'!I190</f>
        <v>4</v>
      </c>
      <c r="I242" s="478">
        <f t="shared" si="151"/>
        <v>1</v>
      </c>
      <c r="J242" s="682">
        <f t="shared" si="132"/>
        <v>1</v>
      </c>
      <c r="K242" s="478">
        <v>0.05</v>
      </c>
      <c r="L242" s="427">
        <f t="shared" si="152"/>
        <v>0.05</v>
      </c>
      <c r="M242" s="430">
        <f t="shared" si="150"/>
        <v>7.5000000000000012E-4</v>
      </c>
      <c r="N242" s="426">
        <f t="shared" si="153"/>
        <v>0.76128636363636348</v>
      </c>
      <c r="O242" s="1021"/>
      <c r="P242" s="978"/>
      <c r="Q242" s="987"/>
      <c r="R242" s="978"/>
      <c r="S242" s="978"/>
      <c r="T242" s="981"/>
      <c r="U242" s="978"/>
      <c r="V242" s="1045"/>
      <c r="W242" s="1045"/>
      <c r="X242" s="1045"/>
    </row>
    <row r="243" spans="1:26" s="457" customFormat="1" ht="133.5" customHeight="1">
      <c r="A243" s="456" t="str">
        <f>'TABLA 7 ESTRUCTURA PROGRAMÁTICA'!D191</f>
        <v>8.3.6  Implementación efectiva  del sistema VITAL-SILAM, SUIT para la optimización de los trámites ambientales.</v>
      </c>
      <c r="B243" s="750" t="str">
        <f>'TABLA 7 ESTRUCTURA PROGRAMÁTICA'!K191</f>
        <v xml:space="preserve">Sistema fortalecido (R. humano, y de soporte tecnológico) c/año  </v>
      </c>
      <c r="C243" s="820">
        <f>'TABLA 7 ESTRUCTURA PROGRAMÁTICA'!E191</f>
        <v>1</v>
      </c>
      <c r="D243" s="477">
        <v>1</v>
      </c>
      <c r="E243" s="430">
        <f t="shared" si="149"/>
        <v>1</v>
      </c>
      <c r="F243" s="683" t="s">
        <v>1193</v>
      </c>
      <c r="G243" s="825">
        <f t="shared" si="154"/>
        <v>1</v>
      </c>
      <c r="H243" s="594">
        <f>'TABLA 7 ESTRUCTURA PROGRAMÁTICA'!I191</f>
        <v>1</v>
      </c>
      <c r="I243" s="478">
        <f>G243</f>
        <v>1</v>
      </c>
      <c r="J243" s="682">
        <f t="shared" si="132"/>
        <v>1</v>
      </c>
      <c r="K243" s="478">
        <v>0.1</v>
      </c>
      <c r="L243" s="427">
        <f t="shared" si="152"/>
        <v>0.1</v>
      </c>
      <c r="M243" s="430">
        <f t="shared" si="150"/>
        <v>1.5000000000000002E-3</v>
      </c>
      <c r="N243" s="426">
        <f>(IF(M243="N.A",0,M243))+N242</f>
        <v>0.76278636363636343</v>
      </c>
      <c r="O243" s="1021"/>
      <c r="P243" s="978"/>
      <c r="Q243" s="987"/>
      <c r="R243" s="978"/>
      <c r="S243" s="978"/>
      <c r="T243" s="981"/>
      <c r="U243" s="978"/>
      <c r="V243" s="1045"/>
      <c r="W243" s="1045"/>
      <c r="X243" s="1045"/>
    </row>
    <row r="244" spans="1:26" s="457" customFormat="1" ht="107.25" customHeight="1">
      <c r="A244" s="456" t="str">
        <f>'TABLA 7 ESTRUCTURA PROGRAMÁTICA'!D192</f>
        <v>8.3.7 Actualización de la base de datos de los procesos sancionatorios</v>
      </c>
      <c r="B244" s="750" t="str">
        <f>'TABLA 7 ESTRUCTURA PROGRAMÁTICA'!K192</f>
        <v>Base de datos actualizada</v>
      </c>
      <c r="C244" s="820">
        <f>'TABLA 7 ESTRUCTURA PROGRAMÁTICA'!E192</f>
        <v>0</v>
      </c>
      <c r="D244" s="477">
        <v>0</v>
      </c>
      <c r="E244" s="430" t="str">
        <f t="shared" si="149"/>
        <v>N.A</v>
      </c>
      <c r="F244" s="683" t="s">
        <v>1103</v>
      </c>
      <c r="G244" s="825" t="str">
        <f t="shared" si="154"/>
        <v>N.A</v>
      </c>
      <c r="H244" s="594">
        <f>'TABLA 7 ESTRUCTURA PROGRAMÁTICA'!I192</f>
        <v>1</v>
      </c>
      <c r="I244" s="478" t="str">
        <f t="shared" si="151"/>
        <v>N.A</v>
      </c>
      <c r="J244" s="682" t="str">
        <f t="shared" si="132"/>
        <v>N.A</v>
      </c>
      <c r="K244" s="478">
        <v>0</v>
      </c>
      <c r="L244" s="427" t="str">
        <f t="shared" ref="L244" si="155">IF(C244=0,E244,(E244*K244))</f>
        <v>N.A</v>
      </c>
      <c r="M244" s="430" t="str">
        <f>IF(L244="N.A","N.A",L244*$K$236*$K$237)</f>
        <v>N.A</v>
      </c>
      <c r="N244" s="426">
        <f t="shared" si="153"/>
        <v>0.76278636363636343</v>
      </c>
      <c r="O244" s="1022"/>
      <c r="P244" s="979"/>
      <c r="Q244" s="988"/>
      <c r="R244" s="979"/>
      <c r="S244" s="979"/>
      <c r="T244" s="982"/>
      <c r="U244" s="979"/>
      <c r="V244" s="1046"/>
      <c r="W244" s="1046"/>
      <c r="X244" s="1046"/>
    </row>
    <row r="245" spans="1:26" s="457" customFormat="1">
      <c r="A245" s="1048" t="s">
        <v>643</v>
      </c>
      <c r="B245" s="1048"/>
      <c r="C245" s="1048"/>
      <c r="D245" s="1048"/>
      <c r="E245" s="1048"/>
      <c r="F245" s="1048"/>
      <c r="G245" s="407"/>
      <c r="H245" s="416"/>
      <c r="I245" s="419"/>
      <c r="J245" s="682">
        <f t="shared" si="132"/>
        <v>0</v>
      </c>
      <c r="K245" s="761"/>
      <c r="L245" s="429">
        <f>SUM(L238:L244)</f>
        <v>1.0000000000000002</v>
      </c>
      <c r="M245" s="430"/>
      <c r="N245" s="426"/>
      <c r="O245" s="799"/>
      <c r="P245" s="501"/>
      <c r="Q245" s="502"/>
      <c r="R245" s="503"/>
      <c r="S245" s="482"/>
      <c r="T245" s="420"/>
      <c r="U245" s="504"/>
      <c r="V245" s="813"/>
      <c r="W245" s="422"/>
      <c r="X245" s="422"/>
    </row>
    <row r="246" spans="1:26" s="424" customFormat="1">
      <c r="A246" s="458" t="str">
        <f>'TABLA 7 ESTRUCTURA PROGRAMÁTICA'!B194</f>
        <v>9. COMUNICACIÓN AMBIENTAL INTELIGENTE</v>
      </c>
      <c r="B246" s="753"/>
      <c r="C246" s="469"/>
      <c r="D246" s="470"/>
      <c r="E246" s="433"/>
      <c r="F246" s="436"/>
      <c r="G246" s="409"/>
      <c r="H246" s="441"/>
      <c r="I246" s="441"/>
      <c r="J246" s="441"/>
      <c r="K246" s="444">
        <v>0.1</v>
      </c>
      <c r="L246" s="445"/>
      <c r="M246" s="433"/>
      <c r="N246" s="484"/>
      <c r="O246" s="785"/>
      <c r="P246" s="484"/>
      <c r="Q246" s="484"/>
      <c r="R246" s="485"/>
      <c r="S246" s="485"/>
      <c r="T246" s="444"/>
      <c r="U246" s="486"/>
      <c r="V246" s="812"/>
      <c r="W246" s="422"/>
      <c r="X246" s="422"/>
      <c r="Y246" s="457"/>
      <c r="Z246" s="457"/>
    </row>
    <row r="247" spans="1:26" s="459" customFormat="1" ht="90">
      <c r="A247" s="462" t="str">
        <f>'TABLA 7 ESTRUCTURA PROGRAMÁTICA'!C194</f>
        <v xml:space="preserve">9.1 Gestión de conocimiento e información ambiental para la promoción del desarrollo ambiental sostenible. </v>
      </c>
      <c r="B247" s="410"/>
      <c r="C247" s="471"/>
      <c r="D247" s="414"/>
      <c r="E247" s="429">
        <f>E250*$K$250+E252*$K$252+E253*$K$253</f>
        <v>1</v>
      </c>
      <c r="F247" s="359"/>
      <c r="G247" s="429">
        <f>G250*$K$250+G252*$K$252+G253*$K$253</f>
        <v>1</v>
      </c>
      <c r="H247" s="357"/>
      <c r="I247" s="357"/>
      <c r="J247" s="429">
        <f>J250*$K$250+J252*$K$252+J253*$K$253</f>
        <v>1</v>
      </c>
      <c r="K247" s="415">
        <v>0.4</v>
      </c>
      <c r="L247" s="428"/>
      <c r="M247" s="429"/>
      <c r="N247" s="487"/>
      <c r="O247" s="358"/>
      <c r="P247" s="487"/>
      <c r="Q247" s="487"/>
      <c r="R247" s="488"/>
      <c r="S247" s="488"/>
      <c r="T247" s="415"/>
      <c r="U247" s="489"/>
      <c r="V247" s="812"/>
      <c r="W247" s="422"/>
      <c r="X247" s="422"/>
      <c r="Y247" s="457"/>
      <c r="Z247" s="457"/>
    </row>
    <row r="248" spans="1:26" s="457" customFormat="1" ht="90">
      <c r="A248" s="995" t="str">
        <f>'TABLA 7 ESTRUCTURA PROGRAMÁTICA'!D194</f>
        <v>9.1.1 Gestión e Implementación de un área  viable de la red hidrometeorológica en  jurisdicción de Corpocesar y comunicación de información ambiental arrojada. .</v>
      </c>
      <c r="B248" s="741" t="str">
        <f>'TABLA 7 ESTRUCTURA PROGRAMÁTICA'!K194</f>
        <v>Avance de área (cobertura de  red )  viable TEFIA implementada</v>
      </c>
      <c r="C248" s="820">
        <f>'TABLA 7 ESTRUCTURA PROGRAMÁTICA'!E194</f>
        <v>0</v>
      </c>
      <c r="D248" s="681">
        <v>0</v>
      </c>
      <c r="E248" s="682" t="str">
        <f t="shared" ref="E248:E253" si="156">IF(C248=0,"N.A",(D248/C248)*1)</f>
        <v>N.A</v>
      </c>
      <c r="F248" s="683" t="s">
        <v>1103</v>
      </c>
      <c r="G248" s="825" t="str">
        <f>E248</f>
        <v>N.A</v>
      </c>
      <c r="H248" s="442">
        <f>'TABLA 7 ESTRUCTURA PROGRAMÁTICA'!I194</f>
        <v>40</v>
      </c>
      <c r="I248" s="478" t="str">
        <f>E248</f>
        <v>N.A</v>
      </c>
      <c r="J248" s="682" t="str">
        <f t="shared" si="132"/>
        <v>N.A</v>
      </c>
      <c r="K248" s="478">
        <v>0</v>
      </c>
      <c r="L248" s="427" t="str">
        <f>IF(C248=0,E248,(E248*K248))</f>
        <v>N.A</v>
      </c>
      <c r="M248" s="430" t="str">
        <f>IF(L248="N.A","N.A",L248*$K$246*$K$247)</f>
        <v>N.A</v>
      </c>
      <c r="N248" s="426">
        <f>(IF(M248="N.A",0,M248))+N244</f>
        <v>0.76278636363636343</v>
      </c>
      <c r="O248" s="1020">
        <f>100000000+23915333</f>
        <v>123915333</v>
      </c>
      <c r="P248" s="977">
        <f>8341500+22266000</f>
        <v>30607500</v>
      </c>
      <c r="Q248" s="986">
        <f>P248/O248</f>
        <v>0.24700333089529769</v>
      </c>
      <c r="R248" s="977">
        <f>O248</f>
        <v>123915333</v>
      </c>
      <c r="S248" s="977">
        <f>P248</f>
        <v>30607500</v>
      </c>
      <c r="T248" s="980">
        <f>Q248</f>
        <v>0.24700333089529769</v>
      </c>
      <c r="U248" s="977"/>
      <c r="V248" s="1044" t="s">
        <v>1120</v>
      </c>
      <c r="W248" s="1044" t="s">
        <v>1152</v>
      </c>
      <c r="X248" s="1044" t="s">
        <v>1129</v>
      </c>
    </row>
    <row r="249" spans="1:26" s="457" customFormat="1" ht="90">
      <c r="A249" s="996"/>
      <c r="B249" s="741" t="str">
        <f>'TABLA 7 ESTRUCTURA PROGRAMÁTICA'!K195</f>
        <v>SIA regional (SIPGA) alimentado con datos de la red Hidrometeorológica</v>
      </c>
      <c r="C249" s="820">
        <f>'TABLA 7 ESTRUCTURA PROGRAMÁTICA'!E195</f>
        <v>0</v>
      </c>
      <c r="D249" s="681">
        <v>0</v>
      </c>
      <c r="E249" s="682" t="str">
        <f t="shared" si="156"/>
        <v>N.A</v>
      </c>
      <c r="F249" s="683" t="s">
        <v>1103</v>
      </c>
      <c r="G249" s="825" t="str">
        <f t="shared" ref="G249:G251" si="157">E249</f>
        <v>N.A</v>
      </c>
      <c r="H249" s="594">
        <f>'TABLA 7 ESTRUCTURA PROGRAMÁTICA'!I195</f>
        <v>1</v>
      </c>
      <c r="I249" s="478" t="str">
        <f t="shared" ref="I249:I253" si="158">E249</f>
        <v>N.A</v>
      </c>
      <c r="J249" s="682" t="str">
        <f t="shared" si="132"/>
        <v>N.A</v>
      </c>
      <c r="K249" s="478">
        <v>0</v>
      </c>
      <c r="L249" s="427" t="str">
        <f t="shared" ref="L249:L253" si="159">IF(C249=0,E249,(E249*K249))</f>
        <v>N.A</v>
      </c>
      <c r="M249" s="430" t="str">
        <f t="shared" ref="M249:M253" si="160">IF(L249="N.A","N.A",L249*$K$246*$K$247)</f>
        <v>N.A</v>
      </c>
      <c r="N249" s="426">
        <f>(IF(M249="N.A",0,M249))+N248</f>
        <v>0.76278636363636343</v>
      </c>
      <c r="O249" s="1021"/>
      <c r="P249" s="978"/>
      <c r="Q249" s="987"/>
      <c r="R249" s="978"/>
      <c r="S249" s="978"/>
      <c r="T249" s="981"/>
      <c r="U249" s="978"/>
      <c r="V249" s="1045"/>
      <c r="W249" s="1045"/>
      <c r="X249" s="1045"/>
    </row>
    <row r="250" spans="1:26" s="457" customFormat="1" ht="390">
      <c r="A250" s="995" t="str">
        <f>'TABLA 7 ESTRUCTURA PROGRAMÁTICA'!D196</f>
        <v>9.1.2 Gestion para la  implementación y operación de instrumentos de monitoreo de los Recursos Naturales</v>
      </c>
      <c r="B250" s="741" t="str">
        <f>'TABLA 7 ESTRUCTURA PROGRAMÁTICA'!K196</f>
        <v>Monitoreo del recurso hídrico superficial y subterráneo</v>
      </c>
      <c r="C250" s="820">
        <f>'TABLA 7 ESTRUCTURA PROGRAMÁTICA'!E196</f>
        <v>2</v>
      </c>
      <c r="D250" s="681">
        <v>3</v>
      </c>
      <c r="E250" s="682">
        <v>1</v>
      </c>
      <c r="F250" s="683" t="s">
        <v>1169</v>
      </c>
      <c r="G250" s="825">
        <f t="shared" si="157"/>
        <v>1</v>
      </c>
      <c r="H250" s="594">
        <f>'TABLA 7 ESTRUCTURA PROGRAMÁTICA'!I196</f>
        <v>8</v>
      </c>
      <c r="I250" s="478">
        <f t="shared" si="158"/>
        <v>1</v>
      </c>
      <c r="J250" s="682">
        <f t="shared" si="132"/>
        <v>1</v>
      </c>
      <c r="K250" s="478">
        <v>0.4</v>
      </c>
      <c r="L250" s="427">
        <f t="shared" si="159"/>
        <v>0.4</v>
      </c>
      <c r="M250" s="430">
        <f t="shared" si="160"/>
        <v>1.6000000000000004E-2</v>
      </c>
      <c r="N250" s="426">
        <f t="shared" ref="N250:N253" si="161">(IF(M250="N.A",0,M250))+N249</f>
        <v>0.77878636363636344</v>
      </c>
      <c r="O250" s="1021"/>
      <c r="P250" s="978"/>
      <c r="Q250" s="987"/>
      <c r="R250" s="978"/>
      <c r="S250" s="978"/>
      <c r="T250" s="981"/>
      <c r="U250" s="978"/>
      <c r="V250" s="1045"/>
      <c r="W250" s="1045"/>
      <c r="X250" s="1045"/>
    </row>
    <row r="251" spans="1:26" s="457" customFormat="1" ht="90">
      <c r="A251" s="996"/>
      <c r="B251" s="741" t="str">
        <f>'TABLA 7 ESTRUCTURA PROGRAMÁTICA'!K197</f>
        <v xml:space="preserve">Resultados  de la gestión de  monitoreo incorporados al SIA regional </v>
      </c>
      <c r="C251" s="820">
        <f>'TABLA 7 ESTRUCTURA PROGRAMÁTICA'!E197</f>
        <v>0</v>
      </c>
      <c r="D251" s="681">
        <v>0</v>
      </c>
      <c r="E251" s="682" t="str">
        <f t="shared" si="156"/>
        <v>N.A</v>
      </c>
      <c r="F251" s="683" t="s">
        <v>1103</v>
      </c>
      <c r="G251" s="825" t="str">
        <f t="shared" si="157"/>
        <v>N.A</v>
      </c>
      <c r="H251" s="594">
        <f>'TABLA 7 ESTRUCTURA PROGRAMÁTICA'!I197</f>
        <v>1</v>
      </c>
      <c r="I251" s="478" t="str">
        <f t="shared" si="158"/>
        <v>N.A</v>
      </c>
      <c r="J251" s="682" t="str">
        <f t="shared" si="132"/>
        <v>N.A</v>
      </c>
      <c r="K251" s="478">
        <v>0</v>
      </c>
      <c r="L251" s="427" t="str">
        <f t="shared" si="159"/>
        <v>N.A</v>
      </c>
      <c r="M251" s="430" t="str">
        <f t="shared" si="160"/>
        <v>N.A</v>
      </c>
      <c r="N251" s="426">
        <f t="shared" si="161"/>
        <v>0.77878636363636344</v>
      </c>
      <c r="O251" s="1021"/>
      <c r="P251" s="978"/>
      <c r="Q251" s="987"/>
      <c r="R251" s="978"/>
      <c r="S251" s="978"/>
      <c r="T251" s="981"/>
      <c r="U251" s="978"/>
      <c r="V251" s="1045"/>
      <c r="W251" s="1045"/>
      <c r="X251" s="1045"/>
    </row>
    <row r="252" spans="1:26" s="457" customFormat="1" ht="93" customHeight="1">
      <c r="A252" s="476" t="str">
        <f>'TABLA 7 ESTRUCTURA PROGRAMÁTICA'!D198</f>
        <v xml:space="preserve">9.1.3 Fortalecimiento  del SIA regional </v>
      </c>
      <c r="B252" s="741" t="str">
        <f>'TABLA 7 ESTRUCTURA PROGRAMÁTICA'!K198</f>
        <v xml:space="preserve">SIA regional  alimentado con datos de gestión ambiental regional </v>
      </c>
      <c r="C252" s="820">
        <f>'TABLA 7 ESTRUCTURA PROGRAMÁTICA'!E198</f>
        <v>1</v>
      </c>
      <c r="D252" s="684">
        <v>1</v>
      </c>
      <c r="E252" s="682">
        <f t="shared" si="156"/>
        <v>1</v>
      </c>
      <c r="F252" s="683" t="s">
        <v>1170</v>
      </c>
      <c r="G252" s="825">
        <f>E252</f>
        <v>1</v>
      </c>
      <c r="H252" s="594">
        <f>'TABLA 7 ESTRUCTURA PROGRAMÁTICA'!I198</f>
        <v>1</v>
      </c>
      <c r="I252" s="478">
        <f>G252</f>
        <v>1</v>
      </c>
      <c r="J252" s="682">
        <f t="shared" si="132"/>
        <v>1</v>
      </c>
      <c r="K252" s="478">
        <v>0.3</v>
      </c>
      <c r="L252" s="427">
        <f>IF(C252=0,G252,(G252*K252))</f>
        <v>0.3</v>
      </c>
      <c r="M252" s="430">
        <f t="shared" si="160"/>
        <v>1.2E-2</v>
      </c>
      <c r="N252" s="426">
        <f t="shared" si="161"/>
        <v>0.79078636363636345</v>
      </c>
      <c r="O252" s="1021"/>
      <c r="P252" s="978"/>
      <c r="Q252" s="987"/>
      <c r="R252" s="978"/>
      <c r="S252" s="978"/>
      <c r="T252" s="981"/>
      <c r="U252" s="978"/>
      <c r="V252" s="1045"/>
      <c r="W252" s="1045"/>
      <c r="X252" s="1045"/>
    </row>
    <row r="253" spans="1:26" s="457" customFormat="1" ht="120">
      <c r="A253" s="476" t="str">
        <f>'TABLA 7 ESTRUCTURA PROGRAMÁTICA'!D199</f>
        <v>9.1.4 Evaluación de la  Evolución dinámica del PGAR y los  impactos de la gestión ambiental sobre la sostenibilidad del desarrollo socio-económico y los Indicadores Mínimos de Gestión</v>
      </c>
      <c r="B253" s="741" t="str">
        <f>'TABLA 7 ESTRUCTURA PROGRAMÁTICA'!K199</f>
        <v>Evaluación realizada</v>
      </c>
      <c r="C253" s="820">
        <f>'TABLA 7 ESTRUCTURA PROGRAMÁTICA'!E199</f>
        <v>1</v>
      </c>
      <c r="D253" s="681">
        <v>1</v>
      </c>
      <c r="E253" s="682">
        <f t="shared" si="156"/>
        <v>1</v>
      </c>
      <c r="F253" s="683" t="s">
        <v>1171</v>
      </c>
      <c r="G253" s="825">
        <f>E253</f>
        <v>1</v>
      </c>
      <c r="H253" s="594">
        <f>'TABLA 7 ESTRUCTURA PROGRAMÁTICA'!I199</f>
        <v>1</v>
      </c>
      <c r="I253" s="478">
        <f t="shared" si="158"/>
        <v>1</v>
      </c>
      <c r="J253" s="682">
        <f t="shared" si="132"/>
        <v>1</v>
      </c>
      <c r="K253" s="478">
        <v>0.3</v>
      </c>
      <c r="L253" s="427">
        <f t="shared" si="159"/>
        <v>0.3</v>
      </c>
      <c r="M253" s="430">
        <f t="shared" si="160"/>
        <v>1.2E-2</v>
      </c>
      <c r="N253" s="426">
        <f t="shared" si="161"/>
        <v>0.80278636363636346</v>
      </c>
      <c r="O253" s="1021"/>
      <c r="P253" s="978"/>
      <c r="Q253" s="987"/>
      <c r="R253" s="978"/>
      <c r="S253" s="978"/>
      <c r="T253" s="981"/>
      <c r="U253" s="978"/>
      <c r="V253" s="1046"/>
      <c r="W253" s="1046"/>
      <c r="X253" s="1046"/>
    </row>
    <row r="254" spans="1:26" s="457" customFormat="1">
      <c r="A254" s="989" t="s">
        <v>643</v>
      </c>
      <c r="B254" s="990"/>
      <c r="C254" s="990"/>
      <c r="D254" s="990"/>
      <c r="E254" s="990"/>
      <c r="F254" s="991"/>
      <c r="G254" s="407"/>
      <c r="H254" s="416"/>
      <c r="I254" s="419"/>
      <c r="J254" s="682">
        <f t="shared" si="132"/>
        <v>0</v>
      </c>
      <c r="K254" s="761"/>
      <c r="L254" s="429">
        <f>SUM(L248:L253)</f>
        <v>1</v>
      </c>
      <c r="M254" s="430"/>
      <c r="N254" s="426"/>
      <c r="O254" s="799"/>
      <c r="P254" s="501"/>
      <c r="Q254" s="502"/>
      <c r="R254" s="503"/>
      <c r="S254" s="482"/>
      <c r="T254" s="420"/>
      <c r="U254" s="504"/>
      <c r="V254" s="813"/>
      <c r="W254" s="422"/>
      <c r="X254" s="422"/>
    </row>
    <row r="255" spans="1:26" s="424" customFormat="1">
      <c r="A255" s="458" t="str">
        <f>A246</f>
        <v>9. COMUNICACIÓN AMBIENTAL INTELIGENTE</v>
      </c>
      <c r="B255" s="753"/>
      <c r="C255" s="469"/>
      <c r="D255" s="470"/>
      <c r="E255" s="433"/>
      <c r="F255" s="436"/>
      <c r="G255" s="409"/>
      <c r="H255" s="441"/>
      <c r="I255" s="441"/>
      <c r="J255" s="441"/>
      <c r="K255" s="444">
        <v>0.1</v>
      </c>
      <c r="L255" s="445"/>
      <c r="M255" s="433"/>
      <c r="N255" s="484"/>
      <c r="O255" s="785"/>
      <c r="P255" s="484"/>
      <c r="Q255" s="484"/>
      <c r="R255" s="485"/>
      <c r="S255" s="485"/>
      <c r="T255" s="444"/>
      <c r="U255" s="486"/>
      <c r="V255" s="812"/>
      <c r="W255" s="422"/>
      <c r="X255" s="422"/>
      <c r="Y255" s="457"/>
      <c r="Z255" s="457"/>
    </row>
    <row r="256" spans="1:26" s="459" customFormat="1" ht="120">
      <c r="A256" s="462" t="str">
        <f>'TABLA 7 ESTRUCTURA PROGRAMÁTICA'!C201</f>
        <v>9.2 Implementación de la estrategia  de Comunicación política de la gestión ambiental para la divulgación interinstitucional y  aprehensión ciudadana al sector ambiental</v>
      </c>
      <c r="B256" s="410"/>
      <c r="C256" s="471"/>
      <c r="D256" s="414"/>
      <c r="E256" s="429">
        <f>E257*$K$257+E258*$K$258+E259*$K$259+E260*$K$260</f>
        <v>1</v>
      </c>
      <c r="F256" s="359"/>
      <c r="G256" s="429">
        <f>G257*$K$257+G258*$K$258+G259*$K$259+G260*$K$260</f>
        <v>1</v>
      </c>
      <c r="H256" s="357"/>
      <c r="I256" s="357"/>
      <c r="J256" s="429">
        <f>J257*$K$257+J258*$K$258+J259*$K$259+J260*$K$260</f>
        <v>1</v>
      </c>
      <c r="K256" s="415">
        <v>0.3</v>
      </c>
      <c r="L256" s="428"/>
      <c r="M256" s="429"/>
      <c r="N256" s="487"/>
      <c r="O256" s="358"/>
      <c r="P256" s="487"/>
      <c r="Q256" s="487"/>
      <c r="R256" s="488"/>
      <c r="S256" s="488"/>
      <c r="T256" s="415"/>
      <c r="U256" s="489"/>
      <c r="V256" s="812"/>
      <c r="W256" s="422"/>
      <c r="X256" s="422"/>
      <c r="Y256" s="457"/>
      <c r="Z256" s="457"/>
    </row>
    <row r="257" spans="1:26" s="457" customFormat="1" ht="90">
      <c r="A257" s="463" t="str">
        <f>'TABLA 7 ESTRUCTURA PROGRAMÁTICA'!D201</f>
        <v xml:space="preserve">9.2.1 Comunicación y cultura ciudadana para desincentivar el uso  de  productos plástico de un solo uso e icopor.  </v>
      </c>
      <c r="B257" s="741" t="str">
        <f>'TABLA 7 ESTRUCTURA PROGRAMÁTICA'!K201</f>
        <v xml:space="preserve">Campañas realizadas/año </v>
      </c>
      <c r="C257" s="820">
        <f>'TABLA 7 ESTRUCTURA PROGRAMÁTICA'!E201</f>
        <v>1</v>
      </c>
      <c r="D257" s="681">
        <v>1</v>
      </c>
      <c r="E257" s="682">
        <f t="shared" ref="E257:E260" si="162">IF(C257=0,"N.A",(D257/C257)*1)</f>
        <v>1</v>
      </c>
      <c r="F257" s="456" t="s">
        <v>1113</v>
      </c>
      <c r="G257" s="825">
        <f>E257</f>
        <v>1</v>
      </c>
      <c r="H257" s="442">
        <f>'TABLA 7 ESTRUCTURA PROGRAMÁTICA'!I201</f>
        <v>7</v>
      </c>
      <c r="I257" s="478">
        <f>G257</f>
        <v>1</v>
      </c>
      <c r="J257" s="682">
        <f t="shared" si="132"/>
        <v>1</v>
      </c>
      <c r="K257" s="478">
        <v>0.25</v>
      </c>
      <c r="L257" s="427">
        <f>IF(C257=0,G257,(G257*K257))</f>
        <v>0.25</v>
      </c>
      <c r="M257" s="430">
        <f>IF(L257="N.A","N.A",L257*$K$255*$K$256)</f>
        <v>7.4999999999999997E-3</v>
      </c>
      <c r="N257" s="426">
        <f>(IF(M257="N.A",0,M257))+N253</f>
        <v>0.81028636363636342</v>
      </c>
      <c r="O257" s="1020">
        <v>300000000</v>
      </c>
      <c r="P257" s="977">
        <v>144303000</v>
      </c>
      <c r="Q257" s="986">
        <f>P257/O257</f>
        <v>0.48100999999999999</v>
      </c>
      <c r="R257" s="977">
        <f>O257</f>
        <v>300000000</v>
      </c>
      <c r="S257" s="977">
        <f>P257</f>
        <v>144303000</v>
      </c>
      <c r="T257" s="980">
        <f>Q257</f>
        <v>0.48100999999999999</v>
      </c>
      <c r="U257" s="977"/>
      <c r="V257" s="1044" t="s">
        <v>1122</v>
      </c>
      <c r="W257" s="1044" t="s">
        <v>729</v>
      </c>
      <c r="X257" s="1044" t="s">
        <v>1129</v>
      </c>
    </row>
    <row r="258" spans="1:26" s="457" customFormat="1" ht="139.5" customHeight="1">
      <c r="A258" s="463" t="str">
        <f>'TABLA 7 ESTRUCTURA PROGRAMÁTICA'!D202</f>
        <v xml:space="preserve">9.2.2 Consecución de reportes de la gestión a través de  ASOCARS y  entidades adscritas al sector. </v>
      </c>
      <c r="B258" s="741" t="str">
        <f>'TABLA 7 ESTRUCTURA PROGRAMÁTICA'!K202</f>
        <v xml:space="preserve">Eficacia en reportes requeridos </v>
      </c>
      <c r="C258" s="820">
        <f>'TABLA 7 ESTRUCTURA PROGRAMÁTICA'!E202</f>
        <v>100</v>
      </c>
      <c r="D258" s="681">
        <v>100</v>
      </c>
      <c r="E258" s="682">
        <f t="shared" si="162"/>
        <v>1</v>
      </c>
      <c r="F258" s="456" t="s">
        <v>1243</v>
      </c>
      <c r="G258" s="825">
        <f>E258</f>
        <v>1</v>
      </c>
      <c r="H258" s="594">
        <f>'TABLA 7 ESTRUCTURA PROGRAMÁTICA'!I202</f>
        <v>100</v>
      </c>
      <c r="I258" s="478">
        <f t="shared" ref="I258:I260" si="163">E258</f>
        <v>1</v>
      </c>
      <c r="J258" s="682">
        <f t="shared" si="132"/>
        <v>1</v>
      </c>
      <c r="K258" s="478">
        <v>0.2</v>
      </c>
      <c r="L258" s="427">
        <f t="shared" ref="L258:L260" si="164">IF(C258=0,E258,(E258*K258))</f>
        <v>0.2</v>
      </c>
      <c r="M258" s="430">
        <f t="shared" ref="M258:M260" si="165">IF(L258="N.A","N.A",L258*$K$255*$K$256)</f>
        <v>6.000000000000001E-3</v>
      </c>
      <c r="N258" s="426">
        <f>(IF(M258="N.A",0,M258))+N257</f>
        <v>0.81628636363636342</v>
      </c>
      <c r="O258" s="1021"/>
      <c r="P258" s="978"/>
      <c r="Q258" s="987"/>
      <c r="R258" s="978"/>
      <c r="S258" s="978"/>
      <c r="T258" s="981"/>
      <c r="U258" s="978"/>
      <c r="V258" s="1045"/>
      <c r="W258" s="1045"/>
      <c r="X258" s="1045"/>
    </row>
    <row r="259" spans="1:26" s="457" customFormat="1" ht="90">
      <c r="A259" s="463" t="str">
        <f>'TABLA 7 ESTRUCTURA PROGRAMÁTICA'!D203</f>
        <v xml:space="preserve">9.2.3 Uso inteligente de las redes sociales para la promoción de medidas de concienciación ambiental y comunicaciones de eventos y acciones  </v>
      </c>
      <c r="B259" s="741" t="str">
        <f>'TABLA 7 ESTRUCTURA PROGRAMÁTICA'!K203</f>
        <v xml:space="preserve">Redes sociales institucionalizadas y  organizadas </v>
      </c>
      <c r="C259" s="820">
        <f>'TABLA 7 ESTRUCTURA PROGRAMÁTICA'!E203</f>
        <v>1</v>
      </c>
      <c r="D259" s="684">
        <v>1</v>
      </c>
      <c r="E259" s="682">
        <f t="shared" si="162"/>
        <v>1</v>
      </c>
      <c r="F259" s="456" t="s">
        <v>1196</v>
      </c>
      <c r="G259" s="825">
        <f t="shared" ref="G259:G260" si="166">E259</f>
        <v>1</v>
      </c>
      <c r="H259" s="594">
        <f>'TABLA 7 ESTRUCTURA PROGRAMÁTICA'!I203</f>
        <v>1</v>
      </c>
      <c r="I259" s="478">
        <f>G259</f>
        <v>1</v>
      </c>
      <c r="J259" s="682">
        <f t="shared" si="132"/>
        <v>1</v>
      </c>
      <c r="K259" s="478">
        <v>0.15</v>
      </c>
      <c r="L259" s="427">
        <f>IF(C259=0,G259,(G259*K259))</f>
        <v>0.15</v>
      </c>
      <c r="M259" s="430">
        <f t="shared" si="165"/>
        <v>4.4999999999999997E-3</v>
      </c>
      <c r="N259" s="426">
        <f t="shared" ref="N259:N260" si="167">(IF(M259="N.A",0,M259))+N258</f>
        <v>0.82078636363636337</v>
      </c>
      <c r="O259" s="1021"/>
      <c r="P259" s="978"/>
      <c r="Q259" s="987"/>
      <c r="R259" s="978"/>
      <c r="S259" s="978"/>
      <c r="T259" s="981"/>
      <c r="U259" s="978"/>
      <c r="V259" s="1045"/>
      <c r="W259" s="1045"/>
      <c r="X259" s="1045"/>
    </row>
    <row r="260" spans="1:26" s="457" customFormat="1" ht="60">
      <c r="A260" s="463" t="str">
        <f>'TABLA 7 ESTRUCTURA PROGRAMÁTICA'!D204</f>
        <v xml:space="preserve">9.2.4 Planeación, gestión y optimización del  plan de medios (radio, TV, prensa, etc)  </v>
      </c>
      <c r="B260" s="741" t="str">
        <f>'TABLA 7 ESTRUCTURA PROGRAMÁTICA'!K204</f>
        <v xml:space="preserve">Plan en ejecución/año </v>
      </c>
      <c r="C260" s="820">
        <f>'TABLA 7 ESTRUCTURA PROGRAMÁTICA'!E204</f>
        <v>1</v>
      </c>
      <c r="D260" s="477">
        <v>1</v>
      </c>
      <c r="E260" s="682">
        <f t="shared" si="162"/>
        <v>1</v>
      </c>
      <c r="F260" s="683" t="s">
        <v>1195</v>
      </c>
      <c r="G260" s="825">
        <f t="shared" si="166"/>
        <v>1</v>
      </c>
      <c r="H260" s="594">
        <f>'TABLA 7 ESTRUCTURA PROGRAMÁTICA'!I204</f>
        <v>1</v>
      </c>
      <c r="I260" s="478">
        <f t="shared" si="163"/>
        <v>1</v>
      </c>
      <c r="J260" s="682">
        <f t="shared" si="132"/>
        <v>1</v>
      </c>
      <c r="K260" s="478">
        <v>0.4</v>
      </c>
      <c r="L260" s="427">
        <f t="shared" si="164"/>
        <v>0.4</v>
      </c>
      <c r="M260" s="430">
        <f t="shared" si="165"/>
        <v>1.2000000000000002E-2</v>
      </c>
      <c r="N260" s="426">
        <f t="shared" si="167"/>
        <v>0.83278636363636338</v>
      </c>
      <c r="O260" s="1021"/>
      <c r="P260" s="978"/>
      <c r="Q260" s="987"/>
      <c r="R260" s="978"/>
      <c r="S260" s="978"/>
      <c r="T260" s="981"/>
      <c r="U260" s="978"/>
      <c r="V260" s="1046"/>
      <c r="W260" s="1046"/>
      <c r="X260" s="1046"/>
    </row>
    <row r="261" spans="1:26" s="457" customFormat="1">
      <c r="A261" s="989" t="s">
        <v>643</v>
      </c>
      <c r="B261" s="990"/>
      <c r="C261" s="990"/>
      <c r="D261" s="990"/>
      <c r="E261" s="990"/>
      <c r="F261" s="991"/>
      <c r="G261" s="407"/>
      <c r="H261" s="416"/>
      <c r="I261" s="419"/>
      <c r="J261" s="682">
        <f t="shared" si="132"/>
        <v>0</v>
      </c>
      <c r="K261" s="761"/>
      <c r="L261" s="429">
        <f>SUM(L257:L260)</f>
        <v>1</v>
      </c>
      <c r="M261" s="430"/>
      <c r="N261" s="426"/>
      <c r="O261" s="799"/>
      <c r="P261" s="501"/>
      <c r="Q261" s="502"/>
      <c r="R261" s="503"/>
      <c r="S261" s="482"/>
      <c r="T261" s="420"/>
      <c r="U261" s="504"/>
      <c r="V261" s="813"/>
      <c r="W261" s="422"/>
      <c r="X261" s="422"/>
    </row>
    <row r="262" spans="1:26" s="424" customFormat="1">
      <c r="A262" s="458" t="str">
        <f>A255</f>
        <v>9. COMUNICACIÓN AMBIENTAL INTELIGENTE</v>
      </c>
      <c r="B262" s="753"/>
      <c r="C262" s="469"/>
      <c r="D262" s="470"/>
      <c r="E262" s="433"/>
      <c r="F262" s="436"/>
      <c r="G262" s="409"/>
      <c r="H262" s="441"/>
      <c r="I262" s="441"/>
      <c r="J262" s="441"/>
      <c r="K262" s="444">
        <v>0.1</v>
      </c>
      <c r="L262" s="445"/>
      <c r="M262" s="433"/>
      <c r="N262" s="484"/>
      <c r="O262" s="785"/>
      <c r="P262" s="484"/>
      <c r="Q262" s="484"/>
      <c r="R262" s="485"/>
      <c r="S262" s="485"/>
      <c r="T262" s="444"/>
      <c r="U262" s="486"/>
      <c r="V262" s="812"/>
      <c r="W262" s="422"/>
      <c r="X262" s="422"/>
      <c r="Y262" s="457"/>
      <c r="Z262" s="457"/>
    </row>
    <row r="263" spans="1:26" s="459" customFormat="1" ht="90">
      <c r="A263" s="462" t="str">
        <f>'TABLA 7 ESTRUCTURA PROGRAMÁTICA'!C206</f>
        <v xml:space="preserve">9.3 Fortalecimiento de las  TIC´s .según lineamientos de MINTICs y la política de gobierno digital, en Corpocesar. </v>
      </c>
      <c r="B263" s="410"/>
      <c r="C263" s="471"/>
      <c r="D263" s="414"/>
      <c r="E263" s="429">
        <f>E264*$K$264+E265*$K$265+E266*$K$266+E267*$K$267</f>
        <v>0.84999999999999987</v>
      </c>
      <c r="F263" s="359"/>
      <c r="G263" s="429">
        <f>G264*$K$264+G265*$K$265+G266*$K$266+G267*$K$267</f>
        <v>0.84999999999999987</v>
      </c>
      <c r="H263" s="357"/>
      <c r="I263" s="357"/>
      <c r="J263" s="429">
        <f>J264*$K$264+J265*$K$265+J266*$K$266+J267*$K$267</f>
        <v>0.84999999999999987</v>
      </c>
      <c r="K263" s="415">
        <v>0.3</v>
      </c>
      <c r="L263" s="428"/>
      <c r="M263" s="429"/>
      <c r="N263" s="487"/>
      <c r="O263" s="358"/>
      <c r="P263" s="487"/>
      <c r="Q263" s="487"/>
      <c r="R263" s="488"/>
      <c r="S263" s="488"/>
      <c r="T263" s="415"/>
      <c r="U263" s="489"/>
      <c r="V263" s="812"/>
      <c r="W263" s="422"/>
      <c r="X263" s="422"/>
      <c r="Y263" s="457"/>
      <c r="Z263" s="457"/>
    </row>
    <row r="264" spans="1:26" s="457" customFormat="1" ht="297">
      <c r="A264" s="476" t="str">
        <f>'TABLA 7 ESTRUCTURA PROGRAMÁTICA'!D206</f>
        <v xml:space="preserve">9.3.1 Ejecución del  plan de acción para la implementación efectiva de la estrategia de  gobierno digital </v>
      </c>
      <c r="B264" s="741" t="str">
        <f>'TABLA 7 ESTRUCTURA PROGRAMÁTICA'!K206</f>
        <v xml:space="preserve">Avance y sosteniblidad del  plan de acción Gobierno Digital. </v>
      </c>
      <c r="C264" s="820">
        <f>'TABLA 7 ESTRUCTURA PROGRAMÁTICA'!E206</f>
        <v>40</v>
      </c>
      <c r="D264" s="477">
        <v>20</v>
      </c>
      <c r="E264" s="430">
        <f t="shared" ref="E264:E267" si="168">IF(C264=0,"N.A",(D264/C264)*1)</f>
        <v>0.5</v>
      </c>
      <c r="F264" s="857" t="s">
        <v>1114</v>
      </c>
      <c r="G264" s="827">
        <f>E264</f>
        <v>0.5</v>
      </c>
      <c r="H264" s="442">
        <f>'TABLA 7 ESTRUCTURA PROGRAMÁTICA'!I206</f>
        <v>100</v>
      </c>
      <c r="I264" s="478">
        <f>E264</f>
        <v>0.5</v>
      </c>
      <c r="J264" s="682">
        <f t="shared" si="132"/>
        <v>0.5</v>
      </c>
      <c r="K264" s="478">
        <v>0.3</v>
      </c>
      <c r="L264" s="427">
        <f>IF(C264=0,E264,(E264*K264))</f>
        <v>0.15</v>
      </c>
      <c r="M264" s="430">
        <f>IF(L264="N.A","N.A",L264*$K$262*$K$263)</f>
        <v>4.4999999999999997E-3</v>
      </c>
      <c r="N264" s="426">
        <f>(IF(M264="N.A",0,M264))+N260</f>
        <v>0.83728636363636333</v>
      </c>
      <c r="O264" s="1020">
        <f>300000000+298646534</f>
        <v>598646534</v>
      </c>
      <c r="P264" s="977">
        <f>293634567+163114775.13</f>
        <v>456749342.13</v>
      </c>
      <c r="Q264" s="986">
        <f>P264/O264</f>
        <v>0.76296999345861072</v>
      </c>
      <c r="R264" s="977">
        <f>O264</f>
        <v>598646534</v>
      </c>
      <c r="S264" s="977">
        <f>P264</f>
        <v>456749342.13</v>
      </c>
      <c r="T264" s="980">
        <f>Q264</f>
        <v>0.76296999345861072</v>
      </c>
      <c r="U264" s="977"/>
      <c r="V264" s="1044" t="s">
        <v>1122</v>
      </c>
      <c r="W264" s="1044" t="s">
        <v>729</v>
      </c>
      <c r="X264" s="1044" t="s">
        <v>1129</v>
      </c>
    </row>
    <row r="265" spans="1:26" s="457" customFormat="1" ht="116.25" customHeight="1">
      <c r="A265" s="476" t="str">
        <f>'TABLA 7 ESTRUCTURA PROGRAMÁTICA'!D207</f>
        <v>9.3.2  Gestión para el cumplimiento del proceso de transparencia y acceso a la información (Ley 1712 de 2014)</v>
      </c>
      <c r="B265" s="741" t="str">
        <f>'TABLA 7 ESTRUCTURA PROGRAMÁTICA'!K207</f>
        <v>Cumplimiento de requisitos mínimos de publicación</v>
      </c>
      <c r="C265" s="820">
        <f>'TABLA 7 ESTRUCTURA PROGRAMÁTICA'!E207</f>
        <v>90</v>
      </c>
      <c r="D265" s="681">
        <v>100</v>
      </c>
      <c r="E265" s="430">
        <v>1</v>
      </c>
      <c r="F265" s="683" t="s">
        <v>1189</v>
      </c>
      <c r="G265" s="827">
        <f t="shared" ref="G265:G266" si="169">E265</f>
        <v>1</v>
      </c>
      <c r="H265" s="594">
        <f>'TABLA 7 ESTRUCTURA PROGRAMÁTICA'!I207</f>
        <v>100</v>
      </c>
      <c r="I265" s="478">
        <f t="shared" ref="I265:I267" si="170">E265</f>
        <v>1</v>
      </c>
      <c r="J265" s="682">
        <f t="shared" si="132"/>
        <v>1</v>
      </c>
      <c r="K265" s="478">
        <v>0.3</v>
      </c>
      <c r="L265" s="427">
        <f t="shared" ref="L265:L267" si="171">IF(C265=0,E265,(E265*K265))</f>
        <v>0.3</v>
      </c>
      <c r="M265" s="430">
        <f t="shared" ref="M265:M267" si="172">IF(L265="N.A","N.A",L265*$K$262*$K$263)</f>
        <v>8.9999999999999993E-3</v>
      </c>
      <c r="N265" s="426">
        <f>(IF(M265="N.A",0,M265))+N264</f>
        <v>0.84628636363636334</v>
      </c>
      <c r="O265" s="1021"/>
      <c r="P265" s="978"/>
      <c r="Q265" s="987"/>
      <c r="R265" s="978"/>
      <c r="S265" s="978"/>
      <c r="T265" s="981"/>
      <c r="U265" s="978"/>
      <c r="V265" s="1045"/>
      <c r="W265" s="1045"/>
      <c r="X265" s="1045"/>
    </row>
    <row r="266" spans="1:26" s="457" customFormat="1" ht="60">
      <c r="A266" s="476" t="str">
        <f>'TABLA 7 ESTRUCTURA PROGRAMÁTICA'!D208</f>
        <v xml:space="preserve">9.3.3  Soporte interno en tecnología y formación para el uso eficiente de  las TICs. </v>
      </c>
      <c r="B266" s="741" t="str">
        <f>'TABLA 7 ESTRUCTURA PROGRAMÁTICA'!K208</f>
        <v>Eficacia del soporte</v>
      </c>
      <c r="C266" s="820">
        <f>'TABLA 7 ESTRUCTURA PROGRAMÁTICA'!E208</f>
        <v>70</v>
      </c>
      <c r="D266" s="681">
        <v>100</v>
      </c>
      <c r="E266" s="430">
        <v>1</v>
      </c>
      <c r="F266" s="683" t="s">
        <v>1190</v>
      </c>
      <c r="G266" s="827">
        <f t="shared" si="169"/>
        <v>1</v>
      </c>
      <c r="H266" s="594">
        <f>'TABLA 7 ESTRUCTURA PROGRAMÁTICA'!I208</f>
        <v>100</v>
      </c>
      <c r="I266" s="478">
        <f t="shared" si="170"/>
        <v>1</v>
      </c>
      <c r="J266" s="682">
        <f t="shared" ref="J266:J267" si="173">I266</f>
        <v>1</v>
      </c>
      <c r="K266" s="478">
        <v>0.2</v>
      </c>
      <c r="L266" s="427">
        <f t="shared" si="171"/>
        <v>0.2</v>
      </c>
      <c r="M266" s="430">
        <f t="shared" si="172"/>
        <v>6.000000000000001E-3</v>
      </c>
      <c r="N266" s="426">
        <f t="shared" ref="N266:N267" si="174">(IF(M266="N.A",0,M266))+N265</f>
        <v>0.85228636363636334</v>
      </c>
      <c r="O266" s="1021"/>
      <c r="P266" s="978"/>
      <c r="Q266" s="987"/>
      <c r="R266" s="978"/>
      <c r="S266" s="978"/>
      <c r="T266" s="981"/>
      <c r="U266" s="978"/>
      <c r="V266" s="1045"/>
      <c r="W266" s="1045"/>
      <c r="X266" s="1045"/>
    </row>
    <row r="267" spans="1:26" s="457" customFormat="1" ht="120">
      <c r="A267" s="476" t="str">
        <f>'TABLA 7 ESTRUCTURA PROGRAMÁTICA'!D209</f>
        <v xml:space="preserve">9.3.4 Gestión para la adquisición hardware y sofware, licencias  (según necesidad ) e implementación óptima de software adquiridos  (ej. PCT, seguridad informática, almacén etc) , . </v>
      </c>
      <c r="B267" s="741" t="str">
        <f>'TABLA 7 ESTRUCTURA PROGRAMÁTICA'!K209</f>
        <v xml:space="preserve">Demanda atendida </v>
      </c>
      <c r="C267" s="820">
        <f>'TABLA 7 ESTRUCTURA PROGRAMÁTICA'!E209</f>
        <v>20</v>
      </c>
      <c r="D267" s="681">
        <v>20</v>
      </c>
      <c r="E267" s="430">
        <f t="shared" si="168"/>
        <v>1</v>
      </c>
      <c r="F267" s="857" t="s">
        <v>1191</v>
      </c>
      <c r="G267" s="827">
        <f>E267</f>
        <v>1</v>
      </c>
      <c r="H267" s="594">
        <f>'TABLA 7 ESTRUCTURA PROGRAMÁTICA'!I209</f>
        <v>60</v>
      </c>
      <c r="I267" s="478">
        <f t="shared" si="170"/>
        <v>1</v>
      </c>
      <c r="J267" s="682">
        <f t="shared" si="173"/>
        <v>1</v>
      </c>
      <c r="K267" s="478">
        <v>0.2</v>
      </c>
      <c r="L267" s="427">
        <f t="shared" si="171"/>
        <v>0.2</v>
      </c>
      <c r="M267" s="430">
        <f t="shared" si="172"/>
        <v>6.000000000000001E-3</v>
      </c>
      <c r="N267" s="426">
        <f t="shared" si="174"/>
        <v>0.85828636363636335</v>
      </c>
      <c r="O267" s="1021"/>
      <c r="P267" s="978"/>
      <c r="Q267" s="987"/>
      <c r="R267" s="978"/>
      <c r="S267" s="978"/>
      <c r="T267" s="981"/>
      <c r="U267" s="978"/>
      <c r="V267" s="1046"/>
      <c r="W267" s="1046"/>
      <c r="X267" s="1046"/>
    </row>
    <row r="268" spans="1:26" s="457" customFormat="1">
      <c r="A268" s="989" t="s">
        <v>643</v>
      </c>
      <c r="B268" s="990"/>
      <c r="C268" s="990"/>
      <c r="D268" s="990"/>
      <c r="E268" s="990"/>
      <c r="F268" s="990"/>
      <c r="G268" s="990"/>
      <c r="H268" s="990"/>
      <c r="I268" s="990"/>
      <c r="J268" s="990"/>
      <c r="K268" s="991"/>
      <c r="L268" s="429">
        <f>SUM(L264:L267)</f>
        <v>0.84999999999999987</v>
      </c>
      <c r="M268" s="430"/>
      <c r="N268" s="426"/>
      <c r="O268" s="799">
        <f>SUM(O9+O16+O23+O29+O35+O42+O60+O67+O75+O80+O86+O96+O104+O112+O124+O134+O145+O152+O165+O171+O179+O188+O194+O204+O210+O225+O238+O248+O257+O264)</f>
        <v>21816050000</v>
      </c>
      <c r="P268" s="799">
        <f>SUM(P9+P16+P23+P29+P35+P42+P60+P67+P75+P80+P86+P96+P104+P112+P124+P134+P145+P152+P165+P171+P179+P188+P194+P204+P210+P225+P238+P248+P257+P264)</f>
        <v>11158677718.629999</v>
      </c>
      <c r="Q268" s="816">
        <f>P268/O268</f>
        <v>0.51148937221128477</v>
      </c>
      <c r="R268" s="503"/>
      <c r="S268" s="482"/>
      <c r="T268" s="420"/>
      <c r="U268" s="504"/>
      <c r="V268" s="461"/>
    </row>
    <row r="269" spans="1:26" ht="45">
      <c r="A269" s="1049" t="s">
        <v>1184</v>
      </c>
      <c r="B269" s="1049"/>
      <c r="C269" s="1049"/>
      <c r="D269" s="1049"/>
      <c r="E269" s="1049"/>
      <c r="F269" s="1049"/>
      <c r="G269" s="1049"/>
      <c r="H269" s="1049"/>
      <c r="I269" s="1049"/>
      <c r="J269" s="1049"/>
      <c r="K269" s="1049"/>
      <c r="L269" s="1049"/>
      <c r="M269" s="1050"/>
      <c r="N269" s="823">
        <f>N267</f>
        <v>0.85828636363636335</v>
      </c>
      <c r="O269" s="804"/>
      <c r="P269" s="511"/>
      <c r="Q269" s="511"/>
      <c r="R269" s="511"/>
      <c r="S269" s="511"/>
      <c r="T269" s="687"/>
    </row>
    <row r="270" spans="1:26" ht="45">
      <c r="A270" s="1047" t="s">
        <v>1192</v>
      </c>
      <c r="B270" s="1047"/>
      <c r="C270" s="1047"/>
      <c r="D270" s="1047"/>
      <c r="E270" s="1047"/>
      <c r="F270" s="1047"/>
      <c r="G270" s="1047"/>
      <c r="H270" s="1047"/>
      <c r="I270" s="1047"/>
      <c r="J270" s="1047"/>
      <c r="K270" s="1047"/>
      <c r="L270" s="1047"/>
      <c r="M270" s="1047"/>
      <c r="N270" s="823">
        <f>Q268</f>
        <v>0.51148937221128477</v>
      </c>
      <c r="P270" s="819"/>
    </row>
    <row r="271" spans="1:26">
      <c r="D271" s="591"/>
      <c r="E271" s="592"/>
      <c r="F271" s="590"/>
      <c r="G271" s="589"/>
      <c r="H271" s="593"/>
      <c r="I271" s="593"/>
      <c r="J271" s="593"/>
      <c r="K271" s="763"/>
      <c r="L271" s="592"/>
      <c r="M271" s="592"/>
    </row>
  </sheetData>
  <mergeCells count="381">
    <mergeCell ref="A4:X4"/>
    <mergeCell ref="W35:W38"/>
    <mergeCell ref="X35:X38"/>
    <mergeCell ref="W42:W48"/>
    <mergeCell ref="W49:W50"/>
    <mergeCell ref="V248:V253"/>
    <mergeCell ref="W248:W253"/>
    <mergeCell ref="X248:X253"/>
    <mergeCell ref="V257:V260"/>
    <mergeCell ref="W257:W260"/>
    <mergeCell ref="X257:X260"/>
    <mergeCell ref="V194:V200"/>
    <mergeCell ref="W194:W200"/>
    <mergeCell ref="X194:X200"/>
    <mergeCell ref="V204:V206"/>
    <mergeCell ref="W204:W206"/>
    <mergeCell ref="X204:X206"/>
    <mergeCell ref="V145:V148"/>
    <mergeCell ref="W145:W148"/>
    <mergeCell ref="X145:X148"/>
    <mergeCell ref="V152:V161"/>
    <mergeCell ref="W152:W161"/>
    <mergeCell ref="X152:X161"/>
    <mergeCell ref="V165:V167"/>
    <mergeCell ref="V264:V267"/>
    <mergeCell ref="W264:W267"/>
    <mergeCell ref="X264:X267"/>
    <mergeCell ref="V210:V221"/>
    <mergeCell ref="W210:W221"/>
    <mergeCell ref="X210:X221"/>
    <mergeCell ref="V225:V234"/>
    <mergeCell ref="W225:W234"/>
    <mergeCell ref="X225:X234"/>
    <mergeCell ref="V238:V244"/>
    <mergeCell ref="W238:W244"/>
    <mergeCell ref="X238:X244"/>
    <mergeCell ref="V124:V130"/>
    <mergeCell ref="W124:W130"/>
    <mergeCell ref="X124:X130"/>
    <mergeCell ref="V134:V141"/>
    <mergeCell ref="W134:W141"/>
    <mergeCell ref="X134:X141"/>
    <mergeCell ref="Y204:Y206"/>
    <mergeCell ref="Z204:Z206"/>
    <mergeCell ref="AA204:AA206"/>
    <mergeCell ref="V171:V175"/>
    <mergeCell ref="W171:W175"/>
    <mergeCell ref="X171:X175"/>
    <mergeCell ref="V179:V184"/>
    <mergeCell ref="W179:W184"/>
    <mergeCell ref="X179:X184"/>
    <mergeCell ref="V188:V190"/>
    <mergeCell ref="W188:W190"/>
    <mergeCell ref="X188:X190"/>
    <mergeCell ref="W165:W167"/>
    <mergeCell ref="X165:X167"/>
    <mergeCell ref="Y96:Y100"/>
    <mergeCell ref="Z96:Z100"/>
    <mergeCell ref="AA96:AA100"/>
    <mergeCell ref="V104:V105"/>
    <mergeCell ref="X104:X105"/>
    <mergeCell ref="V106:V108"/>
    <mergeCell ref="X106:X108"/>
    <mergeCell ref="W104:W108"/>
    <mergeCell ref="V112:V120"/>
    <mergeCell ref="W112:W120"/>
    <mergeCell ref="X112:X120"/>
    <mergeCell ref="Y67:Y70"/>
    <mergeCell ref="Z67:Z70"/>
    <mergeCell ref="V75:V76"/>
    <mergeCell ref="W75:W76"/>
    <mergeCell ref="X75:X76"/>
    <mergeCell ref="V80:V82"/>
    <mergeCell ref="W80:W82"/>
    <mergeCell ref="X80:X82"/>
    <mergeCell ref="V86:V92"/>
    <mergeCell ref="W86:W92"/>
    <mergeCell ref="X86:X92"/>
    <mergeCell ref="V5:V6"/>
    <mergeCell ref="W5:W6"/>
    <mergeCell ref="X5:X6"/>
    <mergeCell ref="V9:V12"/>
    <mergeCell ref="W9:W12"/>
    <mergeCell ref="X9:X12"/>
    <mergeCell ref="V23:V25"/>
    <mergeCell ref="W23:W25"/>
    <mergeCell ref="X23:X25"/>
    <mergeCell ref="V16:V19"/>
    <mergeCell ref="W16:W19"/>
    <mergeCell ref="X16:X19"/>
    <mergeCell ref="V60:V63"/>
    <mergeCell ref="W60:W63"/>
    <mergeCell ref="X60:X63"/>
    <mergeCell ref="V67:V70"/>
    <mergeCell ref="W67:W70"/>
    <mergeCell ref="X67:X70"/>
    <mergeCell ref="V96:V100"/>
    <mergeCell ref="W96:W100"/>
    <mergeCell ref="S75:S76"/>
    <mergeCell ref="X96:X100"/>
    <mergeCell ref="T75:T76"/>
    <mergeCell ref="U75:U76"/>
    <mergeCell ref="T67:T70"/>
    <mergeCell ref="U67:U70"/>
    <mergeCell ref="V29:V31"/>
    <mergeCell ref="W29:W31"/>
    <mergeCell ref="X29:X31"/>
    <mergeCell ref="V35:V38"/>
    <mergeCell ref="V42:V56"/>
    <mergeCell ref="X42:X56"/>
    <mergeCell ref="A121:F121"/>
    <mergeCell ref="Q104:Q108"/>
    <mergeCell ref="Q124:Q130"/>
    <mergeCell ref="A109:F109"/>
    <mergeCell ref="O104:O108"/>
    <mergeCell ref="P104:P108"/>
    <mergeCell ref="O86:O92"/>
    <mergeCell ref="P96:P100"/>
    <mergeCell ref="Q35:Q38"/>
    <mergeCell ref="A93:F93"/>
    <mergeCell ref="A89:A90"/>
    <mergeCell ref="Q42:Q56"/>
    <mergeCell ref="P86:P92"/>
    <mergeCell ref="Q86:Q92"/>
    <mergeCell ref="P60:P63"/>
    <mergeCell ref="Q60:Q63"/>
    <mergeCell ref="O67:O70"/>
    <mergeCell ref="P67:P70"/>
    <mergeCell ref="A115:A116"/>
    <mergeCell ref="A117:A118"/>
    <mergeCell ref="A168:F168"/>
    <mergeCell ref="P134:P141"/>
    <mergeCell ref="Q134:Q141"/>
    <mergeCell ref="A137:A138"/>
    <mergeCell ref="A152:A153"/>
    <mergeCell ref="A149:F149"/>
    <mergeCell ref="A135:A136"/>
    <mergeCell ref="O134:O141"/>
    <mergeCell ref="O112:O120"/>
    <mergeCell ref="P112:P120"/>
    <mergeCell ref="A154:A156"/>
    <mergeCell ref="O124:O130"/>
    <mergeCell ref="P124:P130"/>
    <mergeCell ref="A142:F142"/>
    <mergeCell ref="O145:O148"/>
    <mergeCell ref="P145:P148"/>
    <mergeCell ref="O165:O167"/>
    <mergeCell ref="P165:P167"/>
    <mergeCell ref="O171:O175"/>
    <mergeCell ref="P171:P175"/>
    <mergeCell ref="A162:F162"/>
    <mergeCell ref="A125:A126"/>
    <mergeCell ref="A129:A130"/>
    <mergeCell ref="U238:U244"/>
    <mergeCell ref="P194:P200"/>
    <mergeCell ref="Q194:Q200"/>
    <mergeCell ref="U194:U200"/>
    <mergeCell ref="P210:P221"/>
    <mergeCell ref="Q210:Q221"/>
    <mergeCell ref="U210:U221"/>
    <mergeCell ref="U204:U206"/>
    <mergeCell ref="T188:T190"/>
    <mergeCell ref="U188:U190"/>
    <mergeCell ref="R204:R206"/>
    <mergeCell ref="S204:S206"/>
    <mergeCell ref="P225:P234"/>
    <mergeCell ref="A217:A220"/>
    <mergeCell ref="O152:O161"/>
    <mergeCell ref="A179:A182"/>
    <mergeCell ref="A176:F176"/>
    <mergeCell ref="A157:A158"/>
    <mergeCell ref="O194:O200"/>
    <mergeCell ref="U248:U253"/>
    <mergeCell ref="T257:T260"/>
    <mergeCell ref="U257:U260"/>
    <mergeCell ref="U264:U267"/>
    <mergeCell ref="T225:T234"/>
    <mergeCell ref="Q264:Q267"/>
    <mergeCell ref="P257:P260"/>
    <mergeCell ref="Q257:Q260"/>
    <mergeCell ref="U179:U184"/>
    <mergeCell ref="R188:R190"/>
    <mergeCell ref="R248:R253"/>
    <mergeCell ref="S248:S253"/>
    <mergeCell ref="P248:P253"/>
    <mergeCell ref="Q248:Q253"/>
    <mergeCell ref="S225:S234"/>
    <mergeCell ref="S188:S190"/>
    <mergeCell ref="Q238:Q244"/>
    <mergeCell ref="R225:R234"/>
    <mergeCell ref="P204:P206"/>
    <mergeCell ref="P188:P190"/>
    <mergeCell ref="R179:R184"/>
    <mergeCell ref="Q204:Q206"/>
    <mergeCell ref="Q225:Q234"/>
    <mergeCell ref="U225:U234"/>
    <mergeCell ref="P264:P267"/>
    <mergeCell ref="R145:R148"/>
    <mergeCell ref="S145:S148"/>
    <mergeCell ref="Q152:Q161"/>
    <mergeCell ref="R257:R260"/>
    <mergeCell ref="S257:S260"/>
    <mergeCell ref="T248:T253"/>
    <mergeCell ref="P238:P244"/>
    <mergeCell ref="R171:R175"/>
    <mergeCell ref="Q171:Q175"/>
    <mergeCell ref="P152:P161"/>
    <mergeCell ref="P179:P184"/>
    <mergeCell ref="Q165:Q167"/>
    <mergeCell ref="Q145:Q148"/>
    <mergeCell ref="Q188:Q190"/>
    <mergeCell ref="Q179:Q184"/>
    <mergeCell ref="S171:S175"/>
    <mergeCell ref="O210:O221"/>
    <mergeCell ref="O238:O244"/>
    <mergeCell ref="A270:M270"/>
    <mergeCell ref="A261:F261"/>
    <mergeCell ref="O264:O267"/>
    <mergeCell ref="A222:F222"/>
    <mergeCell ref="A207:F207"/>
    <mergeCell ref="A245:F245"/>
    <mergeCell ref="O179:O184"/>
    <mergeCell ref="A269:M269"/>
    <mergeCell ref="A268:K268"/>
    <mergeCell ref="A235:F235"/>
    <mergeCell ref="A254:F254"/>
    <mergeCell ref="O225:O234"/>
    <mergeCell ref="O188:O190"/>
    <mergeCell ref="O248:O253"/>
    <mergeCell ref="O257:O260"/>
    <mergeCell ref="O204:O206"/>
    <mergeCell ref="A250:A251"/>
    <mergeCell ref="A201:F201"/>
    <mergeCell ref="A248:A249"/>
    <mergeCell ref="A210:A211"/>
    <mergeCell ref="A191:F191"/>
    <mergeCell ref="A225:A226"/>
    <mergeCell ref="A230:A232"/>
    <mergeCell ref="A215:A216"/>
    <mergeCell ref="A185:F185"/>
    <mergeCell ref="A131:F131"/>
    <mergeCell ref="F29:F30"/>
    <mergeCell ref="Q29:Q31"/>
    <mergeCell ref="S134:S141"/>
    <mergeCell ref="T134:T141"/>
    <mergeCell ref="U134:U141"/>
    <mergeCell ref="R124:R130"/>
    <mergeCell ref="S124:S130"/>
    <mergeCell ref="T124:T130"/>
    <mergeCell ref="T171:T175"/>
    <mergeCell ref="U171:U175"/>
    <mergeCell ref="R152:R161"/>
    <mergeCell ref="S152:S161"/>
    <mergeCell ref="T152:T161"/>
    <mergeCell ref="S165:S167"/>
    <mergeCell ref="T165:T167"/>
    <mergeCell ref="U145:U148"/>
    <mergeCell ref="U152:U161"/>
    <mergeCell ref="R165:R167"/>
    <mergeCell ref="U165:U167"/>
    <mergeCell ref="U124:U130"/>
    <mergeCell ref="R134:R141"/>
    <mergeCell ref="R29:R31"/>
    <mergeCell ref="A57:F57"/>
    <mergeCell ref="A71:F71"/>
    <mergeCell ref="A64:F64"/>
    <mergeCell ref="A42:A48"/>
    <mergeCell ref="A49:A50"/>
    <mergeCell ref="A51:A53"/>
    <mergeCell ref="B60:B61"/>
    <mergeCell ref="P35:P38"/>
    <mergeCell ref="A32:F32"/>
    <mergeCell ref="A37:A38"/>
    <mergeCell ref="A39:F39"/>
    <mergeCell ref="O35:O38"/>
    <mergeCell ref="O42:O56"/>
    <mergeCell ref="P42:P56"/>
    <mergeCell ref="Q67:Q70"/>
    <mergeCell ref="O60:O63"/>
    <mergeCell ref="R75:R76"/>
    <mergeCell ref="F99:F100"/>
    <mergeCell ref="R104:R108"/>
    <mergeCell ref="O75:O76"/>
    <mergeCell ref="Q75:Q76"/>
    <mergeCell ref="A77:F77"/>
    <mergeCell ref="A1:U1"/>
    <mergeCell ref="A83:F83"/>
    <mergeCell ref="A101:F101"/>
    <mergeCell ref="U80:U82"/>
    <mergeCell ref="S96:S100"/>
    <mergeCell ref="T96:T100"/>
    <mergeCell ref="U96:U100"/>
    <mergeCell ref="R60:R63"/>
    <mergeCell ref="S60:S63"/>
    <mergeCell ref="T60:T63"/>
    <mergeCell ref="S67:S70"/>
    <mergeCell ref="U60:U63"/>
    <mergeCell ref="T35:T38"/>
    <mergeCell ref="U35:U38"/>
    <mergeCell ref="O96:O100"/>
    <mergeCell ref="O80:O82"/>
    <mergeCell ref="P80:P82"/>
    <mergeCell ref="O23:O25"/>
    <mergeCell ref="A2:U2"/>
    <mergeCell ref="A3:U3"/>
    <mergeCell ref="A5:A6"/>
    <mergeCell ref="B5:K5"/>
    <mergeCell ref="O5:T5"/>
    <mergeCell ref="U5:U6"/>
    <mergeCell ref="A20:F20"/>
    <mergeCell ref="O16:O19"/>
    <mergeCell ref="P16:P19"/>
    <mergeCell ref="Q16:Q19"/>
    <mergeCell ref="U23:U25"/>
    <mergeCell ref="T23:T25"/>
    <mergeCell ref="B11:B12"/>
    <mergeCell ref="A13:F13"/>
    <mergeCell ref="O9:O12"/>
    <mergeCell ref="R9:R12"/>
    <mergeCell ref="S9:S12"/>
    <mergeCell ref="T9:T12"/>
    <mergeCell ref="U9:U12"/>
    <mergeCell ref="R16:R19"/>
    <mergeCell ref="S35:S38"/>
    <mergeCell ref="O29:O31"/>
    <mergeCell ref="P29:P31"/>
    <mergeCell ref="S29:S31"/>
    <mergeCell ref="P9:P12"/>
    <mergeCell ref="U16:U19"/>
    <mergeCell ref="T16:T19"/>
    <mergeCell ref="T112:T120"/>
    <mergeCell ref="U42:U56"/>
    <mergeCell ref="U29:U31"/>
    <mergeCell ref="T29:T31"/>
    <mergeCell ref="P23:P25"/>
    <mergeCell ref="Q23:Q25"/>
    <mergeCell ref="S16:S19"/>
    <mergeCell ref="R23:R25"/>
    <mergeCell ref="S23:S25"/>
    <mergeCell ref="P75:P76"/>
    <mergeCell ref="Q112:Q120"/>
    <mergeCell ref="Q80:Q82"/>
    <mergeCell ref="Q96:Q100"/>
    <mergeCell ref="R35:R38"/>
    <mergeCell ref="R96:R100"/>
    <mergeCell ref="U112:U120"/>
    <mergeCell ref="Q9:Q12"/>
    <mergeCell ref="A26:F26"/>
    <mergeCell ref="R264:R267"/>
    <mergeCell ref="S264:S267"/>
    <mergeCell ref="T264:T267"/>
    <mergeCell ref="T179:T184"/>
    <mergeCell ref="T145:T148"/>
    <mergeCell ref="R42:R56"/>
    <mergeCell ref="S42:S56"/>
    <mergeCell ref="T42:T56"/>
    <mergeCell ref="R238:R244"/>
    <mergeCell ref="S238:S244"/>
    <mergeCell ref="T238:T244"/>
    <mergeCell ref="R194:R200"/>
    <mergeCell ref="S194:S200"/>
    <mergeCell ref="T194:T200"/>
    <mergeCell ref="R210:R221"/>
    <mergeCell ref="S210:S221"/>
    <mergeCell ref="T210:T221"/>
    <mergeCell ref="T204:T206"/>
    <mergeCell ref="S179:S184"/>
    <mergeCell ref="R67:R70"/>
    <mergeCell ref="R112:R120"/>
    <mergeCell ref="S112:S120"/>
    <mergeCell ref="F125:F126"/>
    <mergeCell ref="S104:S108"/>
    <mergeCell ref="T104:T108"/>
    <mergeCell ref="U104:U108"/>
    <mergeCell ref="R80:R82"/>
    <mergeCell ref="S80:S82"/>
    <mergeCell ref="T80:T82"/>
    <mergeCell ref="R86:R92"/>
    <mergeCell ref="S86:S92"/>
    <mergeCell ref="T86:T92"/>
    <mergeCell ref="U86:U92"/>
  </mergeCells>
  <printOptions horizontalCentered="1" verticalCentered="1"/>
  <pageMargins left="1.8110236220472442" right="0.19685039370078741" top="0.35433070866141736" bottom="0.35433070866141736" header="0.31496062992125984" footer="0.31496062992125984"/>
  <pageSetup paperSize="5" scale="11" fitToHeight="0" orientation="landscape" r:id="rId1"/>
  <headerFooter scaleWithDoc="0" alignWithMargins="0">
    <oddFooter>&amp;R&amp;P</oddFooter>
  </headerFooter>
  <rowBreaks count="16" manualBreakCount="16">
    <brk id="20" max="16383" man="1"/>
    <brk id="32" max="16383" man="1"/>
    <brk id="58" max="16383" man="1"/>
    <brk id="72" max="16383" man="1"/>
    <brk id="77" max="16383" man="1"/>
    <brk id="88" max="16383" man="1"/>
    <brk id="101" max="16383" man="1"/>
    <brk id="123" max="16383" man="1"/>
    <brk id="149" max="16383" man="1"/>
    <brk id="168" max="16383" man="1"/>
    <brk id="187" max="16383" man="1"/>
    <brk id="207" max="16383" man="1"/>
    <brk id="222" max="16383" man="1"/>
    <brk id="235" max="16383" man="1"/>
    <brk id="254" max="16383" man="1"/>
    <brk id="261" max="16383" man="1"/>
  </rowBreaks>
  <ignoredErrors>
    <ignoredError sqref="C8:D8 C28:D28 D74:I74 Q7 C7:J7 L7 L8 C27:D27 L27 L28 C73:I73 L73 L74 H27:I27 F27 F8 H8:I8 F28 H28:I28" evalError="1"/>
    <ignoredError sqref="N30 N81 I43 I52:I54 I226 I252 I258 L43 L53:L55 L52 L119 L114 L252 I114 H9"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view="pageBreakPreview" zoomScale="80" zoomScaleNormal="140" zoomScaleSheetLayoutView="80" workbookViewId="0">
      <selection activeCell="C7" sqref="C7"/>
    </sheetView>
  </sheetViews>
  <sheetFormatPr baseColWidth="10" defaultRowHeight="15"/>
  <cols>
    <col min="1" max="1" width="15" customWidth="1"/>
    <col min="2" max="2" width="50.28515625" bestFit="1" customWidth="1"/>
    <col min="3" max="3" width="23.42578125" customWidth="1"/>
    <col min="4" max="4" width="24" customWidth="1"/>
    <col min="6" max="6" width="11.7109375" bestFit="1" customWidth="1"/>
  </cols>
  <sheetData>
    <row r="1" spans="1:5" ht="156" customHeight="1" thickBot="1">
      <c r="A1" s="1098"/>
      <c r="B1" s="1098"/>
      <c r="C1" s="1098"/>
      <c r="D1" s="1098"/>
      <c r="E1" s="1098"/>
    </row>
    <row r="2" spans="1:5" ht="16.5" customHeight="1">
      <c r="A2" s="1099" t="s">
        <v>769</v>
      </c>
      <c r="B2" s="1100"/>
      <c r="C2" s="1100"/>
      <c r="D2" s="1100"/>
      <c r="E2" s="1101"/>
    </row>
    <row r="3" spans="1:5" ht="18">
      <c r="A3" s="1105" t="s">
        <v>770</v>
      </c>
      <c r="B3" s="1106"/>
      <c r="C3" s="1106"/>
      <c r="D3" s="1106"/>
      <c r="E3" s="1107"/>
    </row>
    <row r="4" spans="1:5" s="30" customFormat="1" ht="15.75" customHeight="1">
      <c r="A4" s="1102" t="s">
        <v>768</v>
      </c>
      <c r="B4" s="1103"/>
      <c r="C4" s="1103">
        <v>2019</v>
      </c>
      <c r="D4" s="1103"/>
      <c r="E4" s="1104"/>
    </row>
    <row r="5" spans="1:5" s="30" customFormat="1" ht="12.75">
      <c r="A5" s="1094"/>
      <c r="B5" s="1095"/>
      <c r="C5" s="1095"/>
      <c r="D5" s="1095"/>
      <c r="E5" s="1096"/>
    </row>
    <row r="6" spans="1:5" s="30" customFormat="1" ht="15.75">
      <c r="A6" s="331"/>
      <c r="B6" s="332" t="s">
        <v>644</v>
      </c>
      <c r="C6" s="333" t="s">
        <v>645</v>
      </c>
      <c r="D6" s="334" t="s">
        <v>646</v>
      </c>
      <c r="E6" s="335" t="s">
        <v>486</v>
      </c>
    </row>
    <row r="7" spans="1:5" s="30" customFormat="1" ht="15.75">
      <c r="A7" s="336">
        <v>3000</v>
      </c>
      <c r="B7" s="337" t="s">
        <v>100</v>
      </c>
      <c r="C7" s="539">
        <f>SUM(C8+C32)</f>
        <v>26518326247.169998</v>
      </c>
      <c r="D7" s="539">
        <f>SUM(D8+D32)</f>
        <v>20812122888.330002</v>
      </c>
      <c r="E7" s="540">
        <f>D7*100/C7</f>
        <v>78.482038022859925</v>
      </c>
    </row>
    <row r="8" spans="1:5" s="30" customFormat="1" ht="15.75">
      <c r="A8" s="338">
        <v>3100</v>
      </c>
      <c r="B8" s="339" t="s">
        <v>101</v>
      </c>
      <c r="C8" s="541">
        <f>SUM(C9+C13)</f>
        <v>23438326247.169998</v>
      </c>
      <c r="D8" s="541">
        <f>SUM(D9+D13)</f>
        <v>17732122888.330002</v>
      </c>
      <c r="E8" s="540">
        <f>D8*100/C8</f>
        <v>75.654390596559864</v>
      </c>
    </row>
    <row r="9" spans="1:5" s="31" customFormat="1" ht="15.75">
      <c r="A9" s="340">
        <v>3110</v>
      </c>
      <c r="B9" s="341" t="s">
        <v>102</v>
      </c>
      <c r="C9" s="543">
        <f>SUM(C10+C11+C12)</f>
        <v>12000000000</v>
      </c>
      <c r="D9" s="543">
        <f>SUM(D10+D11+D12)</f>
        <v>12252613078.030001</v>
      </c>
      <c r="E9" s="544">
        <f>D9*100/C9</f>
        <v>102.10510898358334</v>
      </c>
    </row>
    <row r="10" spans="1:5" s="30" customFormat="1" ht="15.75">
      <c r="A10" s="342"/>
      <c r="B10" s="343" t="s">
        <v>487</v>
      </c>
      <c r="C10" s="545">
        <v>0</v>
      </c>
      <c r="D10" s="546">
        <v>0</v>
      </c>
      <c r="E10" s="547">
        <v>0</v>
      </c>
    </row>
    <row r="11" spans="1:5" s="30" customFormat="1" ht="15.75">
      <c r="A11" s="342"/>
      <c r="B11" s="343" t="s">
        <v>103</v>
      </c>
      <c r="C11" s="545">
        <v>12000000000</v>
      </c>
      <c r="D11" s="546">
        <v>12252613078.030001</v>
      </c>
      <c r="E11" s="547">
        <f>D11*100/C11</f>
        <v>102.10510898358334</v>
      </c>
    </row>
    <row r="12" spans="1:5" s="30" customFormat="1" ht="15.75">
      <c r="A12" s="342"/>
      <c r="B12" s="343" t="s">
        <v>9</v>
      </c>
      <c r="C12" s="545">
        <v>0</v>
      </c>
      <c r="D12" s="546">
        <v>0</v>
      </c>
      <c r="E12" s="547">
        <v>0</v>
      </c>
    </row>
    <row r="13" spans="1:5" s="32" customFormat="1" ht="15.75">
      <c r="A13" s="340">
        <v>3120</v>
      </c>
      <c r="B13" s="341" t="s">
        <v>104</v>
      </c>
      <c r="C13" s="543">
        <f>SUM(C14+C17+C18+C19+C20+C25)</f>
        <v>11438326247.17</v>
      </c>
      <c r="D13" s="543">
        <f>SUM(D14+D17+D18+D19+D20+D25)</f>
        <v>5479509810.2999992</v>
      </c>
      <c r="E13" s="540">
        <f t="shared" ref="E13:E32" si="0">D13*100/C13</f>
        <v>47.904821841007603</v>
      </c>
    </row>
    <row r="14" spans="1:5" s="32" customFormat="1" ht="15.75">
      <c r="A14" s="342">
        <v>3121</v>
      </c>
      <c r="B14" s="344" t="s">
        <v>105</v>
      </c>
      <c r="C14" s="548">
        <f>SUM(C15:C16)</f>
        <v>800000000</v>
      </c>
      <c r="D14" s="548">
        <f>SUM(D15:D16)</f>
        <v>533778911.00999999</v>
      </c>
      <c r="E14" s="540">
        <f t="shared" si="0"/>
        <v>66.72236387625</v>
      </c>
    </row>
    <row r="15" spans="1:5" s="32" customFormat="1" ht="15.75">
      <c r="A15" s="342"/>
      <c r="B15" s="343" t="s">
        <v>106</v>
      </c>
      <c r="C15" s="545">
        <v>800000000</v>
      </c>
      <c r="D15" s="546">
        <v>533778911.00999999</v>
      </c>
      <c r="E15" s="547">
        <f t="shared" si="0"/>
        <v>66.72236387625</v>
      </c>
    </row>
    <row r="16" spans="1:5" s="30" customFormat="1" ht="15.75">
      <c r="A16" s="342"/>
      <c r="B16" s="343" t="s">
        <v>107</v>
      </c>
      <c r="C16" s="545">
        <v>0</v>
      </c>
      <c r="D16" s="546">
        <v>0</v>
      </c>
      <c r="E16" s="547">
        <v>0</v>
      </c>
    </row>
    <row r="17" spans="1:6" s="33" customFormat="1" ht="15.75">
      <c r="A17" s="342">
        <v>3123</v>
      </c>
      <c r="B17" s="344" t="s">
        <v>108</v>
      </c>
      <c r="C17" s="548">
        <v>0</v>
      </c>
      <c r="D17" s="549">
        <v>0</v>
      </c>
      <c r="E17" s="547">
        <v>0</v>
      </c>
    </row>
    <row r="18" spans="1:6" s="32" customFormat="1" ht="15.75">
      <c r="A18" s="342">
        <v>3124</v>
      </c>
      <c r="B18" s="344" t="s">
        <v>109</v>
      </c>
      <c r="C18" s="548">
        <v>0</v>
      </c>
      <c r="D18" s="549">
        <v>0</v>
      </c>
      <c r="E18" s="550">
        <v>0</v>
      </c>
    </row>
    <row r="19" spans="1:6" s="32" customFormat="1" ht="15.75">
      <c r="A19" s="342">
        <v>3125</v>
      </c>
      <c r="B19" s="344" t="s">
        <v>110</v>
      </c>
      <c r="C19" s="548">
        <v>0</v>
      </c>
      <c r="D19" s="549">
        <v>0</v>
      </c>
      <c r="E19" s="547">
        <v>0</v>
      </c>
    </row>
    <row r="20" spans="1:6" s="32" customFormat="1" ht="15.75">
      <c r="A20" s="342">
        <v>3126</v>
      </c>
      <c r="B20" s="344" t="s">
        <v>111</v>
      </c>
      <c r="C20" s="548">
        <f>SUM(C21:C24)</f>
        <v>4538326247.1700001</v>
      </c>
      <c r="D20" s="548">
        <f>SUM(D21:D24)</f>
        <v>752861183.88</v>
      </c>
      <c r="E20" s="540">
        <f t="shared" si="0"/>
        <v>16.588961279490817</v>
      </c>
    </row>
    <row r="21" spans="1:6" s="33" customFormat="1" ht="15.75">
      <c r="A21" s="342"/>
      <c r="B21" s="343" t="s">
        <v>112</v>
      </c>
      <c r="C21" s="545">
        <v>1000000000</v>
      </c>
      <c r="D21" s="546">
        <v>752861183.88</v>
      </c>
      <c r="E21" s="547">
        <f t="shared" si="0"/>
        <v>75.286118388000006</v>
      </c>
    </row>
    <row r="22" spans="1:6" s="33" customFormat="1" ht="15.75">
      <c r="A22" s="342"/>
      <c r="B22" s="343" t="s">
        <v>488</v>
      </c>
      <c r="C22" s="545">
        <v>0</v>
      </c>
      <c r="D22" s="546">
        <v>0</v>
      </c>
      <c r="E22" s="547">
        <v>0</v>
      </c>
    </row>
    <row r="23" spans="1:6" s="33" customFormat="1" ht="15.75">
      <c r="A23" s="342"/>
      <c r="B23" s="345" t="s">
        <v>777</v>
      </c>
      <c r="C23" s="545">
        <v>3538326247.1700001</v>
      </c>
      <c r="D23" s="546">
        <v>0</v>
      </c>
      <c r="E23" s="547">
        <v>0</v>
      </c>
    </row>
    <row r="24" spans="1:6" s="33" customFormat="1" ht="15.75">
      <c r="A24" s="342"/>
      <c r="B24" s="343" t="s">
        <v>113</v>
      </c>
      <c r="C24" s="545">
        <v>0</v>
      </c>
      <c r="D24" s="546">
        <v>0</v>
      </c>
      <c r="E24" s="547">
        <v>0</v>
      </c>
    </row>
    <row r="25" spans="1:6" s="32" customFormat="1" ht="15.75">
      <c r="A25" s="342">
        <v>3128</v>
      </c>
      <c r="B25" s="344" t="s">
        <v>114</v>
      </c>
      <c r="C25" s="548">
        <f>SUM(C26:C31)</f>
        <v>6100000000</v>
      </c>
      <c r="D25" s="548">
        <f>SUM(D26:D31)</f>
        <v>4192869715.4099998</v>
      </c>
      <c r="E25" s="540">
        <f t="shared" si="0"/>
        <v>68.735569105081964</v>
      </c>
    </row>
    <row r="26" spans="1:6" s="32" customFormat="1" ht="15.75">
      <c r="A26" s="342"/>
      <c r="B26" s="343" t="s">
        <v>489</v>
      </c>
      <c r="C26" s="545">
        <v>1000000000</v>
      </c>
      <c r="D26" s="546">
        <v>182223330</v>
      </c>
      <c r="E26" s="547">
        <f t="shared" si="0"/>
        <v>18.222332999999999</v>
      </c>
      <c r="F26" s="561"/>
    </row>
    <row r="27" spans="1:6" s="32" customFormat="1" ht="15.75">
      <c r="A27" s="342"/>
      <c r="B27" s="343" t="s">
        <v>115</v>
      </c>
      <c r="C27" s="545">
        <v>0</v>
      </c>
      <c r="D27" s="546">
        <v>0</v>
      </c>
      <c r="E27" s="547">
        <v>0</v>
      </c>
    </row>
    <row r="28" spans="1:6" s="32" customFormat="1" ht="15.75">
      <c r="A28" s="342"/>
      <c r="B28" s="343" t="s">
        <v>116</v>
      </c>
      <c r="C28" s="545">
        <v>500000000</v>
      </c>
      <c r="D28" s="546">
        <v>225360433</v>
      </c>
      <c r="E28" s="547">
        <f t="shared" si="0"/>
        <v>45.072086599999999</v>
      </c>
    </row>
    <row r="29" spans="1:6" s="33" customFormat="1" ht="15.75">
      <c r="A29" s="342"/>
      <c r="B29" s="343" t="s">
        <v>117</v>
      </c>
      <c r="C29" s="545">
        <v>1000000000</v>
      </c>
      <c r="D29" s="546">
        <v>280734406.04000002</v>
      </c>
      <c r="E29" s="547">
        <f t="shared" si="0"/>
        <v>28.073440604000005</v>
      </c>
    </row>
    <row r="30" spans="1:6" s="32" customFormat="1" ht="15.75">
      <c r="A30" s="342"/>
      <c r="B30" s="343" t="s">
        <v>490</v>
      </c>
      <c r="C30" s="545">
        <v>400000000</v>
      </c>
      <c r="D30" s="546">
        <v>315076268.37</v>
      </c>
      <c r="E30" s="547">
        <f>D30*100/C30</f>
        <v>78.769067092499995</v>
      </c>
    </row>
    <row r="31" spans="1:6" s="32" customFormat="1" ht="15.75">
      <c r="A31" s="342"/>
      <c r="B31" s="343" t="s">
        <v>114</v>
      </c>
      <c r="C31" s="545">
        <v>3200000000</v>
      </c>
      <c r="D31" s="546">
        <v>3189475278</v>
      </c>
      <c r="E31" s="547">
        <f>D31*100/C31</f>
        <v>99.671102437499997</v>
      </c>
    </row>
    <row r="32" spans="1:6" s="32" customFormat="1" ht="15.75">
      <c r="A32" s="338">
        <v>3200</v>
      </c>
      <c r="B32" s="339" t="s">
        <v>118</v>
      </c>
      <c r="C32" s="541">
        <v>3080000000</v>
      </c>
      <c r="D32" s="541">
        <v>3080000000</v>
      </c>
      <c r="E32" s="540">
        <f t="shared" si="0"/>
        <v>100</v>
      </c>
    </row>
    <row r="33" spans="1:5" s="32" customFormat="1" ht="15.75">
      <c r="A33" s="342">
        <v>3210</v>
      </c>
      <c r="B33" s="344" t="s">
        <v>119</v>
      </c>
      <c r="C33" s="551">
        <v>0</v>
      </c>
      <c r="D33" s="552">
        <v>0</v>
      </c>
      <c r="E33" s="547">
        <v>0</v>
      </c>
    </row>
    <row r="34" spans="1:5" s="32" customFormat="1">
      <c r="A34" s="346">
        <v>3211</v>
      </c>
      <c r="B34" s="343" t="s">
        <v>120</v>
      </c>
      <c r="C34" s="545">
        <v>0</v>
      </c>
      <c r="D34" s="546">
        <v>0</v>
      </c>
      <c r="E34" s="547">
        <v>0</v>
      </c>
    </row>
    <row r="35" spans="1:5" s="32" customFormat="1">
      <c r="A35" s="346">
        <v>3212</v>
      </c>
      <c r="B35" s="343" t="s">
        <v>121</v>
      </c>
      <c r="C35" s="545">
        <v>0</v>
      </c>
      <c r="D35" s="546">
        <v>0</v>
      </c>
      <c r="E35" s="547">
        <v>0</v>
      </c>
    </row>
    <row r="36" spans="1:5" s="30" customFormat="1" ht="15.75">
      <c r="A36" s="342">
        <v>3220</v>
      </c>
      <c r="B36" s="344" t="s">
        <v>122</v>
      </c>
      <c r="C36" s="551">
        <v>0</v>
      </c>
      <c r="D36" s="552">
        <v>0</v>
      </c>
      <c r="E36" s="547">
        <v>0</v>
      </c>
    </row>
    <row r="37" spans="1:5" s="33" customFormat="1">
      <c r="A37" s="346">
        <v>3221</v>
      </c>
      <c r="B37" s="343" t="s">
        <v>120</v>
      </c>
      <c r="C37" s="545">
        <v>0</v>
      </c>
      <c r="D37" s="546">
        <v>0</v>
      </c>
      <c r="E37" s="547">
        <v>0</v>
      </c>
    </row>
    <row r="38" spans="1:5" s="32" customFormat="1">
      <c r="A38" s="346">
        <v>3222</v>
      </c>
      <c r="B38" s="343" t="s">
        <v>121</v>
      </c>
      <c r="C38" s="545">
        <v>0</v>
      </c>
      <c r="D38" s="546">
        <v>0</v>
      </c>
      <c r="E38" s="547">
        <v>0</v>
      </c>
    </row>
    <row r="39" spans="1:5" s="32" customFormat="1" ht="15.75">
      <c r="A39" s="342">
        <v>3230</v>
      </c>
      <c r="B39" s="347" t="s">
        <v>123</v>
      </c>
      <c r="C39" s="553">
        <v>50000000</v>
      </c>
      <c r="D39" s="554">
        <v>10278023.050000001</v>
      </c>
      <c r="E39" s="547">
        <f>D39*100/C39</f>
        <v>20.556046100000003</v>
      </c>
    </row>
    <row r="40" spans="1:5" s="33" customFormat="1" ht="15.75">
      <c r="A40" s="342">
        <v>3250</v>
      </c>
      <c r="B40" s="344" t="s">
        <v>124</v>
      </c>
      <c r="C40" s="551">
        <f>SUM(C41:C46)</f>
        <v>3000000000</v>
      </c>
      <c r="D40" s="551">
        <f>SUM(D41:D46)</f>
        <v>3730292343.5599999</v>
      </c>
      <c r="E40" s="540">
        <f>D40*100/C40</f>
        <v>124.34307811866667</v>
      </c>
    </row>
    <row r="41" spans="1:5" s="32" customFormat="1">
      <c r="A41" s="346">
        <v>3251</v>
      </c>
      <c r="B41" s="343" t="s">
        <v>125</v>
      </c>
      <c r="C41" s="545">
        <v>0</v>
      </c>
      <c r="D41" s="546">
        <v>0</v>
      </c>
      <c r="E41" s="547">
        <v>0</v>
      </c>
    </row>
    <row r="42" spans="1:5" s="32" customFormat="1">
      <c r="A42" s="346">
        <v>3252</v>
      </c>
      <c r="B42" s="343" t="s">
        <v>126</v>
      </c>
      <c r="C42" s="545">
        <v>0</v>
      </c>
      <c r="D42" s="545">
        <v>0</v>
      </c>
      <c r="E42" s="547">
        <v>0</v>
      </c>
    </row>
    <row r="43" spans="1:5" s="33" customFormat="1">
      <c r="A43" s="346">
        <v>3253</v>
      </c>
      <c r="B43" s="343" t="s">
        <v>127</v>
      </c>
      <c r="C43" s="545">
        <v>0</v>
      </c>
      <c r="D43" s="545">
        <v>0</v>
      </c>
      <c r="E43" s="547">
        <v>0</v>
      </c>
    </row>
    <row r="44" spans="1:5" s="33" customFormat="1">
      <c r="A44" s="346">
        <v>3254</v>
      </c>
      <c r="B44" s="343" t="s">
        <v>128</v>
      </c>
      <c r="C44" s="545">
        <v>3000000000</v>
      </c>
      <c r="D44" s="546">
        <v>3730292343.5599999</v>
      </c>
      <c r="E44" s="547">
        <f>D44*100/C44</f>
        <v>124.34307811866667</v>
      </c>
    </row>
    <row r="45" spans="1:5" s="32" customFormat="1">
      <c r="A45" s="346">
        <v>3255</v>
      </c>
      <c r="B45" s="343" t="s">
        <v>129</v>
      </c>
      <c r="C45" s="545">
        <v>0</v>
      </c>
      <c r="D45" s="546">
        <v>0</v>
      </c>
      <c r="E45" s="547">
        <v>0</v>
      </c>
    </row>
    <row r="46" spans="1:5" s="32" customFormat="1" ht="15.75">
      <c r="A46" s="342">
        <v>3260</v>
      </c>
      <c r="B46" s="343" t="s">
        <v>130</v>
      </c>
      <c r="C46" s="555">
        <v>0</v>
      </c>
      <c r="D46" s="546">
        <v>0</v>
      </c>
      <c r="E46" s="547">
        <v>0</v>
      </c>
    </row>
    <row r="47" spans="1:5" s="32" customFormat="1" ht="15.75">
      <c r="A47" s="338">
        <v>3500</v>
      </c>
      <c r="B47" s="339" t="s">
        <v>131</v>
      </c>
      <c r="C47" s="541">
        <v>0</v>
      </c>
      <c r="D47" s="542">
        <v>0</v>
      </c>
      <c r="E47" s="550">
        <v>0</v>
      </c>
    </row>
    <row r="48" spans="1:5" s="32" customFormat="1" ht="15.75">
      <c r="A48" s="336">
        <v>4000</v>
      </c>
      <c r="B48" s="348" t="s">
        <v>132</v>
      </c>
      <c r="C48" s="539">
        <f>SUM(C49:C52)</f>
        <v>5782050406</v>
      </c>
      <c r="D48" s="539">
        <f>SUM(D49:D52)</f>
        <v>2509487124.5</v>
      </c>
      <c r="E48" s="540">
        <f>D48*100/C48</f>
        <v>43.401336001774041</v>
      </c>
    </row>
    <row r="49" spans="1:5" s="32" customFormat="1" ht="15.75">
      <c r="A49" s="349">
        <v>4100</v>
      </c>
      <c r="B49" s="662" t="s">
        <v>771</v>
      </c>
      <c r="C49" s="556">
        <v>2775008557</v>
      </c>
      <c r="D49" s="546">
        <v>2509487124.5</v>
      </c>
      <c r="E49" s="547">
        <f>D49*100/C49</f>
        <v>90.431689594966542</v>
      </c>
    </row>
    <row r="50" spans="1:5" s="32" customFormat="1" ht="15.75">
      <c r="A50" s="349">
        <v>4100</v>
      </c>
      <c r="B50" s="662" t="s">
        <v>772</v>
      </c>
      <c r="C50" s="556">
        <v>0</v>
      </c>
      <c r="D50" s="546">
        <v>0</v>
      </c>
      <c r="E50" s="547"/>
    </row>
    <row r="51" spans="1:5" s="33" customFormat="1" ht="15.75">
      <c r="A51" s="349">
        <v>4200</v>
      </c>
      <c r="B51" s="350" t="s">
        <v>133</v>
      </c>
      <c r="C51" s="556">
        <v>0</v>
      </c>
      <c r="D51" s="546">
        <v>0</v>
      </c>
      <c r="E51" s="547">
        <v>0</v>
      </c>
    </row>
    <row r="52" spans="1:5" s="30" customFormat="1" ht="15.75">
      <c r="A52" s="349">
        <v>4300</v>
      </c>
      <c r="B52" s="662" t="s">
        <v>773</v>
      </c>
      <c r="C52" s="556">
        <v>3007041849</v>
      </c>
      <c r="D52" s="546">
        <v>0</v>
      </c>
      <c r="E52" s="547">
        <v>0</v>
      </c>
    </row>
    <row r="53" spans="1:5" s="30" customFormat="1" ht="16.5" thickBot="1">
      <c r="A53" s="351"/>
      <c r="B53" s="352" t="s">
        <v>134</v>
      </c>
      <c r="C53" s="557">
        <f>SUM(C7+C48)</f>
        <v>32300376653.169998</v>
      </c>
      <c r="D53" s="558">
        <v>29183472725.779999</v>
      </c>
      <c r="E53" s="559">
        <f>D53*100/C53</f>
        <v>90.350255166191374</v>
      </c>
    </row>
    <row r="54" spans="1:5" s="33" customFormat="1" ht="12.75">
      <c r="A54" s="1097"/>
      <c r="B54" s="1097"/>
      <c r="C54" s="1097"/>
      <c r="D54" s="1097"/>
      <c r="E54" s="353"/>
    </row>
    <row r="55" spans="1:5" s="33" customFormat="1" ht="12.75" hidden="1">
      <c r="A55" s="354" t="s">
        <v>491</v>
      </c>
      <c r="B55" s="355"/>
      <c r="C55" s="560">
        <f>C53-C48</f>
        <v>26518326247.169998</v>
      </c>
      <c r="D55" s="560">
        <f>D53-D48</f>
        <v>26673985601.279999</v>
      </c>
      <c r="E55" s="356"/>
    </row>
    <row r="56" spans="1:5" s="33" customFormat="1" ht="21" hidden="1" customHeight="1">
      <c r="A56" s="354" t="s">
        <v>668</v>
      </c>
      <c r="B56" s="355"/>
      <c r="C56" s="355"/>
      <c r="D56" s="355"/>
      <c r="E56" s="356"/>
    </row>
    <row r="57" spans="1:5" s="33" customFormat="1" ht="12.75" hidden="1">
      <c r="A57" s="355" t="s">
        <v>669</v>
      </c>
      <c r="B57" s="355"/>
      <c r="C57" s="355"/>
      <c r="D57" s="355"/>
      <c r="E57" s="356"/>
    </row>
    <row r="58" spans="1:5" s="30" customFormat="1" ht="12.75">
      <c r="A58" s="355"/>
      <c r="B58" s="355"/>
      <c r="C58" s="560"/>
      <c r="D58" s="355"/>
      <c r="E58" s="356"/>
    </row>
    <row r="59" spans="1:5">
      <c r="A59" s="355"/>
      <c r="B59" s="355"/>
      <c r="C59" s="355"/>
      <c r="D59" s="355"/>
      <c r="E59" s="356"/>
    </row>
  </sheetData>
  <mergeCells count="7">
    <mergeCell ref="A5:E5"/>
    <mergeCell ref="A54:D54"/>
    <mergeCell ref="A1:E1"/>
    <mergeCell ref="A2:E2"/>
    <mergeCell ref="A4:B4"/>
    <mergeCell ref="C4:E4"/>
    <mergeCell ref="A3:E3"/>
  </mergeCells>
  <printOptions horizontalCentered="1" verticalCentered="1"/>
  <pageMargins left="0.9055118110236221" right="0.39370078740157483" top="0.74803149606299213" bottom="0.55118110236220474" header="0.31496062992125984" footer="0.31496062992125984"/>
  <pageSetup scale="68" fitToHeight="2" orientation="portrait" r:id="rId1"/>
  <headerFooter scaleWithDoc="0" alignWithMargins="0">
    <oddFooter>&amp;R&amp;P</oddFooter>
  </headerFooter>
  <ignoredErrors>
    <ignoredError sqref="E51 E53 E7:E22 E24:E40 E43:E49" evalError="1"/>
    <ignoredError sqref="C14:D14 C25:D25 C40:D40 D48"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62" workbookViewId="0">
      <selection activeCell="H70" sqref="H70"/>
    </sheetView>
  </sheetViews>
  <sheetFormatPr baseColWidth="10" defaultRowHeight="15"/>
  <cols>
    <col min="1" max="1" width="46" customWidth="1"/>
    <col min="2" max="3" width="18.5703125" bestFit="1" customWidth="1"/>
    <col min="4" max="4" width="19.5703125" customWidth="1"/>
    <col min="5" max="6" width="18.5703125" bestFit="1" customWidth="1"/>
    <col min="7" max="7" width="17.140625" customWidth="1"/>
    <col min="8" max="8" width="18.85546875" bestFit="1" customWidth="1"/>
    <col min="9" max="10" width="18.5703125" bestFit="1" customWidth="1"/>
  </cols>
  <sheetData>
    <row r="1" spans="1:10" ht="156.75" customHeight="1" thickBot="1">
      <c r="A1" s="1109"/>
      <c r="B1" s="1109"/>
      <c r="C1" s="1109"/>
      <c r="D1" s="1109"/>
      <c r="E1" s="1109"/>
      <c r="F1" s="1109"/>
      <c r="G1" s="1109"/>
      <c r="H1" s="1109"/>
      <c r="I1" s="1109"/>
      <c r="J1" s="595"/>
    </row>
    <row r="2" spans="1:10">
      <c r="A2" s="1110" t="s">
        <v>752</v>
      </c>
      <c r="B2" s="1111"/>
      <c r="C2" s="1111"/>
      <c r="D2" s="1111"/>
      <c r="E2" s="1111"/>
      <c r="F2" s="1111"/>
      <c r="G2" s="1111"/>
      <c r="H2" s="1111"/>
      <c r="I2" s="1111"/>
      <c r="J2" s="1112"/>
    </row>
    <row r="3" spans="1:10">
      <c r="A3" s="1113" t="s">
        <v>764</v>
      </c>
      <c r="B3" s="1114"/>
      <c r="C3" s="1114"/>
      <c r="D3" s="1114"/>
      <c r="E3" s="1114"/>
      <c r="F3" s="1114"/>
      <c r="G3" s="1114"/>
      <c r="H3" s="1114"/>
      <c r="I3" s="1114"/>
      <c r="J3" s="1115"/>
    </row>
    <row r="4" spans="1:10" ht="15.75" thickBot="1">
      <c r="A4" s="596" t="s">
        <v>753</v>
      </c>
      <c r="B4" s="1116">
        <v>2018</v>
      </c>
      <c r="C4" s="1116"/>
      <c r="D4" s="1116"/>
      <c r="E4" s="1117"/>
      <c r="F4" s="1117"/>
      <c r="G4" s="1117"/>
      <c r="H4" s="1117"/>
      <c r="I4" s="1117"/>
      <c r="J4" s="1118"/>
    </row>
    <row r="5" spans="1:10" ht="44.25" customHeight="1">
      <c r="A5" s="1119" t="s">
        <v>0</v>
      </c>
      <c r="B5" s="1120" t="s">
        <v>1</v>
      </c>
      <c r="C5" s="1121"/>
      <c r="D5" s="1122"/>
      <c r="E5" s="1120" t="s">
        <v>2</v>
      </c>
      <c r="F5" s="1121"/>
      <c r="G5" s="1122"/>
      <c r="H5" s="1120" t="s">
        <v>3</v>
      </c>
      <c r="I5" s="1121"/>
      <c r="J5" s="1122"/>
    </row>
    <row r="6" spans="1:10" ht="24" customHeight="1" thickBot="1">
      <c r="A6" s="1119"/>
      <c r="B6" s="659" t="s">
        <v>754</v>
      </c>
      <c r="C6" s="660" t="s">
        <v>755</v>
      </c>
      <c r="D6" s="661" t="s">
        <v>756</v>
      </c>
      <c r="E6" s="659" t="s">
        <v>754</v>
      </c>
      <c r="F6" s="660" t="s">
        <v>755</v>
      </c>
      <c r="G6" s="661" t="s">
        <v>756</v>
      </c>
      <c r="H6" s="659" t="s">
        <v>754</v>
      </c>
      <c r="I6" s="660" t="s">
        <v>755</v>
      </c>
      <c r="J6" s="661" t="s">
        <v>756</v>
      </c>
    </row>
    <row r="7" spans="1:10" ht="15.75" thickBot="1">
      <c r="A7" s="597" t="s">
        <v>4</v>
      </c>
      <c r="B7" s="625">
        <v>2207346818.6700001</v>
      </c>
      <c r="C7" s="630">
        <v>2165792940.6700001</v>
      </c>
      <c r="D7" s="631">
        <v>2122742839.6199999</v>
      </c>
      <c r="E7" s="625">
        <v>2603836000</v>
      </c>
      <c r="F7" s="630">
        <v>2603836000</v>
      </c>
      <c r="G7" s="631">
        <v>2603836000</v>
      </c>
      <c r="H7" s="625">
        <f>SUM(B7+E7)</f>
        <v>4811182818.6700001</v>
      </c>
      <c r="I7" s="630">
        <f>C7+F7</f>
        <v>4769628940.6700001</v>
      </c>
      <c r="J7" s="630">
        <f>D7+G7</f>
        <v>4726578839.6199999</v>
      </c>
    </row>
    <row r="8" spans="1:10">
      <c r="A8" s="598" t="s">
        <v>5</v>
      </c>
      <c r="B8" s="626">
        <f t="shared" ref="B8:C8" si="0">SUM(B9:B11)</f>
        <v>1448770293.8199999</v>
      </c>
      <c r="C8" s="632">
        <f t="shared" si="0"/>
        <v>1410932340.55</v>
      </c>
      <c r="D8" s="633">
        <f t="shared" ref="D8:J8" si="1">SUM(D9:D11)</f>
        <v>1371008090.5799999</v>
      </c>
      <c r="E8" s="626">
        <f t="shared" ref="E8" si="2">SUM(E9:E11)</f>
        <v>46089000</v>
      </c>
      <c r="F8" s="632">
        <v>39175650</v>
      </c>
      <c r="G8" s="668">
        <f t="shared" ref="G8:G15" si="3">F8</f>
        <v>39175650</v>
      </c>
      <c r="H8" s="666">
        <f t="shared" si="1"/>
        <v>1494859293.8199999</v>
      </c>
      <c r="I8" s="632">
        <f t="shared" si="1"/>
        <v>1450107990.55</v>
      </c>
      <c r="J8" s="632">
        <f t="shared" si="1"/>
        <v>1410183740.5799999</v>
      </c>
    </row>
    <row r="9" spans="1:10">
      <c r="A9" s="599" t="s">
        <v>647</v>
      </c>
      <c r="B9" s="627">
        <v>12389146.32</v>
      </c>
      <c r="C9" s="634">
        <v>12389146.32</v>
      </c>
      <c r="D9" s="634">
        <v>12389146.32</v>
      </c>
      <c r="E9" s="627">
        <v>0</v>
      </c>
      <c r="F9" s="634">
        <v>0</v>
      </c>
      <c r="G9" s="658">
        <f t="shared" si="3"/>
        <v>0</v>
      </c>
      <c r="H9" s="664">
        <f t="shared" ref="H9:J11" si="4">+B9+E9</f>
        <v>12389146.32</v>
      </c>
      <c r="I9" s="634">
        <f t="shared" si="4"/>
        <v>12389146.32</v>
      </c>
      <c r="J9" s="602">
        <f t="shared" si="4"/>
        <v>12389146.32</v>
      </c>
    </row>
    <row r="10" spans="1:10">
      <c r="A10" s="599" t="s">
        <v>6</v>
      </c>
      <c r="B10" s="627">
        <v>1427718727.5</v>
      </c>
      <c r="C10" s="634">
        <v>1389880774.23</v>
      </c>
      <c r="D10" s="635">
        <v>1349956524.26</v>
      </c>
      <c r="E10" s="627">
        <v>46089000</v>
      </c>
      <c r="F10" s="634">
        <v>39175650</v>
      </c>
      <c r="G10" s="658">
        <f t="shared" si="3"/>
        <v>39175650</v>
      </c>
      <c r="H10" s="664">
        <f t="shared" si="4"/>
        <v>1473807727.5</v>
      </c>
      <c r="I10" s="634">
        <f t="shared" si="4"/>
        <v>1429056424.23</v>
      </c>
      <c r="J10" s="602">
        <f t="shared" si="4"/>
        <v>1389132174.26</v>
      </c>
    </row>
    <row r="11" spans="1:10" ht="15.75" thickBot="1">
      <c r="A11" s="603" t="s">
        <v>7</v>
      </c>
      <c r="B11" s="628">
        <v>8662420</v>
      </c>
      <c r="C11" s="636">
        <v>8662420</v>
      </c>
      <c r="D11" s="637">
        <v>8662420</v>
      </c>
      <c r="E11" s="628">
        <v>0</v>
      </c>
      <c r="F11" s="636">
        <v>0</v>
      </c>
      <c r="G11" s="658">
        <f t="shared" si="3"/>
        <v>0</v>
      </c>
      <c r="H11" s="665">
        <f t="shared" si="4"/>
        <v>8662420</v>
      </c>
      <c r="I11" s="636">
        <f t="shared" si="4"/>
        <v>8662420</v>
      </c>
      <c r="J11" s="604">
        <f t="shared" si="4"/>
        <v>8662420</v>
      </c>
    </row>
    <row r="12" spans="1:10">
      <c r="A12" s="598" t="s">
        <v>8</v>
      </c>
      <c r="B12" s="626">
        <f t="shared" ref="B12:C12" si="5">SUM(B14:B15)</f>
        <v>447708887.50999999</v>
      </c>
      <c r="C12" s="632">
        <f t="shared" si="5"/>
        <v>447708887.50999999</v>
      </c>
      <c r="D12" s="633">
        <f t="shared" ref="D12:J12" si="6">+D13+D17</f>
        <v>447708887.50999999</v>
      </c>
      <c r="E12" s="626">
        <f t="shared" ref="E12" si="7">SUM(E14:E15)</f>
        <v>6186000</v>
      </c>
      <c r="F12" s="632">
        <v>6186000</v>
      </c>
      <c r="G12" s="658">
        <f t="shared" si="3"/>
        <v>6186000</v>
      </c>
      <c r="H12" s="666">
        <f t="shared" si="6"/>
        <v>453894887.50999999</v>
      </c>
      <c r="I12" s="632">
        <f t="shared" si="6"/>
        <v>453894887.50999999</v>
      </c>
      <c r="J12" s="632">
        <f t="shared" si="6"/>
        <v>453894887.50999999</v>
      </c>
    </row>
    <row r="13" spans="1:10">
      <c r="A13" s="605" t="s">
        <v>648</v>
      </c>
      <c r="B13" s="629"/>
      <c r="C13" s="638"/>
      <c r="D13" s="639">
        <f t="shared" ref="D13:J13" si="8">SUM(D14:D16)</f>
        <v>447708887.50999999</v>
      </c>
      <c r="E13" s="629"/>
      <c r="F13" s="638"/>
      <c r="G13" s="658">
        <f t="shared" si="3"/>
        <v>0</v>
      </c>
      <c r="H13" s="667">
        <f t="shared" si="8"/>
        <v>453894887.50999999</v>
      </c>
      <c r="I13" s="638">
        <f t="shared" si="8"/>
        <v>453894887.50999999</v>
      </c>
      <c r="J13" s="638">
        <f t="shared" si="8"/>
        <v>453894887.50999999</v>
      </c>
    </row>
    <row r="14" spans="1:10">
      <c r="A14" s="599" t="s">
        <v>757</v>
      </c>
      <c r="B14" s="627">
        <v>40209577</v>
      </c>
      <c r="C14" s="634">
        <v>40209577</v>
      </c>
      <c r="D14" s="635">
        <v>40209577</v>
      </c>
      <c r="E14" s="627">
        <v>6186000</v>
      </c>
      <c r="F14" s="634">
        <v>6186000</v>
      </c>
      <c r="G14" s="658">
        <f t="shared" si="3"/>
        <v>6186000</v>
      </c>
      <c r="H14" s="664">
        <f t="shared" ref="H14:J16" si="9">+B14+E14</f>
        <v>46395577</v>
      </c>
      <c r="I14" s="634">
        <f t="shared" si="9"/>
        <v>46395577</v>
      </c>
      <c r="J14" s="602">
        <f t="shared" si="9"/>
        <v>46395577</v>
      </c>
    </row>
    <row r="15" spans="1:10">
      <c r="A15" s="599" t="s">
        <v>758</v>
      </c>
      <c r="B15" s="627">
        <v>407499310.50999999</v>
      </c>
      <c r="C15" s="634">
        <v>407499310.50999999</v>
      </c>
      <c r="D15" s="635">
        <v>407499310.50999999</v>
      </c>
      <c r="E15" s="627">
        <v>0</v>
      </c>
      <c r="F15" s="634">
        <v>0</v>
      </c>
      <c r="G15" s="658">
        <f t="shared" si="3"/>
        <v>0</v>
      </c>
      <c r="H15" s="664">
        <f t="shared" si="9"/>
        <v>407499310.50999999</v>
      </c>
      <c r="I15" s="634">
        <f t="shared" si="9"/>
        <v>407499310.50999999</v>
      </c>
      <c r="J15" s="602">
        <f t="shared" si="9"/>
        <v>407499310.50999999</v>
      </c>
    </row>
    <row r="16" spans="1:10">
      <c r="A16" s="599" t="s">
        <v>9</v>
      </c>
      <c r="B16" s="600"/>
      <c r="C16" s="601"/>
      <c r="D16" s="602"/>
      <c r="E16" s="600"/>
      <c r="F16" s="601"/>
      <c r="G16" s="669"/>
      <c r="H16" s="600">
        <f t="shared" si="9"/>
        <v>0</v>
      </c>
      <c r="I16" s="601">
        <f t="shared" si="9"/>
        <v>0</v>
      </c>
      <c r="J16" s="602">
        <f t="shared" si="9"/>
        <v>0</v>
      </c>
    </row>
    <row r="17" spans="1:10">
      <c r="A17" s="605" t="s">
        <v>759</v>
      </c>
      <c r="B17" s="606">
        <f t="shared" ref="B17:J17" si="10">SUM(B18:B19)</f>
        <v>0</v>
      </c>
      <c r="C17" s="607">
        <f t="shared" si="10"/>
        <v>0</v>
      </c>
      <c r="D17" s="608">
        <f t="shared" si="10"/>
        <v>0</v>
      </c>
      <c r="E17" s="606">
        <f t="shared" si="10"/>
        <v>0</v>
      </c>
      <c r="F17" s="607">
        <f t="shared" si="10"/>
        <v>0</v>
      </c>
      <c r="G17" s="608">
        <f t="shared" si="10"/>
        <v>0</v>
      </c>
      <c r="H17" s="606">
        <f t="shared" si="10"/>
        <v>0</v>
      </c>
      <c r="I17" s="607">
        <f t="shared" si="10"/>
        <v>0</v>
      </c>
      <c r="J17" s="608">
        <f t="shared" si="10"/>
        <v>0</v>
      </c>
    </row>
    <row r="18" spans="1:10">
      <c r="A18" s="599" t="s">
        <v>760</v>
      </c>
      <c r="B18" s="600">
        <v>0</v>
      </c>
      <c r="C18" s="601">
        <v>0</v>
      </c>
      <c r="D18" s="602">
        <v>0</v>
      </c>
      <c r="E18" s="600">
        <v>0</v>
      </c>
      <c r="F18" s="601">
        <v>0</v>
      </c>
      <c r="G18" s="602">
        <v>0</v>
      </c>
      <c r="H18" s="600">
        <f t="shared" ref="H18:J19" si="11">+B18+E18</f>
        <v>0</v>
      </c>
      <c r="I18" s="601">
        <f t="shared" si="11"/>
        <v>0</v>
      </c>
      <c r="J18" s="602">
        <f t="shared" si="11"/>
        <v>0</v>
      </c>
    </row>
    <row r="19" spans="1:10">
      <c r="A19" s="599" t="s">
        <v>761</v>
      </c>
      <c r="B19" s="600">
        <v>0</v>
      </c>
      <c r="C19" s="601">
        <v>0</v>
      </c>
      <c r="D19" s="602">
        <v>0</v>
      </c>
      <c r="E19" s="600">
        <v>0</v>
      </c>
      <c r="F19" s="601">
        <v>0</v>
      </c>
      <c r="G19" s="602">
        <v>0</v>
      </c>
      <c r="H19" s="600">
        <f t="shared" si="11"/>
        <v>0</v>
      </c>
      <c r="I19" s="601">
        <f t="shared" si="11"/>
        <v>0</v>
      </c>
      <c r="J19" s="602">
        <f t="shared" si="11"/>
        <v>0</v>
      </c>
    </row>
    <row r="20" spans="1:10">
      <c r="A20" s="609" t="s">
        <v>10</v>
      </c>
      <c r="B20" s="610">
        <f t="shared" ref="B20:J20" si="12">+B21+B23</f>
        <v>0</v>
      </c>
      <c r="C20" s="611">
        <f t="shared" si="12"/>
        <v>0</v>
      </c>
      <c r="D20" s="612">
        <f t="shared" si="12"/>
        <v>0</v>
      </c>
      <c r="E20" s="610">
        <f t="shared" si="12"/>
        <v>0</v>
      </c>
      <c r="F20" s="611">
        <f t="shared" si="12"/>
        <v>0</v>
      </c>
      <c r="G20" s="612">
        <f t="shared" si="12"/>
        <v>0</v>
      </c>
      <c r="H20" s="610">
        <f t="shared" si="12"/>
        <v>0</v>
      </c>
      <c r="I20" s="611">
        <f t="shared" si="12"/>
        <v>0</v>
      </c>
      <c r="J20" s="612">
        <f t="shared" si="12"/>
        <v>0</v>
      </c>
    </row>
    <row r="21" spans="1:10">
      <c r="A21" s="605" t="s">
        <v>456</v>
      </c>
      <c r="B21" s="606">
        <f t="shared" ref="B21:J21" si="13">SUM(B22)</f>
        <v>0</v>
      </c>
      <c r="C21" s="607">
        <f t="shared" si="13"/>
        <v>0</v>
      </c>
      <c r="D21" s="608">
        <f t="shared" si="13"/>
        <v>0</v>
      </c>
      <c r="E21" s="606">
        <f t="shared" si="13"/>
        <v>0</v>
      </c>
      <c r="F21" s="607">
        <f t="shared" si="13"/>
        <v>0</v>
      </c>
      <c r="G21" s="608">
        <f t="shared" si="13"/>
        <v>0</v>
      </c>
      <c r="H21" s="606">
        <f t="shared" si="13"/>
        <v>0</v>
      </c>
      <c r="I21" s="607">
        <f t="shared" si="13"/>
        <v>0</v>
      </c>
      <c r="J21" s="608">
        <f t="shared" si="13"/>
        <v>0</v>
      </c>
    </row>
    <row r="22" spans="1:10">
      <c r="A22" s="599" t="s">
        <v>11</v>
      </c>
      <c r="B22" s="600">
        <v>0</v>
      </c>
      <c r="C22" s="601">
        <v>0</v>
      </c>
      <c r="D22" s="602">
        <v>0</v>
      </c>
      <c r="E22" s="600">
        <v>0</v>
      </c>
      <c r="F22" s="601">
        <v>0</v>
      </c>
      <c r="G22" s="602">
        <v>0</v>
      </c>
      <c r="H22" s="600">
        <f t="shared" ref="H22:J23" si="14">+B22+E22</f>
        <v>0</v>
      </c>
      <c r="I22" s="601">
        <f t="shared" si="14"/>
        <v>0</v>
      </c>
      <c r="J22" s="602">
        <f t="shared" si="14"/>
        <v>0</v>
      </c>
    </row>
    <row r="23" spans="1:10" ht="15.75" thickBot="1">
      <c r="A23" s="613" t="s">
        <v>762</v>
      </c>
      <c r="B23" s="614">
        <v>0</v>
      </c>
      <c r="C23" s="615">
        <v>0</v>
      </c>
      <c r="D23" s="616">
        <v>0</v>
      </c>
      <c r="E23" s="614">
        <v>0</v>
      </c>
      <c r="F23" s="615">
        <v>0</v>
      </c>
      <c r="G23" s="616">
        <v>0</v>
      </c>
      <c r="H23" s="614">
        <f t="shared" si="14"/>
        <v>0</v>
      </c>
      <c r="I23" s="615">
        <f t="shared" si="14"/>
        <v>0</v>
      </c>
      <c r="J23" s="616">
        <f t="shared" si="14"/>
        <v>0</v>
      </c>
    </row>
    <row r="24" spans="1:10" ht="15.75" thickBot="1">
      <c r="A24" s="597" t="s">
        <v>12</v>
      </c>
      <c r="B24" s="625">
        <f t="shared" ref="B24:J24" si="15">+B7+B8+B12+B20</f>
        <v>4103826000</v>
      </c>
      <c r="C24" s="630">
        <f t="shared" si="15"/>
        <v>4024434168.7300005</v>
      </c>
      <c r="D24" s="631">
        <f t="shared" si="15"/>
        <v>3941459817.71</v>
      </c>
      <c r="E24" s="625">
        <f t="shared" si="15"/>
        <v>2656111000</v>
      </c>
      <c r="F24" s="630">
        <f t="shared" si="15"/>
        <v>2649197650</v>
      </c>
      <c r="G24" s="631">
        <f t="shared" si="15"/>
        <v>2649197650</v>
      </c>
      <c r="H24" s="625">
        <f t="shared" si="15"/>
        <v>6759937000</v>
      </c>
      <c r="I24" s="630">
        <f t="shared" si="15"/>
        <v>6673631818.7300005</v>
      </c>
      <c r="J24" s="631">
        <f t="shared" si="15"/>
        <v>6590657467.71</v>
      </c>
    </row>
    <row r="25" spans="1:10" ht="15.75" thickBot="1">
      <c r="A25" s="617"/>
      <c r="B25" s="618"/>
      <c r="C25" s="619"/>
      <c r="D25" s="620"/>
      <c r="E25" s="618"/>
      <c r="F25" s="619"/>
      <c r="G25" s="620"/>
      <c r="H25" s="618"/>
      <c r="I25" s="619"/>
      <c r="J25" s="620"/>
    </row>
    <row r="26" spans="1:10" ht="15.75" thickBot="1">
      <c r="A26" s="597" t="s">
        <v>13</v>
      </c>
      <c r="B26" s="625">
        <f t="shared" ref="B26:J26" si="16">SUM(B27:B66)</f>
        <v>20501488677.000004</v>
      </c>
      <c r="C26" s="625">
        <f t="shared" si="16"/>
        <v>19582263070.48</v>
      </c>
      <c r="D26" s="625">
        <f t="shared" si="16"/>
        <v>15615765758.18</v>
      </c>
      <c r="E26" s="625">
        <f t="shared" si="16"/>
        <v>34873054403</v>
      </c>
      <c r="F26" s="625">
        <f t="shared" si="16"/>
        <v>34838570882.970001</v>
      </c>
      <c r="G26" s="625">
        <f t="shared" si="16"/>
        <v>0</v>
      </c>
      <c r="H26" s="625">
        <f t="shared" si="16"/>
        <v>55374543080</v>
      </c>
      <c r="I26" s="625">
        <f t="shared" si="16"/>
        <v>54420833953.449997</v>
      </c>
      <c r="J26" s="650">
        <f t="shared" si="16"/>
        <v>15615765758.18</v>
      </c>
    </row>
    <row r="27" spans="1:10" ht="38.25">
      <c r="A27" s="621" t="s">
        <v>670</v>
      </c>
      <c r="B27" s="623">
        <v>1898085525</v>
      </c>
      <c r="C27" s="640">
        <v>1871260093</v>
      </c>
      <c r="D27" s="654">
        <v>1117848699.3</v>
      </c>
      <c r="E27" s="656">
        <v>0</v>
      </c>
      <c r="F27" s="640">
        <v>0</v>
      </c>
      <c r="G27" s="654">
        <v>0</v>
      </c>
      <c r="H27" s="646">
        <f>B27+E27</f>
        <v>1898085525</v>
      </c>
      <c r="I27" s="648">
        <f>C27+F27</f>
        <v>1871260093</v>
      </c>
      <c r="J27" s="651">
        <f>D27+G27</f>
        <v>1117848699.3</v>
      </c>
    </row>
    <row r="28" spans="1:10" ht="38.25">
      <c r="A28" s="622" t="s">
        <v>671</v>
      </c>
      <c r="B28" s="624">
        <v>25000000</v>
      </c>
      <c r="C28" s="642">
        <v>24916145</v>
      </c>
      <c r="D28" s="655">
        <v>24916145</v>
      </c>
      <c r="E28" s="657">
        <v>0</v>
      </c>
      <c r="F28" s="641">
        <v>0</v>
      </c>
      <c r="G28" s="658">
        <v>0</v>
      </c>
      <c r="H28" s="647">
        <f t="shared" ref="H28:H61" si="17">B28+E28</f>
        <v>25000000</v>
      </c>
      <c r="I28" s="649">
        <f t="shared" ref="I28:I60" si="18">C28+F28</f>
        <v>24916145</v>
      </c>
      <c r="J28" s="652">
        <f t="shared" ref="J28:J66" si="19">D28+G28</f>
        <v>24916145</v>
      </c>
    </row>
    <row r="29" spans="1:10" ht="38.25">
      <c r="A29" s="622" t="s">
        <v>672</v>
      </c>
      <c r="B29" s="624">
        <v>75000000</v>
      </c>
      <c r="C29" s="641">
        <v>42623777</v>
      </c>
      <c r="D29" s="655">
        <v>42623777</v>
      </c>
      <c r="E29" s="657">
        <v>0</v>
      </c>
      <c r="F29" s="641">
        <v>0</v>
      </c>
      <c r="G29" s="658">
        <v>0</v>
      </c>
      <c r="H29" s="647">
        <f t="shared" si="17"/>
        <v>75000000</v>
      </c>
      <c r="I29" s="649">
        <f t="shared" si="18"/>
        <v>42623777</v>
      </c>
      <c r="J29" s="652">
        <f t="shared" si="19"/>
        <v>42623777</v>
      </c>
    </row>
    <row r="30" spans="1:10" ht="25.5">
      <c r="A30" s="622" t="s">
        <v>673</v>
      </c>
      <c r="B30" s="624">
        <v>10000000</v>
      </c>
      <c r="C30" s="641">
        <v>10000000</v>
      </c>
      <c r="D30" s="655">
        <v>10000000</v>
      </c>
      <c r="E30" s="657">
        <v>0</v>
      </c>
      <c r="F30" s="641">
        <v>0</v>
      </c>
      <c r="G30" s="658">
        <v>0</v>
      </c>
      <c r="H30" s="647">
        <f t="shared" si="17"/>
        <v>10000000</v>
      </c>
      <c r="I30" s="649">
        <f t="shared" si="18"/>
        <v>10000000</v>
      </c>
      <c r="J30" s="652">
        <f t="shared" si="19"/>
        <v>10000000</v>
      </c>
    </row>
    <row r="31" spans="1:10" ht="38.25">
      <c r="A31" s="622" t="s">
        <v>674</v>
      </c>
      <c r="B31" s="624">
        <v>360000000</v>
      </c>
      <c r="C31" s="641">
        <v>359708091</v>
      </c>
      <c r="D31" s="655">
        <v>358828041</v>
      </c>
      <c r="E31" s="657">
        <v>0</v>
      </c>
      <c r="F31" s="641">
        <v>0</v>
      </c>
      <c r="G31" s="658">
        <v>0</v>
      </c>
      <c r="H31" s="647">
        <f t="shared" si="17"/>
        <v>360000000</v>
      </c>
      <c r="I31" s="649">
        <f t="shared" si="18"/>
        <v>359708091</v>
      </c>
      <c r="J31" s="652">
        <f t="shared" si="19"/>
        <v>358828041</v>
      </c>
    </row>
    <row r="32" spans="1:10" ht="38.25">
      <c r="A32" s="622" t="s">
        <v>675</v>
      </c>
      <c r="B32" s="624">
        <v>50000000</v>
      </c>
      <c r="C32" s="641">
        <v>33881588</v>
      </c>
      <c r="D32" s="655">
        <v>33881588</v>
      </c>
      <c r="E32" s="657">
        <v>0</v>
      </c>
      <c r="F32" s="641">
        <v>0</v>
      </c>
      <c r="G32" s="658">
        <v>0</v>
      </c>
      <c r="H32" s="647">
        <f t="shared" si="17"/>
        <v>50000000</v>
      </c>
      <c r="I32" s="649">
        <f t="shared" si="18"/>
        <v>33881588</v>
      </c>
      <c r="J32" s="652">
        <f t="shared" si="19"/>
        <v>33881588</v>
      </c>
    </row>
    <row r="33" spans="1:10" ht="38.25">
      <c r="A33" s="622" t="s">
        <v>676</v>
      </c>
      <c r="B33" s="624">
        <v>362732545.47000003</v>
      </c>
      <c r="C33" s="641">
        <v>353394645.47000003</v>
      </c>
      <c r="D33" s="655">
        <v>353394645.47000003</v>
      </c>
      <c r="E33" s="657">
        <v>0</v>
      </c>
      <c r="F33" s="641">
        <v>0</v>
      </c>
      <c r="G33" s="658">
        <v>0</v>
      </c>
      <c r="H33" s="647">
        <f t="shared" si="17"/>
        <v>362732545.47000003</v>
      </c>
      <c r="I33" s="649">
        <f t="shared" si="18"/>
        <v>353394645.47000003</v>
      </c>
      <c r="J33" s="652">
        <f t="shared" si="19"/>
        <v>353394645.47000003</v>
      </c>
    </row>
    <row r="34" spans="1:10" ht="38.25">
      <c r="A34" s="622" t="s">
        <v>677</v>
      </c>
      <c r="B34" s="624">
        <v>20000000</v>
      </c>
      <c r="C34" s="641">
        <v>1293000</v>
      </c>
      <c r="D34" s="655">
        <v>1293000</v>
      </c>
      <c r="E34" s="657">
        <v>0</v>
      </c>
      <c r="F34" s="641">
        <v>0</v>
      </c>
      <c r="G34" s="658">
        <v>0</v>
      </c>
      <c r="H34" s="647">
        <f t="shared" si="17"/>
        <v>20000000</v>
      </c>
      <c r="I34" s="649">
        <f t="shared" si="18"/>
        <v>1293000</v>
      </c>
      <c r="J34" s="652">
        <f t="shared" si="19"/>
        <v>1293000</v>
      </c>
    </row>
    <row r="35" spans="1:10" ht="38.25">
      <c r="A35" s="622" t="s">
        <v>678</v>
      </c>
      <c r="B35" s="624">
        <v>115208700</v>
      </c>
      <c r="C35" s="641">
        <v>1435500</v>
      </c>
      <c r="D35" s="655">
        <v>1435500</v>
      </c>
      <c r="E35" s="657">
        <v>0</v>
      </c>
      <c r="F35" s="641">
        <v>0</v>
      </c>
      <c r="G35" s="658">
        <v>0</v>
      </c>
      <c r="H35" s="647">
        <f t="shared" si="17"/>
        <v>115208700</v>
      </c>
      <c r="I35" s="649">
        <f t="shared" si="18"/>
        <v>1435500</v>
      </c>
      <c r="J35" s="652">
        <f t="shared" si="19"/>
        <v>1435500</v>
      </c>
    </row>
    <row r="36" spans="1:10" ht="51">
      <c r="A36" s="622" t="s">
        <v>679</v>
      </c>
      <c r="B36" s="624">
        <v>645000000</v>
      </c>
      <c r="C36" s="641">
        <v>631401183</v>
      </c>
      <c r="D36" s="655">
        <v>211444923.19999999</v>
      </c>
      <c r="E36" s="657">
        <v>0</v>
      </c>
      <c r="F36" s="641">
        <v>0</v>
      </c>
      <c r="G36" s="658">
        <v>0</v>
      </c>
      <c r="H36" s="647">
        <f t="shared" si="17"/>
        <v>645000000</v>
      </c>
      <c r="I36" s="649">
        <f t="shared" si="18"/>
        <v>631401183</v>
      </c>
      <c r="J36" s="652">
        <f t="shared" si="19"/>
        <v>211444923.19999999</v>
      </c>
    </row>
    <row r="37" spans="1:10" ht="38.25">
      <c r="A37" s="622" t="s">
        <v>680</v>
      </c>
      <c r="B37" s="624">
        <v>877000000</v>
      </c>
      <c r="C37" s="641">
        <v>843355280</v>
      </c>
      <c r="D37" s="655">
        <v>493606050</v>
      </c>
      <c r="E37" s="657">
        <v>0</v>
      </c>
      <c r="F37" s="641">
        <v>0</v>
      </c>
      <c r="G37" s="658">
        <v>0</v>
      </c>
      <c r="H37" s="647">
        <f t="shared" si="17"/>
        <v>877000000</v>
      </c>
      <c r="I37" s="649">
        <f t="shared" si="18"/>
        <v>843355280</v>
      </c>
      <c r="J37" s="652">
        <f t="shared" si="19"/>
        <v>493606050</v>
      </c>
    </row>
    <row r="38" spans="1:10" ht="38.25">
      <c r="A38" s="622" t="s">
        <v>681</v>
      </c>
      <c r="B38" s="624">
        <v>680000000</v>
      </c>
      <c r="C38" s="641">
        <v>678579512</v>
      </c>
      <c r="D38" s="655">
        <v>388579512</v>
      </c>
      <c r="E38" s="657">
        <v>0</v>
      </c>
      <c r="F38" s="641">
        <v>0</v>
      </c>
      <c r="G38" s="658">
        <v>0</v>
      </c>
      <c r="H38" s="647">
        <f t="shared" si="17"/>
        <v>680000000</v>
      </c>
      <c r="I38" s="649">
        <f t="shared" si="18"/>
        <v>678579512</v>
      </c>
      <c r="J38" s="652">
        <f t="shared" si="19"/>
        <v>388579512</v>
      </c>
    </row>
    <row r="39" spans="1:10" ht="38.25">
      <c r="A39" s="622" t="s">
        <v>682</v>
      </c>
      <c r="B39" s="624">
        <v>4075314677</v>
      </c>
      <c r="C39" s="641">
        <v>4075020768</v>
      </c>
      <c r="D39" s="655">
        <v>4075020768</v>
      </c>
      <c r="E39" s="657">
        <v>0</v>
      </c>
      <c r="F39" s="641">
        <v>0</v>
      </c>
      <c r="G39" s="658">
        <v>0</v>
      </c>
      <c r="H39" s="647">
        <f t="shared" si="17"/>
        <v>4075314677</v>
      </c>
      <c r="I39" s="649">
        <f t="shared" si="18"/>
        <v>4075020768</v>
      </c>
      <c r="J39" s="652">
        <f t="shared" si="19"/>
        <v>4075020768</v>
      </c>
    </row>
    <row r="40" spans="1:10" ht="38.25">
      <c r="A40" s="622" t="s">
        <v>683</v>
      </c>
      <c r="B40" s="624">
        <v>450802925</v>
      </c>
      <c r="C40" s="641">
        <v>352985682.59000003</v>
      </c>
      <c r="D40" s="655">
        <v>303485682.59000003</v>
      </c>
      <c r="E40" s="657">
        <v>0</v>
      </c>
      <c r="F40" s="641">
        <v>0</v>
      </c>
      <c r="G40" s="658">
        <v>0</v>
      </c>
      <c r="H40" s="647">
        <f t="shared" si="17"/>
        <v>450802925</v>
      </c>
      <c r="I40" s="649">
        <f t="shared" si="18"/>
        <v>352985682.59000003</v>
      </c>
      <c r="J40" s="652">
        <f t="shared" si="19"/>
        <v>303485682.59000003</v>
      </c>
    </row>
    <row r="41" spans="1:10" ht="38.25">
      <c r="A41" s="622" t="s">
        <v>684</v>
      </c>
      <c r="B41" s="624">
        <v>779199328.20000005</v>
      </c>
      <c r="C41" s="641">
        <v>779118697</v>
      </c>
      <c r="D41" s="655">
        <v>739884742</v>
      </c>
      <c r="E41" s="657">
        <v>0</v>
      </c>
      <c r="F41" s="641">
        <v>0</v>
      </c>
      <c r="G41" s="658">
        <v>0</v>
      </c>
      <c r="H41" s="647">
        <f t="shared" si="17"/>
        <v>779199328.20000005</v>
      </c>
      <c r="I41" s="649">
        <f t="shared" si="18"/>
        <v>779118697</v>
      </c>
      <c r="J41" s="652">
        <f t="shared" si="19"/>
        <v>739884742</v>
      </c>
    </row>
    <row r="42" spans="1:10" ht="38.25">
      <c r="A42" s="622" t="s">
        <v>685</v>
      </c>
      <c r="B42" s="624">
        <v>103741767</v>
      </c>
      <c r="C42" s="641">
        <v>95711282</v>
      </c>
      <c r="D42" s="655">
        <v>95711282</v>
      </c>
      <c r="E42" s="657">
        <v>0</v>
      </c>
      <c r="F42" s="641">
        <v>0</v>
      </c>
      <c r="G42" s="658">
        <v>0</v>
      </c>
      <c r="H42" s="647">
        <f t="shared" si="17"/>
        <v>103741767</v>
      </c>
      <c r="I42" s="649">
        <f t="shared" si="18"/>
        <v>95711282</v>
      </c>
      <c r="J42" s="652">
        <f t="shared" si="19"/>
        <v>95711282</v>
      </c>
    </row>
    <row r="43" spans="1:10" ht="38.25">
      <c r="A43" s="622" t="s">
        <v>742</v>
      </c>
      <c r="B43" s="624">
        <v>57000000</v>
      </c>
      <c r="C43" s="641">
        <v>56108509</v>
      </c>
      <c r="D43" s="655">
        <v>56108509</v>
      </c>
      <c r="E43" s="657">
        <v>0</v>
      </c>
      <c r="F43" s="641">
        <v>0</v>
      </c>
      <c r="G43" s="658">
        <v>0</v>
      </c>
      <c r="H43" s="647">
        <f t="shared" si="17"/>
        <v>57000000</v>
      </c>
      <c r="I43" s="649">
        <f t="shared" si="18"/>
        <v>56108509</v>
      </c>
      <c r="J43" s="652">
        <f t="shared" si="19"/>
        <v>56108509</v>
      </c>
    </row>
    <row r="44" spans="1:10" ht="38.25">
      <c r="A44" s="622" t="s">
        <v>686</v>
      </c>
      <c r="B44" s="624">
        <v>3493555969.5300002</v>
      </c>
      <c r="C44" s="641">
        <v>3428060667.5900002</v>
      </c>
      <c r="D44" s="655">
        <v>3117507777.5900002</v>
      </c>
      <c r="E44" s="657">
        <v>0</v>
      </c>
      <c r="F44" s="641">
        <v>0</v>
      </c>
      <c r="G44" s="658">
        <v>0</v>
      </c>
      <c r="H44" s="647">
        <f t="shared" si="17"/>
        <v>3493555969.5300002</v>
      </c>
      <c r="I44" s="649">
        <f t="shared" si="18"/>
        <v>3428060667.5900002</v>
      </c>
      <c r="J44" s="652">
        <f t="shared" si="19"/>
        <v>3117507777.5900002</v>
      </c>
    </row>
    <row r="45" spans="1:10" ht="38.25">
      <c r="A45" s="622" t="s">
        <v>687</v>
      </c>
      <c r="B45" s="624">
        <v>110000000</v>
      </c>
      <c r="C45" s="641">
        <v>107991000</v>
      </c>
      <c r="D45" s="655">
        <v>107991000</v>
      </c>
      <c r="E45" s="657">
        <v>0</v>
      </c>
      <c r="F45" s="641">
        <v>0</v>
      </c>
      <c r="G45" s="658">
        <v>0</v>
      </c>
      <c r="H45" s="647">
        <f t="shared" si="17"/>
        <v>110000000</v>
      </c>
      <c r="I45" s="649">
        <f t="shared" si="18"/>
        <v>107991000</v>
      </c>
      <c r="J45" s="652">
        <f t="shared" si="19"/>
        <v>107991000</v>
      </c>
    </row>
    <row r="46" spans="1:10" ht="38.25">
      <c r="A46" s="622" t="s">
        <v>688</v>
      </c>
      <c r="B46" s="624">
        <v>250000000</v>
      </c>
      <c r="C46" s="641">
        <v>223433922</v>
      </c>
      <c r="D46" s="655">
        <v>223433922</v>
      </c>
      <c r="E46" s="657">
        <v>0</v>
      </c>
      <c r="F46" s="641">
        <v>0</v>
      </c>
      <c r="G46" s="658">
        <v>0</v>
      </c>
      <c r="H46" s="647">
        <f t="shared" si="17"/>
        <v>250000000</v>
      </c>
      <c r="I46" s="649">
        <f t="shared" si="18"/>
        <v>223433922</v>
      </c>
      <c r="J46" s="652">
        <f t="shared" si="19"/>
        <v>223433922</v>
      </c>
    </row>
    <row r="47" spans="1:10" ht="38.25">
      <c r="A47" s="622" t="s">
        <v>689</v>
      </c>
      <c r="B47" s="624">
        <v>20000000</v>
      </c>
      <c r="C47" s="641">
        <v>0</v>
      </c>
      <c r="D47" s="655">
        <v>0</v>
      </c>
      <c r="E47" s="657">
        <v>0</v>
      </c>
      <c r="F47" s="641">
        <v>0</v>
      </c>
      <c r="G47" s="658">
        <v>0</v>
      </c>
      <c r="H47" s="647">
        <f t="shared" si="17"/>
        <v>20000000</v>
      </c>
      <c r="I47" s="649">
        <f t="shared" si="18"/>
        <v>0</v>
      </c>
      <c r="J47" s="652">
        <f t="shared" si="19"/>
        <v>0</v>
      </c>
    </row>
    <row r="48" spans="1:10" ht="38.25">
      <c r="A48" s="622" t="s">
        <v>690</v>
      </c>
      <c r="B48" s="624">
        <v>2160000000</v>
      </c>
      <c r="C48" s="641">
        <v>2129342906.5899999</v>
      </c>
      <c r="D48" s="655">
        <v>1991981596.5899999</v>
      </c>
      <c r="E48" s="657">
        <v>0</v>
      </c>
      <c r="F48" s="641">
        <v>0</v>
      </c>
      <c r="G48" s="658">
        <v>0</v>
      </c>
      <c r="H48" s="647">
        <f t="shared" si="17"/>
        <v>2160000000</v>
      </c>
      <c r="I48" s="649">
        <f t="shared" si="18"/>
        <v>2129342906.5899999</v>
      </c>
      <c r="J48" s="652">
        <f t="shared" si="19"/>
        <v>1991981596.5899999</v>
      </c>
    </row>
    <row r="49" spans="1:10" ht="38.25">
      <c r="A49" s="622" t="s">
        <v>743</v>
      </c>
      <c r="B49" s="624">
        <v>20000000</v>
      </c>
      <c r="C49" s="641">
        <v>14117969</v>
      </c>
      <c r="D49" s="655">
        <v>10157292</v>
      </c>
      <c r="E49" s="657">
        <v>0</v>
      </c>
      <c r="F49" s="641">
        <v>0</v>
      </c>
      <c r="G49" s="658">
        <v>0</v>
      </c>
      <c r="H49" s="647">
        <f t="shared" si="17"/>
        <v>20000000</v>
      </c>
      <c r="I49" s="649">
        <f t="shared" si="18"/>
        <v>14117969</v>
      </c>
      <c r="J49" s="652">
        <f t="shared" si="19"/>
        <v>10157292</v>
      </c>
    </row>
    <row r="50" spans="1:10" ht="25.5">
      <c r="A50" s="622" t="s">
        <v>691</v>
      </c>
      <c r="B50" s="624">
        <v>10000000</v>
      </c>
      <c r="C50" s="641">
        <v>1359000</v>
      </c>
      <c r="D50" s="655">
        <v>1359000</v>
      </c>
      <c r="E50" s="657">
        <v>0</v>
      </c>
      <c r="F50" s="641">
        <v>0</v>
      </c>
      <c r="G50" s="658">
        <v>0</v>
      </c>
      <c r="H50" s="647">
        <f t="shared" si="17"/>
        <v>10000000</v>
      </c>
      <c r="I50" s="649">
        <f t="shared" si="18"/>
        <v>1359000</v>
      </c>
      <c r="J50" s="652">
        <f t="shared" si="19"/>
        <v>1359000</v>
      </c>
    </row>
    <row r="51" spans="1:10" ht="38.25">
      <c r="A51" s="622" t="s">
        <v>692</v>
      </c>
      <c r="B51" s="624">
        <v>350000000</v>
      </c>
      <c r="C51" s="641">
        <v>349764800</v>
      </c>
      <c r="D51" s="655">
        <v>348378563</v>
      </c>
      <c r="E51" s="657">
        <v>0</v>
      </c>
      <c r="F51" s="641">
        <v>0</v>
      </c>
      <c r="G51" s="658">
        <v>0</v>
      </c>
      <c r="H51" s="647">
        <f t="shared" si="17"/>
        <v>350000000</v>
      </c>
      <c r="I51" s="649">
        <f t="shared" si="18"/>
        <v>349764800</v>
      </c>
      <c r="J51" s="652">
        <f t="shared" si="19"/>
        <v>348378563</v>
      </c>
    </row>
    <row r="52" spans="1:10" ht="38.25">
      <c r="A52" s="622" t="s">
        <v>693</v>
      </c>
      <c r="B52" s="624">
        <v>630000000</v>
      </c>
      <c r="C52" s="641">
        <v>540654823</v>
      </c>
      <c r="D52" s="655">
        <v>113907553</v>
      </c>
      <c r="E52" s="657">
        <v>0</v>
      </c>
      <c r="F52" s="641">
        <v>0</v>
      </c>
      <c r="G52" s="658">
        <v>0</v>
      </c>
      <c r="H52" s="647">
        <f t="shared" si="17"/>
        <v>630000000</v>
      </c>
      <c r="I52" s="649">
        <f t="shared" si="18"/>
        <v>540654823</v>
      </c>
      <c r="J52" s="652">
        <f t="shared" si="19"/>
        <v>113907553</v>
      </c>
    </row>
    <row r="53" spans="1:10" ht="51">
      <c r="A53" s="622" t="s">
        <v>694</v>
      </c>
      <c r="B53" s="624">
        <v>240000000</v>
      </c>
      <c r="C53" s="641">
        <v>239556983.22999999</v>
      </c>
      <c r="D53" s="655">
        <v>219590280.22999999</v>
      </c>
      <c r="E53" s="657">
        <v>0</v>
      </c>
      <c r="F53" s="641">
        <v>0</v>
      </c>
      <c r="G53" s="658">
        <v>0</v>
      </c>
      <c r="H53" s="647">
        <f t="shared" si="17"/>
        <v>240000000</v>
      </c>
      <c r="I53" s="649">
        <f t="shared" si="18"/>
        <v>239556983.22999999</v>
      </c>
      <c r="J53" s="652">
        <f t="shared" si="19"/>
        <v>219590280.22999999</v>
      </c>
    </row>
    <row r="54" spans="1:10" ht="38.25">
      <c r="A54" s="622" t="s">
        <v>695</v>
      </c>
      <c r="B54" s="624">
        <v>210000000</v>
      </c>
      <c r="C54" s="641">
        <v>109074444</v>
      </c>
      <c r="D54" s="655">
        <v>109074444</v>
      </c>
      <c r="E54" s="657">
        <v>0</v>
      </c>
      <c r="F54" s="641">
        <v>0</v>
      </c>
      <c r="G54" s="658">
        <v>0</v>
      </c>
      <c r="H54" s="647">
        <f t="shared" si="17"/>
        <v>210000000</v>
      </c>
      <c r="I54" s="649">
        <f t="shared" si="18"/>
        <v>109074444</v>
      </c>
      <c r="J54" s="652">
        <f t="shared" si="19"/>
        <v>109074444</v>
      </c>
    </row>
    <row r="55" spans="1:10" ht="25.5">
      <c r="A55" s="622" t="s">
        <v>696</v>
      </c>
      <c r="B55" s="624">
        <v>536000000</v>
      </c>
      <c r="C55" s="641">
        <v>438080595</v>
      </c>
      <c r="D55" s="655">
        <v>369378265</v>
      </c>
      <c r="E55" s="657">
        <v>0</v>
      </c>
      <c r="F55" s="641">
        <v>0</v>
      </c>
      <c r="G55" s="658">
        <v>0</v>
      </c>
      <c r="H55" s="647">
        <f t="shared" si="17"/>
        <v>536000000</v>
      </c>
      <c r="I55" s="649">
        <f t="shared" si="18"/>
        <v>438080595</v>
      </c>
      <c r="J55" s="652">
        <f t="shared" si="19"/>
        <v>369378265</v>
      </c>
    </row>
    <row r="56" spans="1:10" ht="38.25">
      <c r="A56" s="622" t="s">
        <v>697</v>
      </c>
      <c r="B56" s="624">
        <v>403000000</v>
      </c>
      <c r="C56" s="641">
        <v>349745241.21000004</v>
      </c>
      <c r="D56" s="655">
        <v>349745241.21000004</v>
      </c>
      <c r="E56" s="657">
        <v>0</v>
      </c>
      <c r="F56" s="641">
        <v>0</v>
      </c>
      <c r="G56" s="658">
        <v>0</v>
      </c>
      <c r="H56" s="647">
        <f t="shared" si="17"/>
        <v>403000000</v>
      </c>
      <c r="I56" s="649">
        <f t="shared" si="18"/>
        <v>349745241.21000004</v>
      </c>
      <c r="J56" s="652">
        <f t="shared" si="19"/>
        <v>349745241.21000004</v>
      </c>
    </row>
    <row r="57" spans="1:10" ht="25.5">
      <c r="A57" s="622" t="s">
        <v>698</v>
      </c>
      <c r="B57" s="624">
        <v>390258233</v>
      </c>
      <c r="C57" s="641">
        <v>345697959</v>
      </c>
      <c r="D57" s="655">
        <v>345197959</v>
      </c>
      <c r="E57" s="657">
        <v>0</v>
      </c>
      <c r="F57" s="641">
        <v>0</v>
      </c>
      <c r="G57" s="658">
        <v>0</v>
      </c>
      <c r="H57" s="647">
        <f t="shared" si="17"/>
        <v>390258233</v>
      </c>
      <c r="I57" s="649">
        <f t="shared" si="18"/>
        <v>345697959</v>
      </c>
      <c r="J57" s="652">
        <f t="shared" si="19"/>
        <v>345197959</v>
      </c>
    </row>
    <row r="58" spans="1:10" ht="38.25">
      <c r="A58" s="622" t="s">
        <v>744</v>
      </c>
      <c r="B58" s="624">
        <v>570800671.79999995</v>
      </c>
      <c r="C58" s="641">
        <v>570800671.79999995</v>
      </c>
      <c r="D58" s="655">
        <v>0</v>
      </c>
      <c r="E58" s="657">
        <v>0</v>
      </c>
      <c r="F58" s="641">
        <v>0</v>
      </c>
      <c r="G58" s="658">
        <v>0</v>
      </c>
      <c r="H58" s="647">
        <f t="shared" si="17"/>
        <v>570800671.79999995</v>
      </c>
      <c r="I58" s="649">
        <f t="shared" si="18"/>
        <v>570800671.79999995</v>
      </c>
      <c r="J58" s="652">
        <f t="shared" si="19"/>
        <v>0</v>
      </c>
    </row>
    <row r="59" spans="1:10" ht="38.25">
      <c r="A59" s="622" t="s">
        <v>745</v>
      </c>
      <c r="B59" s="624">
        <v>102114360</v>
      </c>
      <c r="C59" s="641">
        <v>102114360</v>
      </c>
      <c r="D59" s="655">
        <v>0</v>
      </c>
      <c r="E59" s="657">
        <v>0</v>
      </c>
      <c r="F59" s="641">
        <v>0</v>
      </c>
      <c r="G59" s="658">
        <v>0</v>
      </c>
      <c r="H59" s="647">
        <f t="shared" si="17"/>
        <v>102114360</v>
      </c>
      <c r="I59" s="649">
        <f t="shared" si="18"/>
        <v>102114360</v>
      </c>
      <c r="J59" s="652">
        <f t="shared" si="19"/>
        <v>0</v>
      </c>
    </row>
    <row r="60" spans="1:10" ht="38.25">
      <c r="A60" s="622" t="s">
        <v>746</v>
      </c>
      <c r="B60" s="624">
        <v>24800115</v>
      </c>
      <c r="C60" s="641">
        <v>24800115</v>
      </c>
      <c r="D60" s="655">
        <v>0</v>
      </c>
      <c r="E60" s="657">
        <v>0</v>
      </c>
      <c r="F60" s="641">
        <v>0</v>
      </c>
      <c r="G60" s="658">
        <v>0</v>
      </c>
      <c r="H60" s="647">
        <f t="shared" si="17"/>
        <v>24800115</v>
      </c>
      <c r="I60" s="649">
        <f t="shared" si="18"/>
        <v>24800115</v>
      </c>
      <c r="J60" s="652">
        <f t="shared" si="19"/>
        <v>0</v>
      </c>
    </row>
    <row r="61" spans="1:10" ht="25.5">
      <c r="A61" s="622" t="s">
        <v>747</v>
      </c>
      <c r="B61" s="624">
        <v>12082560</v>
      </c>
      <c r="C61" s="643">
        <v>12082560</v>
      </c>
      <c r="D61" s="655">
        <v>0</v>
      </c>
      <c r="E61" s="624">
        <v>0</v>
      </c>
      <c r="F61" s="642">
        <v>0</v>
      </c>
      <c r="G61" s="655">
        <v>0</v>
      </c>
      <c r="H61" s="647">
        <f t="shared" si="17"/>
        <v>12082560</v>
      </c>
      <c r="I61" s="645">
        <f>C61+F61</f>
        <v>12082560</v>
      </c>
      <c r="J61" s="652">
        <f t="shared" si="19"/>
        <v>0</v>
      </c>
    </row>
    <row r="62" spans="1:10" ht="38.25">
      <c r="A62" s="622" t="s">
        <v>748</v>
      </c>
      <c r="B62" s="624"/>
      <c r="C62" s="641"/>
      <c r="D62" s="655">
        <v>0</v>
      </c>
      <c r="E62" s="624">
        <v>9999842135</v>
      </c>
      <c r="F62" s="642">
        <v>9999578604</v>
      </c>
      <c r="G62" s="655">
        <v>0</v>
      </c>
      <c r="H62" s="644">
        <f>B62+E62</f>
        <v>9999842135</v>
      </c>
      <c r="I62" s="645">
        <f>C62+F62</f>
        <v>9999578604</v>
      </c>
      <c r="J62" s="652">
        <f t="shared" si="19"/>
        <v>0</v>
      </c>
    </row>
    <row r="63" spans="1:10" ht="38.25">
      <c r="A63" s="622" t="s">
        <v>749</v>
      </c>
      <c r="B63" s="624"/>
      <c r="C63" s="641"/>
      <c r="D63" s="655">
        <v>0</v>
      </c>
      <c r="E63" s="624">
        <v>4995451401</v>
      </c>
      <c r="F63" s="642">
        <v>4995131634.5900002</v>
      </c>
      <c r="G63" s="655">
        <v>0</v>
      </c>
      <c r="H63" s="644">
        <f t="shared" ref="H63:H65" si="20">B63+E63</f>
        <v>4995451401</v>
      </c>
      <c r="I63" s="645">
        <f t="shared" ref="I63:I66" si="21">C63+F63</f>
        <v>4995131634.5900002</v>
      </c>
      <c r="J63" s="652">
        <f t="shared" si="19"/>
        <v>0</v>
      </c>
    </row>
    <row r="64" spans="1:10" ht="51">
      <c r="A64" s="622" t="s">
        <v>750</v>
      </c>
      <c r="B64" s="624"/>
      <c r="C64" s="641"/>
      <c r="D64" s="655">
        <v>0</v>
      </c>
      <c r="E64" s="624">
        <v>5237806308</v>
      </c>
      <c r="F64" s="642">
        <v>5237147816.3800001</v>
      </c>
      <c r="G64" s="655">
        <v>0</v>
      </c>
      <c r="H64" s="644">
        <f t="shared" si="20"/>
        <v>5237806308</v>
      </c>
      <c r="I64" s="645">
        <f t="shared" si="21"/>
        <v>5237147816.3800001</v>
      </c>
      <c r="J64" s="652">
        <f t="shared" si="19"/>
        <v>0</v>
      </c>
    </row>
    <row r="65" spans="1:10" ht="51">
      <c r="A65" s="622" t="s">
        <v>765</v>
      </c>
      <c r="B65" s="624"/>
      <c r="C65" s="641"/>
      <c r="D65" s="655">
        <v>0</v>
      </c>
      <c r="E65" s="624">
        <v>14639954559</v>
      </c>
      <c r="F65" s="642">
        <v>14606712828</v>
      </c>
      <c r="G65" s="655">
        <v>0</v>
      </c>
      <c r="H65" s="644">
        <f t="shared" si="20"/>
        <v>14639954559</v>
      </c>
      <c r="I65" s="645">
        <f t="shared" si="21"/>
        <v>14606712828</v>
      </c>
      <c r="J65" s="652">
        <f t="shared" si="19"/>
        <v>0</v>
      </c>
    </row>
    <row r="66" spans="1:10" ht="39" thickBot="1">
      <c r="A66" s="622" t="s">
        <v>751</v>
      </c>
      <c r="B66" s="624">
        <v>384791300</v>
      </c>
      <c r="C66" s="624">
        <v>384791300</v>
      </c>
      <c r="D66" s="655">
        <v>0</v>
      </c>
      <c r="E66" s="624">
        <v>0</v>
      </c>
      <c r="F66" s="642">
        <v>0</v>
      </c>
      <c r="G66" s="655">
        <v>0</v>
      </c>
      <c r="H66" s="644">
        <f>B66+E66</f>
        <v>384791300</v>
      </c>
      <c r="I66" s="645">
        <f t="shared" si="21"/>
        <v>384791300</v>
      </c>
      <c r="J66" s="653">
        <f t="shared" si="19"/>
        <v>0</v>
      </c>
    </row>
    <row r="67" spans="1:10" ht="15.75" thickBot="1">
      <c r="A67" s="597" t="s">
        <v>15</v>
      </c>
      <c r="B67" s="625">
        <v>0</v>
      </c>
      <c r="C67" s="630">
        <v>0</v>
      </c>
      <c r="D67" s="631">
        <v>0</v>
      </c>
      <c r="E67" s="625">
        <v>0</v>
      </c>
      <c r="F67" s="630">
        <v>0</v>
      </c>
      <c r="G67" s="631">
        <v>0</v>
      </c>
      <c r="H67" s="625">
        <f t="shared" ref="H67:J67" si="22">+B67+E67</f>
        <v>0</v>
      </c>
      <c r="I67" s="630">
        <f t="shared" si="22"/>
        <v>0</v>
      </c>
      <c r="J67" s="663">
        <f t="shared" si="22"/>
        <v>0</v>
      </c>
    </row>
    <row r="68" spans="1:10" ht="15.75" thickBot="1">
      <c r="A68" s="597" t="s">
        <v>16</v>
      </c>
      <c r="B68" s="625">
        <f t="shared" ref="B68:J68" si="23">+B24+B26+B67</f>
        <v>24605314677.000004</v>
      </c>
      <c r="C68" s="630">
        <f t="shared" si="23"/>
        <v>23606697239.209999</v>
      </c>
      <c r="D68" s="631">
        <f t="shared" si="23"/>
        <v>19557225575.889999</v>
      </c>
      <c r="E68" s="625">
        <f t="shared" si="23"/>
        <v>37529165403</v>
      </c>
      <c r="F68" s="630">
        <f t="shared" si="23"/>
        <v>37487768532.970001</v>
      </c>
      <c r="G68" s="631">
        <f t="shared" si="23"/>
        <v>2649197650</v>
      </c>
      <c r="H68" s="625">
        <f t="shared" si="23"/>
        <v>62134480080</v>
      </c>
      <c r="I68" s="630">
        <f t="shared" si="23"/>
        <v>61094465772.18</v>
      </c>
      <c r="J68" s="631">
        <f t="shared" si="23"/>
        <v>22206423225.889999</v>
      </c>
    </row>
    <row r="69" spans="1:10">
      <c r="A69" s="1108" t="s">
        <v>763</v>
      </c>
      <c r="B69" s="1108"/>
      <c r="C69" s="1108"/>
      <c r="D69" s="1108"/>
      <c r="E69" s="1108"/>
      <c r="F69" s="1108"/>
      <c r="G69" s="1108"/>
      <c r="H69" s="1108"/>
      <c r="I69" s="1108"/>
      <c r="J69" s="1108"/>
    </row>
    <row r="70" spans="1:10">
      <c r="H70" s="672">
        <f>SUM(H27:H57)</f>
        <v>19406899670.200005</v>
      </c>
      <c r="I70" s="672">
        <f>SUM(I27:I57)</f>
        <v>18487674063.68</v>
      </c>
    </row>
    <row r="71" spans="1:10">
      <c r="I71">
        <f>I70/H70</f>
        <v>0.95263408261281901</v>
      </c>
    </row>
  </sheetData>
  <mergeCells count="9">
    <mergeCell ref="A69:J69"/>
    <mergeCell ref="A1:I1"/>
    <mergeCell ref="A2:J2"/>
    <mergeCell ref="A3:J3"/>
    <mergeCell ref="B4:J4"/>
    <mergeCell ref="A5:A6"/>
    <mergeCell ref="B5:D5"/>
    <mergeCell ref="E5:G5"/>
    <mergeCell ref="H5:J5"/>
  </mergeCells>
  <pageMargins left="0.7" right="0.7" top="0.75" bottom="0.75" header="0.3" footer="0.3"/>
  <pageSetup paperSize="9" orientation="portrait" horizontalDpi="0" verticalDpi="0" r:id="rId1"/>
  <ignoredErrors>
    <ignoredError sqref="D8:E8 D12:E12 H17:J17" formula="1"/>
    <ignoredError sqref="B26:G26"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5"/>
  <sheetViews>
    <sheetView workbookViewId="0">
      <selection activeCell="O35" sqref="O35"/>
    </sheetView>
  </sheetViews>
  <sheetFormatPr baseColWidth="10" defaultRowHeight="15"/>
  <cols>
    <col min="1" max="1" width="13.7109375" customWidth="1"/>
  </cols>
  <sheetData>
    <row r="3" spans="1:2">
      <c r="A3" t="s">
        <v>774</v>
      </c>
      <c r="B3" s="670">
        <v>0.97899999999999998</v>
      </c>
    </row>
    <row r="4" spans="1:2">
      <c r="A4" t="s">
        <v>775</v>
      </c>
      <c r="B4" s="671">
        <v>0.95</v>
      </c>
    </row>
    <row r="5" spans="1:2">
      <c r="A5" t="s">
        <v>776</v>
      </c>
      <c r="B5" s="671">
        <f>SUM(B3*B3/B4)</f>
        <v>1.0088852631578948</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13"/>
  <sheetViews>
    <sheetView topLeftCell="A25" zoomScaleNormal="100" workbookViewId="0">
      <selection activeCell="E42" sqref="E42"/>
    </sheetView>
  </sheetViews>
  <sheetFormatPr baseColWidth="10" defaultRowHeight="15"/>
  <cols>
    <col min="1" max="1" width="17.5703125" customWidth="1"/>
    <col min="2" max="2" width="11.42578125" customWidth="1"/>
  </cols>
  <sheetData>
    <row r="2" spans="1:3" ht="15.75" thickBot="1"/>
    <row r="3" spans="1:3" ht="18.75" thickBot="1">
      <c r="A3" s="512" t="s">
        <v>699</v>
      </c>
      <c r="B3" s="562">
        <v>0.8</v>
      </c>
      <c r="C3" s="562">
        <v>0.98</v>
      </c>
    </row>
    <row r="4" spans="1:3" ht="18.75" thickBot="1">
      <c r="A4" s="513" t="s">
        <v>700</v>
      </c>
      <c r="B4" s="562">
        <v>0.2</v>
      </c>
      <c r="C4" s="562">
        <v>1</v>
      </c>
    </row>
    <row r="5" spans="1:3" ht="18.75" thickBot="1">
      <c r="A5" s="513" t="s">
        <v>701</v>
      </c>
      <c r="B5" s="562">
        <v>0.7</v>
      </c>
      <c r="C5" s="562">
        <v>1</v>
      </c>
    </row>
    <row r="6" spans="1:3" ht="18.75" thickBot="1">
      <c r="A6" s="513" t="s">
        <v>702</v>
      </c>
      <c r="B6" s="562">
        <v>1</v>
      </c>
      <c r="C6" s="562">
        <v>0</v>
      </c>
    </row>
    <row r="7" spans="1:3" ht="18.75" thickBot="1">
      <c r="A7" s="513" t="s">
        <v>703</v>
      </c>
      <c r="B7" s="563">
        <v>0.93300000000000005</v>
      </c>
      <c r="C7" s="562">
        <v>0.99</v>
      </c>
    </row>
    <row r="8" spans="1:3" ht="18.75" thickBot="1">
      <c r="A8" s="513" t="s">
        <v>704</v>
      </c>
      <c r="B8" s="562">
        <v>1</v>
      </c>
      <c r="C8" s="564" t="s">
        <v>729</v>
      </c>
    </row>
    <row r="9" spans="1:3" ht="18.75" thickBot="1">
      <c r="A9" s="513" t="s">
        <v>705</v>
      </c>
      <c r="B9" s="562">
        <v>1</v>
      </c>
      <c r="C9" s="562">
        <v>0.9</v>
      </c>
    </row>
    <row r="22" spans="1:3" ht="15.75" thickBot="1"/>
    <row r="23" spans="1:3" ht="15.75" thickBot="1">
      <c r="A23" s="514" t="s">
        <v>706</v>
      </c>
      <c r="B23" s="515">
        <v>1</v>
      </c>
      <c r="C23" s="515">
        <v>0.15</v>
      </c>
    </row>
    <row r="24" spans="1:3" ht="15.75" thickBot="1">
      <c r="A24" s="516" t="s">
        <v>707</v>
      </c>
      <c r="B24" s="517">
        <v>1</v>
      </c>
      <c r="C24" s="518">
        <v>0.98</v>
      </c>
    </row>
    <row r="34" spans="1:3" ht="15.75" thickBot="1"/>
    <row r="35" spans="1:3" ht="15.75" thickBot="1">
      <c r="A35" s="522" t="s">
        <v>710</v>
      </c>
      <c r="B35" s="524">
        <v>0.96</v>
      </c>
      <c r="C35" s="524">
        <v>0.94</v>
      </c>
    </row>
    <row r="36" spans="1:3" ht="15.75" thickBot="1">
      <c r="A36" s="523" t="s">
        <v>711</v>
      </c>
      <c r="B36" s="525">
        <v>1</v>
      </c>
      <c r="C36" s="525">
        <v>0.62</v>
      </c>
    </row>
    <row r="37" spans="1:3" ht="15.75" thickBot="1">
      <c r="A37" s="520"/>
      <c r="B37" s="517"/>
      <c r="C37" s="518"/>
    </row>
    <row r="38" spans="1:3" ht="15.75" thickBot="1">
      <c r="A38" s="516"/>
      <c r="B38" s="517"/>
      <c r="C38" s="518"/>
    </row>
    <row r="49" spans="1:11" ht="15.75" thickBot="1"/>
    <row r="50" spans="1:11" ht="15.75" thickBot="1">
      <c r="A50" s="519" t="s">
        <v>708</v>
      </c>
      <c r="B50" s="521">
        <v>0.86399999999999999</v>
      </c>
      <c r="C50" s="515">
        <v>0.91</v>
      </c>
    </row>
    <row r="51" spans="1:11" ht="15.75" thickBot="1">
      <c r="A51" s="520" t="s">
        <v>709</v>
      </c>
      <c r="B51" s="517">
        <v>7.4999999999999997E-2</v>
      </c>
      <c r="C51" s="518">
        <v>0</v>
      </c>
    </row>
    <row r="55" spans="1:11" ht="15.75" thickBot="1"/>
    <row r="56" spans="1:11" ht="15.75" thickBot="1">
      <c r="B56" s="1129" t="s">
        <v>712</v>
      </c>
      <c r="C56" s="1131" t="s">
        <v>713</v>
      </c>
      <c r="D56" s="1123"/>
      <c r="E56" s="1124"/>
      <c r="F56" s="1123"/>
      <c r="G56" s="1124"/>
    </row>
    <row r="57" spans="1:11" ht="51" thickTop="1" thickBot="1">
      <c r="B57" s="1130"/>
      <c r="C57" s="1132"/>
      <c r="D57" s="535" t="s">
        <v>714</v>
      </c>
      <c r="E57" s="536" t="s">
        <v>715</v>
      </c>
      <c r="F57" s="536" t="s">
        <v>716</v>
      </c>
      <c r="G57" s="536" t="s">
        <v>715</v>
      </c>
      <c r="K57" s="537"/>
    </row>
    <row r="58" spans="1:11" ht="21" thickTop="1" thickBot="1">
      <c r="B58" s="526" t="s">
        <v>728</v>
      </c>
      <c r="C58" s="527">
        <v>30</v>
      </c>
      <c r="D58" s="528"/>
      <c r="E58" s="528"/>
      <c r="F58" s="528"/>
      <c r="G58" s="528"/>
      <c r="K58" s="538"/>
    </row>
    <row r="59" spans="1:11" ht="78.75" thickBot="1">
      <c r="B59" s="529" t="s">
        <v>717</v>
      </c>
      <c r="C59" s="530">
        <v>30</v>
      </c>
      <c r="D59" s="530"/>
      <c r="E59" s="530"/>
      <c r="F59" s="530"/>
      <c r="G59" s="530"/>
      <c r="K59" s="538"/>
    </row>
    <row r="60" spans="1:11" ht="39.75" thickBot="1">
      <c r="B60" s="531" t="s">
        <v>718</v>
      </c>
      <c r="C60" s="528">
        <v>5</v>
      </c>
      <c r="D60" s="528"/>
      <c r="E60" s="528"/>
      <c r="F60" s="528"/>
      <c r="G60" s="528"/>
      <c r="K60" s="538"/>
    </row>
    <row r="61" spans="1:11" ht="59.25" thickBot="1">
      <c r="B61" s="529" t="s">
        <v>719</v>
      </c>
      <c r="C61" s="530">
        <v>5</v>
      </c>
      <c r="D61" s="530"/>
      <c r="E61" s="530"/>
      <c r="F61" s="530"/>
      <c r="G61" s="530"/>
      <c r="K61" s="538"/>
    </row>
    <row r="62" spans="1:11" ht="98.25" thickBot="1">
      <c r="B62" s="531" t="s">
        <v>720</v>
      </c>
      <c r="C62" s="528">
        <v>5</v>
      </c>
      <c r="D62" s="528"/>
      <c r="E62" s="528"/>
      <c r="F62" s="528"/>
      <c r="G62" s="528"/>
      <c r="K62" s="538"/>
    </row>
    <row r="63" spans="1:11" ht="137.25" thickBot="1">
      <c r="B63" s="529" t="s">
        <v>721</v>
      </c>
      <c r="C63" s="530">
        <v>5</v>
      </c>
      <c r="D63" s="530"/>
      <c r="E63" s="530"/>
      <c r="F63" s="530"/>
      <c r="G63" s="530"/>
      <c r="K63" s="538"/>
    </row>
    <row r="64" spans="1:11" ht="137.25" thickBot="1">
      <c r="B64" s="531" t="s">
        <v>722</v>
      </c>
      <c r="C64" s="528">
        <v>5</v>
      </c>
      <c r="D64" s="528"/>
      <c r="E64" s="528"/>
      <c r="F64" s="528"/>
      <c r="G64" s="528"/>
      <c r="K64" s="538"/>
    </row>
    <row r="65" spans="2:11" ht="137.25" thickBot="1">
      <c r="B65" s="529" t="s">
        <v>723</v>
      </c>
      <c r="C65" s="530">
        <v>5</v>
      </c>
      <c r="D65" s="530"/>
      <c r="E65" s="530"/>
      <c r="F65" s="530"/>
      <c r="G65" s="530"/>
      <c r="K65" s="538"/>
    </row>
    <row r="66" spans="2:11" ht="98.25" thickBot="1">
      <c r="B66" s="531" t="s">
        <v>724</v>
      </c>
      <c r="C66" s="528">
        <v>4</v>
      </c>
      <c r="D66" s="528"/>
      <c r="E66" s="528"/>
      <c r="F66" s="528"/>
      <c r="G66" s="528"/>
      <c r="K66" s="538"/>
    </row>
    <row r="67" spans="2:11" ht="78.75" thickBot="1">
      <c r="B67" s="529" t="s">
        <v>725</v>
      </c>
      <c r="C67" s="530">
        <v>3</v>
      </c>
      <c r="D67" s="530"/>
      <c r="E67" s="530"/>
      <c r="F67" s="530"/>
      <c r="G67" s="530"/>
      <c r="K67" s="538"/>
    </row>
    <row r="68" spans="2:11" ht="78.75" thickBot="1">
      <c r="B68" s="531" t="s">
        <v>726</v>
      </c>
      <c r="C68" s="528">
        <v>3</v>
      </c>
      <c r="D68" s="528"/>
      <c r="E68" s="528"/>
      <c r="F68" s="528"/>
      <c r="G68" s="528"/>
    </row>
    <row r="69" spans="2:11" ht="20.25" thickBot="1">
      <c r="B69" s="532" t="s">
        <v>727</v>
      </c>
      <c r="C69" s="533"/>
      <c r="D69" s="533"/>
      <c r="E69" s="533"/>
      <c r="F69" s="534"/>
      <c r="G69" s="534"/>
    </row>
    <row r="82" spans="1:3" ht="15.75" thickBot="1"/>
    <row r="83" spans="1:3" ht="63.75" thickBot="1">
      <c r="A83" s="573" t="s">
        <v>730</v>
      </c>
      <c r="B83" s="565" t="s">
        <v>731</v>
      </c>
      <c r="C83" s="565" t="s">
        <v>732</v>
      </c>
    </row>
    <row r="84" spans="1:3" ht="21.75" thickBot="1">
      <c r="A84" s="566" t="s">
        <v>733</v>
      </c>
      <c r="B84" s="567">
        <v>1</v>
      </c>
      <c r="C84" s="567">
        <v>0.33</v>
      </c>
    </row>
    <row r="85" spans="1:3" ht="21.75" thickBot="1">
      <c r="A85" s="568" t="s">
        <v>734</v>
      </c>
      <c r="B85" s="569">
        <v>0.98599999999999999</v>
      </c>
      <c r="C85" s="570">
        <v>0.87</v>
      </c>
    </row>
    <row r="86" spans="1:3" ht="21.75" thickBot="1">
      <c r="A86" s="571" t="s">
        <v>735</v>
      </c>
      <c r="B86" s="572">
        <v>0.68700000000000006</v>
      </c>
      <c r="C86" s="567">
        <v>0.89</v>
      </c>
    </row>
    <row r="87" spans="1:3" ht="21.75" thickBot="1">
      <c r="A87" s="568" t="s">
        <v>736</v>
      </c>
      <c r="B87" s="570">
        <v>1</v>
      </c>
      <c r="C87" s="570">
        <v>1</v>
      </c>
    </row>
    <row r="94" spans="1:3" ht="15.75" thickBot="1"/>
    <row r="95" spans="1:3" ht="24" thickBot="1">
      <c r="B95" s="1127"/>
      <c r="C95" s="1128"/>
    </row>
    <row r="96" spans="1:3" ht="63.75" thickBot="1">
      <c r="A96" s="580" t="s">
        <v>730</v>
      </c>
      <c r="B96" s="574" t="s">
        <v>738</v>
      </c>
      <c r="C96" s="574" t="s">
        <v>739</v>
      </c>
    </row>
    <row r="97" spans="1:3" ht="21.75" thickBot="1">
      <c r="A97" s="575" t="s">
        <v>708</v>
      </c>
      <c r="B97" s="576">
        <v>0.77800000000000002</v>
      </c>
      <c r="C97" s="577">
        <v>0.79</v>
      </c>
    </row>
    <row r="98" spans="1:3" ht="21.75" thickBot="1">
      <c r="A98" s="578" t="s">
        <v>737</v>
      </c>
      <c r="B98" s="579">
        <v>1</v>
      </c>
      <c r="C98" s="579">
        <v>0.33</v>
      </c>
    </row>
    <row r="109" spans="1:3" ht="15.75" thickBot="1"/>
    <row r="110" spans="1:3" ht="21.75" thickBot="1">
      <c r="B110" s="1125" t="s">
        <v>643</v>
      </c>
      <c r="C110" s="1126"/>
    </row>
    <row r="111" spans="1:3" ht="63.75" thickBot="1">
      <c r="A111" s="588" t="s">
        <v>730</v>
      </c>
      <c r="B111" s="581" t="s">
        <v>738</v>
      </c>
      <c r="C111" s="581" t="s">
        <v>739</v>
      </c>
    </row>
    <row r="112" spans="1:3" ht="21.75" thickBot="1">
      <c r="A112" s="582" t="s">
        <v>740</v>
      </c>
      <c r="B112" s="583">
        <v>0.86799999999999999</v>
      </c>
      <c r="C112" s="584">
        <v>0.7</v>
      </c>
    </row>
    <row r="113" spans="1:3" ht="21.75" thickBot="1">
      <c r="A113" s="585" t="s">
        <v>741</v>
      </c>
      <c r="B113" s="586">
        <v>0.94399999999999995</v>
      </c>
      <c r="C113" s="587">
        <v>0.98</v>
      </c>
    </row>
  </sheetData>
  <mergeCells count="6">
    <mergeCell ref="F56:G56"/>
    <mergeCell ref="B110:C110"/>
    <mergeCell ref="B95:C95"/>
    <mergeCell ref="B56:B57"/>
    <mergeCell ref="C56:C57"/>
    <mergeCell ref="D56:E56"/>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H32"/>
  <sheetViews>
    <sheetView topLeftCell="A4" workbookViewId="0">
      <selection activeCell="B33" sqref="B33"/>
    </sheetView>
  </sheetViews>
  <sheetFormatPr baseColWidth="10" defaultRowHeight="15"/>
  <cols>
    <col min="1" max="1" width="14.42578125" style="28" bestFit="1" customWidth="1"/>
    <col min="2" max="2" width="16.42578125" style="77" bestFit="1" customWidth="1"/>
    <col min="3" max="3" width="16.85546875" style="77" customWidth="1"/>
    <col min="4" max="4" width="8.140625" customWidth="1"/>
    <col min="5" max="5" width="16.42578125" bestFit="1" customWidth="1"/>
    <col min="6" max="6" width="9.140625" customWidth="1"/>
    <col min="7" max="7" width="17.140625" bestFit="1" customWidth="1"/>
    <col min="8" max="8" width="16.42578125" bestFit="1" customWidth="1"/>
  </cols>
  <sheetData>
    <row r="2" spans="1:8" ht="15" customHeight="1">
      <c r="A2" s="1133" t="s">
        <v>322</v>
      </c>
      <c r="B2" s="1133"/>
      <c r="C2" s="1133"/>
      <c r="D2" s="1133"/>
      <c r="E2" s="1133"/>
      <c r="F2" s="1133"/>
      <c r="G2" s="1133"/>
      <c r="H2" s="1133"/>
    </row>
    <row r="3" spans="1:8">
      <c r="A3" s="1133" t="s">
        <v>458</v>
      </c>
      <c r="B3" s="1133"/>
      <c r="C3" s="1133"/>
      <c r="D3" s="1133"/>
      <c r="E3" s="1133"/>
      <c r="F3" s="1133"/>
      <c r="G3" s="1133"/>
      <c r="H3" s="1133"/>
    </row>
    <row r="4" spans="1:8">
      <c r="A4" s="1133" t="s">
        <v>323</v>
      </c>
      <c r="B4" s="1133"/>
      <c r="C4" s="1133"/>
      <c r="D4" s="1133"/>
      <c r="E4" s="1133"/>
      <c r="F4" s="1133"/>
      <c r="G4" s="1133"/>
      <c r="H4" s="1133"/>
    </row>
    <row r="5" spans="1:8" ht="15.75" customHeight="1">
      <c r="A5" s="1133" t="s">
        <v>457</v>
      </c>
      <c r="B5" s="1133"/>
      <c r="C5" s="1133"/>
      <c r="D5" s="1133"/>
      <c r="E5" s="1133"/>
      <c r="F5" s="1133"/>
      <c r="G5" s="1133"/>
      <c r="H5" s="1133"/>
    </row>
    <row r="6" spans="1:8" ht="31.5" customHeight="1">
      <c r="A6" s="274" t="s">
        <v>0</v>
      </c>
      <c r="B6" s="275" t="s">
        <v>484</v>
      </c>
      <c r="C6" s="275" t="s">
        <v>324</v>
      </c>
      <c r="D6" s="276" t="s">
        <v>325</v>
      </c>
      <c r="E6" s="275" t="s">
        <v>459</v>
      </c>
      <c r="F6" s="275" t="s">
        <v>460</v>
      </c>
      <c r="G6" s="275" t="s">
        <v>461</v>
      </c>
      <c r="H6" s="275" t="s">
        <v>462</v>
      </c>
    </row>
    <row r="7" spans="1:8">
      <c r="A7" s="269" t="s">
        <v>463</v>
      </c>
      <c r="B7" s="277">
        <v>570939753.89999998</v>
      </c>
      <c r="C7" s="270">
        <v>0</v>
      </c>
      <c r="D7" s="278">
        <f>C7/B7*100</f>
        <v>0</v>
      </c>
      <c r="E7" s="224">
        <f>B7-C7</f>
        <v>570939753.89999998</v>
      </c>
      <c r="F7" s="76">
        <f t="shared" ref="F7:F27" si="0">E7/B7*100</f>
        <v>100</v>
      </c>
      <c r="G7" s="224">
        <v>0</v>
      </c>
      <c r="H7" s="224">
        <f>C7-G7</f>
        <v>0</v>
      </c>
    </row>
    <row r="8" spans="1:8" s="77" customFormat="1">
      <c r="A8" s="273" t="s">
        <v>464</v>
      </c>
      <c r="B8" s="271">
        <v>200000000</v>
      </c>
      <c r="C8" s="271">
        <v>0</v>
      </c>
      <c r="D8" s="278">
        <f t="shared" ref="D8:D27" si="1">C8/B8*100</f>
        <v>0</v>
      </c>
      <c r="E8" s="224">
        <f t="shared" ref="E8:E28" si="2">B8-C8</f>
        <v>200000000</v>
      </c>
      <c r="F8" s="76">
        <f t="shared" si="0"/>
        <v>100</v>
      </c>
      <c r="G8" s="224">
        <v>0</v>
      </c>
      <c r="H8" s="224">
        <f t="shared" ref="H8:H27" si="3">C8-G8</f>
        <v>0</v>
      </c>
    </row>
    <row r="9" spans="1:8" s="77" customFormat="1">
      <c r="A9" s="273" t="s">
        <v>465</v>
      </c>
      <c r="B9" s="271">
        <v>90777500</v>
      </c>
      <c r="C9" s="271">
        <v>0</v>
      </c>
      <c r="D9" s="278">
        <f t="shared" si="1"/>
        <v>0</v>
      </c>
      <c r="E9" s="224">
        <f t="shared" si="2"/>
        <v>90777500</v>
      </c>
      <c r="F9" s="76">
        <f t="shared" si="0"/>
        <v>100</v>
      </c>
      <c r="G9" s="224">
        <v>0</v>
      </c>
      <c r="H9" s="224">
        <f t="shared" si="3"/>
        <v>0</v>
      </c>
    </row>
    <row r="10" spans="1:8" s="77" customFormat="1">
      <c r="A10" s="273" t="s">
        <v>466</v>
      </c>
      <c r="B10" s="271">
        <v>200000000</v>
      </c>
      <c r="C10" s="271">
        <v>0</v>
      </c>
      <c r="D10" s="278">
        <f t="shared" si="1"/>
        <v>0</v>
      </c>
      <c r="E10" s="224">
        <f t="shared" si="2"/>
        <v>200000000</v>
      </c>
      <c r="F10" s="76">
        <f t="shared" si="0"/>
        <v>100</v>
      </c>
      <c r="G10" s="224">
        <v>0</v>
      </c>
      <c r="H10" s="224">
        <f t="shared" si="3"/>
        <v>0</v>
      </c>
    </row>
    <row r="11" spans="1:8" s="77" customFormat="1">
      <c r="A11" s="273" t="s">
        <v>467</v>
      </c>
      <c r="B11" s="271">
        <v>1204609908.3</v>
      </c>
      <c r="C11" s="271">
        <v>115912239</v>
      </c>
      <c r="D11" s="278">
        <f t="shared" si="1"/>
        <v>9.6223879781613793</v>
      </c>
      <c r="E11" s="224">
        <f t="shared" si="2"/>
        <v>1088697669.3</v>
      </c>
      <c r="F11" s="76">
        <f t="shared" si="0"/>
        <v>90.37761202183863</v>
      </c>
      <c r="G11" s="224">
        <v>57956119.5</v>
      </c>
      <c r="H11" s="224">
        <f t="shared" si="3"/>
        <v>57956119.5</v>
      </c>
    </row>
    <row r="12" spans="1:8" s="77" customFormat="1">
      <c r="A12" s="273" t="s">
        <v>468</v>
      </c>
      <c r="B12" s="271">
        <v>30000000</v>
      </c>
      <c r="C12" s="271">
        <v>0</v>
      </c>
      <c r="D12" s="278">
        <f t="shared" si="1"/>
        <v>0</v>
      </c>
      <c r="E12" s="224">
        <f t="shared" si="2"/>
        <v>30000000</v>
      </c>
      <c r="F12" s="76">
        <f t="shared" si="0"/>
        <v>100</v>
      </c>
      <c r="G12" s="224">
        <v>0</v>
      </c>
      <c r="H12" s="224">
        <f t="shared" si="3"/>
        <v>0</v>
      </c>
    </row>
    <row r="13" spans="1:8" s="77" customFormat="1">
      <c r="A13" s="273" t="s">
        <v>469</v>
      </c>
      <c r="B13" s="271">
        <v>198731909.28999999</v>
      </c>
      <c r="C13" s="271">
        <v>198731909.28999999</v>
      </c>
      <c r="D13" s="278">
        <f t="shared" si="1"/>
        <v>100</v>
      </c>
      <c r="E13" s="224">
        <f t="shared" si="2"/>
        <v>0</v>
      </c>
      <c r="F13" s="76">
        <f t="shared" si="0"/>
        <v>0</v>
      </c>
      <c r="G13" s="224">
        <v>106602560</v>
      </c>
      <c r="H13" s="224">
        <f t="shared" si="3"/>
        <v>92129349.289999992</v>
      </c>
    </row>
    <row r="14" spans="1:8" s="77" customFormat="1">
      <c r="A14" s="273" t="s">
        <v>470</v>
      </c>
      <c r="B14" s="271">
        <v>471670000</v>
      </c>
      <c r="C14" s="271">
        <v>0</v>
      </c>
      <c r="D14" s="278">
        <f t="shared" si="1"/>
        <v>0</v>
      </c>
      <c r="E14" s="224">
        <f t="shared" si="2"/>
        <v>471670000</v>
      </c>
      <c r="F14" s="76">
        <f t="shared" si="0"/>
        <v>100</v>
      </c>
      <c r="G14" s="224">
        <v>0</v>
      </c>
      <c r="H14" s="224">
        <f t="shared" si="3"/>
        <v>0</v>
      </c>
    </row>
    <row r="15" spans="1:8" s="77" customFormat="1">
      <c r="A15" s="273" t="s">
        <v>471</v>
      </c>
      <c r="B15" s="271">
        <v>12822184589.41</v>
      </c>
      <c r="C15" s="271">
        <v>0</v>
      </c>
      <c r="D15" s="278">
        <f t="shared" si="1"/>
        <v>0</v>
      </c>
      <c r="E15" s="224">
        <f t="shared" si="2"/>
        <v>12822184589.41</v>
      </c>
      <c r="F15" s="76">
        <f t="shared" si="0"/>
        <v>100</v>
      </c>
      <c r="G15" s="224">
        <v>0</v>
      </c>
      <c r="H15" s="224">
        <f t="shared" si="3"/>
        <v>0</v>
      </c>
    </row>
    <row r="16" spans="1:8" s="77" customFormat="1">
      <c r="A16" s="273" t="s">
        <v>472</v>
      </c>
      <c r="B16" s="271">
        <v>483200000</v>
      </c>
      <c r="C16" s="271">
        <v>0</v>
      </c>
      <c r="D16" s="278">
        <f t="shared" si="1"/>
        <v>0</v>
      </c>
      <c r="E16" s="224">
        <f t="shared" si="2"/>
        <v>483200000</v>
      </c>
      <c r="F16" s="76">
        <f t="shared" si="0"/>
        <v>100</v>
      </c>
      <c r="G16" s="224">
        <v>0</v>
      </c>
      <c r="H16" s="224">
        <f t="shared" si="3"/>
        <v>0</v>
      </c>
    </row>
    <row r="17" spans="1:8" s="77" customFormat="1">
      <c r="A17" s="273" t="s">
        <v>473</v>
      </c>
      <c r="B17" s="271">
        <v>60000000</v>
      </c>
      <c r="C17" s="271">
        <v>0</v>
      </c>
      <c r="D17" s="278">
        <f t="shared" si="1"/>
        <v>0</v>
      </c>
      <c r="E17" s="224">
        <f t="shared" si="2"/>
        <v>60000000</v>
      </c>
      <c r="F17" s="76">
        <f t="shared" si="0"/>
        <v>100</v>
      </c>
      <c r="G17" s="224">
        <v>0</v>
      </c>
      <c r="H17" s="224">
        <f t="shared" si="3"/>
        <v>0</v>
      </c>
    </row>
    <row r="18" spans="1:8" s="77" customFormat="1">
      <c r="A18" s="273" t="s">
        <v>474</v>
      </c>
      <c r="B18" s="271">
        <v>200000000</v>
      </c>
      <c r="C18" s="271">
        <v>0</v>
      </c>
      <c r="D18" s="278">
        <f t="shared" si="1"/>
        <v>0</v>
      </c>
      <c r="E18" s="224">
        <f t="shared" si="2"/>
        <v>200000000</v>
      </c>
      <c r="F18" s="76">
        <f t="shared" si="0"/>
        <v>100</v>
      </c>
      <c r="G18" s="224">
        <v>0</v>
      </c>
      <c r="H18" s="224">
        <f t="shared" si="3"/>
        <v>0</v>
      </c>
    </row>
    <row r="19" spans="1:8" s="77" customFormat="1">
      <c r="A19" s="273" t="s">
        <v>475</v>
      </c>
      <c r="B19" s="271">
        <v>40000000</v>
      </c>
      <c r="C19" s="271">
        <v>0</v>
      </c>
      <c r="D19" s="278">
        <f t="shared" si="1"/>
        <v>0</v>
      </c>
      <c r="E19" s="224">
        <f t="shared" si="2"/>
        <v>40000000</v>
      </c>
      <c r="F19" s="76">
        <f t="shared" si="0"/>
        <v>100</v>
      </c>
      <c r="G19" s="224">
        <v>0</v>
      </c>
      <c r="H19" s="224">
        <f t="shared" si="3"/>
        <v>0</v>
      </c>
    </row>
    <row r="20" spans="1:8" s="77" customFormat="1">
      <c r="A20" s="273" t="s">
        <v>476</v>
      </c>
      <c r="B20" s="271">
        <v>300000000</v>
      </c>
      <c r="C20" s="271">
        <v>300000000</v>
      </c>
      <c r="D20" s="278">
        <f t="shared" si="1"/>
        <v>100</v>
      </c>
      <c r="E20" s="224">
        <f t="shared" si="2"/>
        <v>0</v>
      </c>
      <c r="F20" s="76">
        <f t="shared" si="0"/>
        <v>0</v>
      </c>
      <c r="G20" s="224">
        <v>75000000</v>
      </c>
      <c r="H20" s="224">
        <f t="shared" si="3"/>
        <v>225000000</v>
      </c>
    </row>
    <row r="21" spans="1:8" s="77" customFormat="1">
      <c r="A21" s="273" t="s">
        <v>477</v>
      </c>
      <c r="B21" s="271">
        <v>36690326</v>
      </c>
      <c r="C21" s="271">
        <v>0</v>
      </c>
      <c r="D21" s="278">
        <f t="shared" si="1"/>
        <v>0</v>
      </c>
      <c r="E21" s="224">
        <f t="shared" si="2"/>
        <v>36690326</v>
      </c>
      <c r="F21" s="76">
        <f t="shared" si="0"/>
        <v>100</v>
      </c>
      <c r="G21" s="224">
        <v>0</v>
      </c>
      <c r="H21" s="224">
        <f t="shared" si="3"/>
        <v>0</v>
      </c>
    </row>
    <row r="22" spans="1:8" s="77" customFormat="1">
      <c r="A22" s="273" t="s">
        <v>478</v>
      </c>
      <c r="B22" s="271">
        <v>250000000</v>
      </c>
      <c r="C22" s="271">
        <v>0</v>
      </c>
      <c r="D22" s="278">
        <f t="shared" si="1"/>
        <v>0</v>
      </c>
      <c r="E22" s="224">
        <f t="shared" si="2"/>
        <v>250000000</v>
      </c>
      <c r="F22" s="76">
        <f t="shared" si="0"/>
        <v>100</v>
      </c>
      <c r="G22" s="224">
        <v>0</v>
      </c>
      <c r="H22" s="224">
        <f t="shared" si="3"/>
        <v>0</v>
      </c>
    </row>
    <row r="23" spans="1:8" s="77" customFormat="1">
      <c r="A23" s="273" t="s">
        <v>479</v>
      </c>
      <c r="B23" s="271">
        <v>360000000</v>
      </c>
      <c r="C23" s="271">
        <v>0</v>
      </c>
      <c r="D23" s="278">
        <f t="shared" si="1"/>
        <v>0</v>
      </c>
      <c r="E23" s="224">
        <f t="shared" si="2"/>
        <v>360000000</v>
      </c>
      <c r="F23" s="76">
        <f t="shared" si="0"/>
        <v>100</v>
      </c>
      <c r="G23" s="224">
        <v>0</v>
      </c>
      <c r="H23" s="224">
        <f t="shared" si="3"/>
        <v>0</v>
      </c>
    </row>
    <row r="24" spans="1:8" s="77" customFormat="1">
      <c r="A24" s="273" t="s">
        <v>480</v>
      </c>
      <c r="B24" s="271">
        <v>500000000</v>
      </c>
      <c r="C24" s="271">
        <v>0</v>
      </c>
      <c r="D24" s="278">
        <f t="shared" si="1"/>
        <v>0</v>
      </c>
      <c r="E24" s="224">
        <f t="shared" si="2"/>
        <v>500000000</v>
      </c>
      <c r="F24" s="76">
        <f t="shared" si="0"/>
        <v>100</v>
      </c>
      <c r="G24" s="224">
        <v>0</v>
      </c>
      <c r="H24" s="224">
        <f t="shared" si="3"/>
        <v>0</v>
      </c>
    </row>
    <row r="25" spans="1:8" s="77" customFormat="1">
      <c r="A25" s="273" t="s">
        <v>481</v>
      </c>
      <c r="B25" s="271">
        <v>200000000</v>
      </c>
      <c r="C25" s="271">
        <v>0</v>
      </c>
      <c r="D25" s="278">
        <f t="shared" si="1"/>
        <v>0</v>
      </c>
      <c r="E25" s="224">
        <f t="shared" si="2"/>
        <v>200000000</v>
      </c>
      <c r="F25" s="76">
        <f t="shared" si="0"/>
        <v>100</v>
      </c>
      <c r="G25" s="224">
        <v>0</v>
      </c>
      <c r="H25" s="224">
        <f t="shared" si="3"/>
        <v>0</v>
      </c>
    </row>
    <row r="26" spans="1:8" s="77" customFormat="1">
      <c r="A26" s="273" t="s">
        <v>482</v>
      </c>
      <c r="B26" s="271">
        <v>441661073.48000002</v>
      </c>
      <c r="C26" s="271">
        <v>0</v>
      </c>
      <c r="D26" s="278">
        <f t="shared" si="1"/>
        <v>0</v>
      </c>
      <c r="E26" s="224">
        <f t="shared" si="2"/>
        <v>441661073.48000002</v>
      </c>
      <c r="F26" s="76">
        <f t="shared" si="0"/>
        <v>100</v>
      </c>
      <c r="G26" s="224">
        <v>0</v>
      </c>
      <c r="H26" s="224">
        <f t="shared" si="3"/>
        <v>0</v>
      </c>
    </row>
    <row r="27" spans="1:8" s="77" customFormat="1">
      <c r="A27" s="273" t="s">
        <v>483</v>
      </c>
      <c r="B27" s="271">
        <v>250000000</v>
      </c>
      <c r="C27" s="271">
        <v>0</v>
      </c>
      <c r="D27" s="278">
        <f t="shared" si="1"/>
        <v>0</v>
      </c>
      <c r="E27" s="224">
        <f t="shared" si="2"/>
        <v>250000000</v>
      </c>
      <c r="F27" s="76">
        <f t="shared" si="0"/>
        <v>100</v>
      </c>
      <c r="G27" s="224">
        <v>0</v>
      </c>
      <c r="H27" s="224">
        <f t="shared" si="3"/>
        <v>0</v>
      </c>
    </row>
    <row r="28" spans="1:8">
      <c r="A28" s="269" t="s">
        <v>485</v>
      </c>
      <c r="B28" s="272">
        <f>SUM(B7:B27)</f>
        <v>18910465060.380001</v>
      </c>
      <c r="C28" s="272">
        <f>SUM(C7:C27)</f>
        <v>614644148.28999996</v>
      </c>
      <c r="D28" s="278">
        <f>C28/B28*100</f>
        <v>3.250285735054518</v>
      </c>
      <c r="E28" s="224">
        <f t="shared" si="2"/>
        <v>18295820912.09</v>
      </c>
      <c r="F28" s="76">
        <f>E28/B28*100</f>
        <v>96.749714264945482</v>
      </c>
      <c r="G28" s="272">
        <f>SUM(G7:G27)</f>
        <v>239558679.5</v>
      </c>
      <c r="H28" s="272">
        <f>SUM(H7:H27)</f>
        <v>375085468.78999996</v>
      </c>
    </row>
    <row r="29" spans="1:8">
      <c r="A29" s="75"/>
    </row>
    <row r="31" spans="1:8" ht="15" hidden="1" customHeight="1"/>
    <row r="32" spans="1:8">
      <c r="C32" s="266"/>
    </row>
  </sheetData>
  <mergeCells count="4">
    <mergeCell ref="A3:H3"/>
    <mergeCell ref="A4:H4"/>
    <mergeCell ref="A5:H5"/>
    <mergeCell ref="A2:H2"/>
  </mergeCells>
  <printOptions horizontalCentered="1"/>
  <pageMargins left="0.70866141732283472" right="0.70866141732283472" top="0.38" bottom="0.39"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opLeftCell="C2" workbookViewId="0">
      <selection activeCell="E10" sqref="E10"/>
    </sheetView>
  </sheetViews>
  <sheetFormatPr baseColWidth="10" defaultRowHeight="15"/>
  <cols>
    <col min="1" max="1" width="0" hidden="1" customWidth="1"/>
    <col min="2" max="2" width="14.42578125" hidden="1" customWidth="1"/>
    <col min="3" max="3" width="13.140625" customWidth="1"/>
    <col min="4" max="4" width="0" hidden="1" customWidth="1"/>
    <col min="5" max="5" width="14.140625" bestFit="1" customWidth="1"/>
    <col min="6" max="6" width="0" hidden="1" customWidth="1"/>
    <col min="7" max="7" width="19.7109375" customWidth="1"/>
    <col min="16" max="17" width="11.42578125" hidden="1" customWidth="1"/>
    <col min="18" max="18" width="25.5703125" customWidth="1"/>
    <col min="19" max="19" width="23.42578125" customWidth="1"/>
  </cols>
  <sheetData>
    <row r="1" spans="1:19" ht="15.75" thickBot="1">
      <c r="A1" s="1134" t="s">
        <v>625</v>
      </c>
      <c r="B1" s="1135"/>
      <c r="C1" s="314"/>
      <c r="D1" s="1134" t="s">
        <v>626</v>
      </c>
      <c r="E1" s="1135"/>
      <c r="F1" s="1134" t="s">
        <v>627</v>
      </c>
      <c r="G1" s="1135"/>
    </row>
    <row r="2" spans="1:19" ht="67.5" customHeight="1" thickBot="1">
      <c r="A2" s="315" t="s">
        <v>628</v>
      </c>
      <c r="B2" s="316" t="s">
        <v>629</v>
      </c>
      <c r="C2" s="317" t="s">
        <v>630</v>
      </c>
      <c r="D2" s="316" t="s">
        <v>628</v>
      </c>
      <c r="E2" s="316" t="s">
        <v>629</v>
      </c>
      <c r="F2" s="316" t="s">
        <v>631</v>
      </c>
      <c r="G2" s="316" t="s">
        <v>632</v>
      </c>
      <c r="R2" s="1136" t="s">
        <v>639</v>
      </c>
      <c r="S2" s="1137"/>
    </row>
    <row r="3" spans="1:19" ht="23.25" thickBot="1">
      <c r="A3" s="318">
        <v>135</v>
      </c>
      <c r="B3" s="319">
        <v>65</v>
      </c>
      <c r="C3" s="320">
        <v>0.48</v>
      </c>
      <c r="D3" s="319">
        <v>120</v>
      </c>
      <c r="E3" s="321">
        <v>0.52500000000000002</v>
      </c>
      <c r="F3" s="319">
        <v>120</v>
      </c>
      <c r="G3" s="320">
        <v>0.7</v>
      </c>
      <c r="R3" s="325" t="s">
        <v>633</v>
      </c>
      <c r="S3" s="325" t="s">
        <v>634</v>
      </c>
    </row>
    <row r="4" spans="1:19" ht="24" thickBot="1">
      <c r="R4" s="326" t="s">
        <v>635</v>
      </c>
      <c r="S4" s="327">
        <f>36+S11</f>
        <v>59</v>
      </c>
    </row>
    <row r="5" spans="1:19" ht="24" thickBot="1">
      <c r="R5" s="326" t="s">
        <v>636</v>
      </c>
      <c r="S5" s="327">
        <f>30+S12</f>
        <v>56</v>
      </c>
    </row>
    <row r="6" spans="1:19" ht="24" thickBot="1">
      <c r="R6" s="326" t="s">
        <v>637</v>
      </c>
      <c r="S6" s="327">
        <f>768+S13</f>
        <v>867</v>
      </c>
    </row>
    <row r="7" spans="1:19" ht="24" thickBot="1">
      <c r="C7">
        <v>2013</v>
      </c>
      <c r="E7">
        <v>2014</v>
      </c>
      <c r="G7">
        <v>2015</v>
      </c>
      <c r="J7">
        <f>6/14</f>
        <v>0.42857142857142855</v>
      </c>
      <c r="K7">
        <f>17/23</f>
        <v>0.73913043478260865</v>
      </c>
      <c r="L7">
        <f>18/25</f>
        <v>0.72</v>
      </c>
      <c r="R7" s="328" t="s">
        <v>638</v>
      </c>
      <c r="S7" s="329">
        <f>SUM(S4:S6)</f>
        <v>982</v>
      </c>
    </row>
    <row r="8" spans="1:19">
      <c r="L8">
        <f>206/340</f>
        <v>0.60588235294117643</v>
      </c>
    </row>
    <row r="10" spans="1:19" ht="15.75" thickBot="1"/>
    <row r="11" spans="1:19" ht="24" thickBot="1">
      <c r="S11" s="327">
        <v>23</v>
      </c>
    </row>
    <row r="12" spans="1:19" ht="24" thickBot="1">
      <c r="S12" s="327">
        <v>26</v>
      </c>
    </row>
    <row r="13" spans="1:19" ht="24" thickBot="1">
      <c r="S13" s="327">
        <v>99</v>
      </c>
    </row>
    <row r="14" spans="1:19">
      <c r="E14">
        <v>3</v>
      </c>
      <c r="G14">
        <v>0.3</v>
      </c>
      <c r="H14">
        <f>G14/E14</f>
        <v>9.9999999999999992E-2</v>
      </c>
    </row>
    <row r="17" spans="3:14">
      <c r="C17" t="s">
        <v>640</v>
      </c>
    </row>
    <row r="18" spans="3:14">
      <c r="C18">
        <v>2012</v>
      </c>
      <c r="E18">
        <v>44</v>
      </c>
      <c r="G18">
        <f>E18*0.25</f>
        <v>11</v>
      </c>
    </row>
    <row r="19" spans="3:14">
      <c r="C19">
        <v>2013</v>
      </c>
      <c r="E19">
        <v>82</v>
      </c>
      <c r="G19">
        <f>E19*0.25</f>
        <v>20.5</v>
      </c>
      <c r="H19">
        <f>E19*0.33</f>
        <v>27.060000000000002</v>
      </c>
      <c r="I19" t="s">
        <v>641</v>
      </c>
      <c r="J19" s="286">
        <v>0.56999999999999995</v>
      </c>
    </row>
    <row r="20" spans="3:14">
      <c r="C20">
        <v>2014</v>
      </c>
      <c r="E20">
        <v>87</v>
      </c>
      <c r="G20">
        <f>E20*0.25</f>
        <v>21.75</v>
      </c>
      <c r="H20">
        <f>E20*0.34</f>
        <v>29.580000000000002</v>
      </c>
      <c r="I20" t="s">
        <v>642</v>
      </c>
      <c r="J20" s="286">
        <v>0.57999999999999996</v>
      </c>
    </row>
    <row r="21" spans="3:14">
      <c r="C21">
        <v>2015</v>
      </c>
      <c r="E21">
        <v>90</v>
      </c>
      <c r="G21">
        <f>E21*0.25</f>
        <v>22.5</v>
      </c>
    </row>
    <row r="23" spans="3:14">
      <c r="E23">
        <v>86</v>
      </c>
      <c r="G23">
        <f>E23*0.33</f>
        <v>28.380000000000003</v>
      </c>
    </row>
    <row r="24" spans="3:14">
      <c r="E24">
        <v>89</v>
      </c>
      <c r="G24">
        <f>E24*0.33</f>
        <v>29.37</v>
      </c>
    </row>
    <row r="26" spans="3:14" ht="15.75" thickBot="1">
      <c r="E26">
        <f>400/859</f>
        <v>0.46565774155995343</v>
      </c>
    </row>
    <row r="27" spans="3:14" ht="15.75" thickBot="1">
      <c r="E27" s="322">
        <v>2570000000</v>
      </c>
      <c r="F27" s="323">
        <v>2297200000</v>
      </c>
    </row>
    <row r="28" spans="3:14">
      <c r="E28" s="324">
        <v>2297200000</v>
      </c>
    </row>
    <row r="32" spans="3:14">
      <c r="I32" s="286">
        <f>8/9</f>
        <v>0.88888888888888884</v>
      </c>
      <c r="K32">
        <f>4/7</f>
        <v>0.5714285714285714</v>
      </c>
      <c r="N32" s="286">
        <f>281/358</f>
        <v>0.78491620111731841</v>
      </c>
    </row>
  </sheetData>
  <mergeCells count="4">
    <mergeCell ref="A1:B1"/>
    <mergeCell ref="D1:E1"/>
    <mergeCell ref="F1:G1"/>
    <mergeCell ref="R2:S2"/>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view="pageBreakPreview" topLeftCell="A22" zoomScaleNormal="100" zoomScaleSheetLayoutView="100" workbookViewId="0">
      <selection activeCell="C27" sqref="C27:C30"/>
    </sheetView>
  </sheetViews>
  <sheetFormatPr baseColWidth="10" defaultRowHeight="15"/>
  <cols>
    <col min="1" max="1" width="50.7109375" customWidth="1"/>
    <col min="2" max="2" width="25" customWidth="1"/>
    <col min="3" max="3" width="38.7109375" customWidth="1"/>
    <col min="4" max="4" width="33.140625" bestFit="1" customWidth="1"/>
  </cols>
  <sheetData>
    <row r="1" spans="1:5" ht="18.75">
      <c r="A1" s="288" t="s">
        <v>494</v>
      </c>
      <c r="B1" s="288" t="s">
        <v>492</v>
      </c>
      <c r="C1" s="288" t="s">
        <v>493</v>
      </c>
      <c r="D1" s="288" t="s">
        <v>497</v>
      </c>
    </row>
    <row r="2" spans="1:5" ht="18.75">
      <c r="A2" s="1140" t="str">
        <f>'ANEXO 1. MATRIZ DE SEGUIMIENTO'!A8</f>
        <v xml:space="preserve">1.1. Gestión e implentación de acciones integrales para la restauración ecológica en el departamento del Cesar </v>
      </c>
      <c r="B2" s="1141"/>
      <c r="C2" s="1141"/>
      <c r="D2" s="1142"/>
    </row>
    <row r="3" spans="1:5" ht="36.75" customHeight="1">
      <c r="A3" s="295" t="str">
        <f>'ANEXO 1. MATRIZ DE SEGUIMIENTO'!A18</f>
        <v>1.2.3 Gestión sinérgica para la promoción y creación de capacidad técnica para la implementación del manejo SSC.</v>
      </c>
      <c r="B3" s="290" t="s">
        <v>495</v>
      </c>
      <c r="C3" s="295" t="s">
        <v>496</v>
      </c>
      <c r="D3" s="291" t="s">
        <v>498</v>
      </c>
      <c r="E3" s="287"/>
    </row>
    <row r="4" spans="1:5" ht="18.75">
      <c r="A4" s="1143" t="e">
        <f>'ANEXO 1. MATRIZ DE SEGUIMIENTO'!#REF!</f>
        <v>#REF!</v>
      </c>
      <c r="B4" s="1144"/>
      <c r="C4" s="1144"/>
      <c r="D4" s="1145"/>
      <c r="E4" s="287"/>
    </row>
    <row r="5" spans="1:5" ht="56.25">
      <c r="A5" s="298" t="e">
        <f>'ANEXO 1. MATRIZ DE SEGUIMIENTO'!#REF!</f>
        <v>#REF!</v>
      </c>
      <c r="B5" s="298" t="s">
        <v>499</v>
      </c>
      <c r="C5" s="298" t="s">
        <v>591</v>
      </c>
      <c r="D5" s="296" t="s">
        <v>500</v>
      </c>
      <c r="E5" s="287"/>
    </row>
    <row r="6" spans="1:5" ht="18.75">
      <c r="A6" s="1140" t="e">
        <f>'ANEXO 1. MATRIZ DE SEGUIMIENTO'!#REF!</f>
        <v>#REF!</v>
      </c>
      <c r="B6" s="1141"/>
      <c r="C6" s="1141"/>
      <c r="D6" s="1142"/>
      <c r="E6" s="287"/>
    </row>
    <row r="7" spans="1:5" ht="56.25">
      <c r="A7" s="298" t="e">
        <f>'ANEXO 1. MATRIZ DE SEGUIMIENTO'!#REF!</f>
        <v>#REF!</v>
      </c>
      <c r="B7" s="298" t="s">
        <v>501</v>
      </c>
      <c r="C7" s="298" t="s">
        <v>502</v>
      </c>
      <c r="D7" s="1146" t="s">
        <v>503</v>
      </c>
      <c r="E7" s="287"/>
    </row>
    <row r="8" spans="1:5" ht="56.25">
      <c r="A8" s="298" t="e">
        <f>'ANEXO 1. MATRIZ DE SEGUIMIENTO'!#REF!</f>
        <v>#REF!</v>
      </c>
      <c r="B8" s="298" t="s">
        <v>504</v>
      </c>
      <c r="C8" s="298" t="s">
        <v>502</v>
      </c>
      <c r="D8" s="1147"/>
      <c r="E8" s="287"/>
    </row>
    <row r="9" spans="1:5" ht="56.25">
      <c r="A9" s="298" t="e">
        <f>'ANEXO 1. MATRIZ DE SEGUIMIENTO'!#REF!</f>
        <v>#REF!</v>
      </c>
      <c r="B9" s="298" t="s">
        <v>505</v>
      </c>
      <c r="C9" s="298" t="s">
        <v>508</v>
      </c>
      <c r="D9" s="1148"/>
      <c r="E9" s="287"/>
    </row>
    <row r="10" spans="1:5" ht="18.75">
      <c r="A10" s="1140" t="e">
        <f>'ANEXO 1. MATRIZ DE SEGUIMIENTO'!#REF!</f>
        <v>#REF!</v>
      </c>
      <c r="B10" s="1141"/>
      <c r="C10" s="1142"/>
      <c r="D10" s="293"/>
      <c r="E10" s="287"/>
    </row>
    <row r="11" spans="1:5" ht="37.5">
      <c r="A11" s="298" t="e">
        <f>'ANEXO 1. MATRIZ DE SEGUIMIENTO'!#REF!</f>
        <v>#REF!</v>
      </c>
      <c r="B11" s="297" t="s">
        <v>506</v>
      </c>
      <c r="C11" s="297" t="s">
        <v>509</v>
      </c>
      <c r="D11" s="296" t="str">
        <f>D7</f>
        <v>Eduardo López</v>
      </c>
      <c r="E11" s="287"/>
    </row>
    <row r="12" spans="1:5" ht="36.75" customHeight="1">
      <c r="A12" s="1149" t="e">
        <f>'ANEXO 1. MATRIZ DE SEGUIMIENTO'!#REF!</f>
        <v>#REF!</v>
      </c>
      <c r="B12" s="1150"/>
      <c r="C12" s="1150"/>
      <c r="D12" s="1151"/>
      <c r="E12" s="287"/>
    </row>
    <row r="13" spans="1:5" ht="37.5">
      <c r="A13" s="298" t="e">
        <f>'ANEXO 1. MATRIZ DE SEGUIMIENTO'!#REF!</f>
        <v>#REF!</v>
      </c>
      <c r="B13" s="298" t="s">
        <v>507</v>
      </c>
      <c r="C13" s="298" t="s">
        <v>510</v>
      </c>
      <c r="D13" s="296" t="str">
        <f>D11</f>
        <v>Eduardo López</v>
      </c>
      <c r="E13" s="287"/>
    </row>
    <row r="14" spans="1:5" ht="35.25" customHeight="1">
      <c r="A14" s="1140" t="e">
        <f>'ANEXO 1. MATRIZ DE SEGUIMIENTO'!#REF!</f>
        <v>#REF!</v>
      </c>
      <c r="B14" s="1141"/>
      <c r="C14" s="1141"/>
      <c r="D14" s="1142"/>
    </row>
    <row r="15" spans="1:5" ht="75">
      <c r="A15" s="298" t="e">
        <f>'ANEXO 1. MATRIZ DE SEGUIMIENTO'!#REF!</f>
        <v>#REF!</v>
      </c>
      <c r="B15" s="297" t="s">
        <v>511</v>
      </c>
      <c r="C15" s="298" t="s">
        <v>523</v>
      </c>
      <c r="D15" s="1146" t="s">
        <v>558</v>
      </c>
    </row>
    <row r="16" spans="1:5" ht="75">
      <c r="A16" s="298" t="e">
        <f>'ANEXO 1. MATRIZ DE SEGUIMIENTO'!#REF!</f>
        <v>#REF!</v>
      </c>
      <c r="B16" s="297" t="s">
        <v>513</v>
      </c>
      <c r="C16" s="298" t="s">
        <v>524</v>
      </c>
      <c r="D16" s="1148"/>
    </row>
    <row r="17" spans="1:4" ht="75">
      <c r="A17" s="298" t="e">
        <f>'ANEXO 1. MATRIZ DE SEGUIMIENTO'!#REF!</f>
        <v>#REF!</v>
      </c>
      <c r="B17" s="297" t="s">
        <v>514</v>
      </c>
      <c r="C17" s="298" t="s">
        <v>524</v>
      </c>
      <c r="D17" s="296" t="str">
        <f>D15</f>
        <v>Jorge Armenta</v>
      </c>
    </row>
    <row r="18" spans="1:4" ht="37.5">
      <c r="A18" s="298" t="e">
        <f>'ANEXO 1. MATRIZ DE SEGUIMIENTO'!#REF!</f>
        <v>#REF!</v>
      </c>
      <c r="B18" s="297" t="s">
        <v>515</v>
      </c>
      <c r="C18" s="297" t="s">
        <v>525</v>
      </c>
      <c r="D18" s="296" t="s">
        <v>559</v>
      </c>
    </row>
    <row r="19" spans="1:4" ht="56.25">
      <c r="A19" s="298" t="e">
        <f>'ANEXO 1. MATRIZ DE SEGUIMIENTO'!#REF!</f>
        <v>#REF!</v>
      </c>
      <c r="B19" s="297" t="s">
        <v>516</v>
      </c>
      <c r="C19" s="297" t="s">
        <v>526</v>
      </c>
      <c r="D19" s="296" t="s">
        <v>560</v>
      </c>
    </row>
    <row r="20" spans="1:4" ht="37.5">
      <c r="A20" s="298" t="e">
        <f>'ANEXO 1. MATRIZ DE SEGUIMIENTO'!#REF!</f>
        <v>#REF!</v>
      </c>
      <c r="B20" s="297" t="s">
        <v>515</v>
      </c>
      <c r="C20" s="297" t="s">
        <v>527</v>
      </c>
      <c r="D20" s="296" t="s">
        <v>560</v>
      </c>
    </row>
    <row r="21" spans="1:4" ht="56.25">
      <c r="A21" s="298" t="e">
        <f>'ANEXO 1. MATRIZ DE SEGUIMIENTO'!#REF!</f>
        <v>#REF!</v>
      </c>
      <c r="B21" s="297" t="s">
        <v>517</v>
      </c>
      <c r="C21" s="297" t="s">
        <v>528</v>
      </c>
      <c r="D21" s="296" t="s">
        <v>500</v>
      </c>
    </row>
    <row r="22" spans="1:4" ht="18.75">
      <c r="A22" s="1149" t="e">
        <f>'ANEXO 1. MATRIZ DE SEGUIMIENTO'!#REF!</f>
        <v>#REF!</v>
      </c>
      <c r="B22" s="1150"/>
      <c r="C22" s="1150"/>
      <c r="D22" s="1151"/>
    </row>
    <row r="23" spans="1:4" ht="131.25">
      <c r="A23" s="298" t="e">
        <f>'ANEXO 1. MATRIZ DE SEGUIMIENTO'!#REF!</f>
        <v>#REF!</v>
      </c>
      <c r="B23" s="297" t="s">
        <v>518</v>
      </c>
      <c r="C23" s="295" t="s">
        <v>529</v>
      </c>
      <c r="D23" s="296" t="s">
        <v>500</v>
      </c>
    </row>
    <row r="24" spans="1:4" ht="18.75">
      <c r="A24" s="1152" t="e">
        <f>'ANEXO 1. MATRIZ DE SEGUIMIENTO'!#REF!</f>
        <v>#REF!</v>
      </c>
      <c r="B24" s="1153"/>
      <c r="C24" s="1153"/>
      <c r="D24" s="1154"/>
    </row>
    <row r="25" spans="1:4" ht="93.75">
      <c r="A25" s="295" t="e">
        <f>'ANEXO 1. MATRIZ DE SEGUIMIENTO'!#REF!</f>
        <v>#REF!</v>
      </c>
      <c r="B25" s="295" t="s">
        <v>519</v>
      </c>
      <c r="C25" s="298" t="s">
        <v>530</v>
      </c>
      <c r="D25" s="296" t="s">
        <v>500</v>
      </c>
    </row>
    <row r="26" spans="1:4" ht="18.75">
      <c r="A26" s="1140" t="e">
        <f>'ANEXO 1. MATRIZ DE SEGUIMIENTO'!#REF!</f>
        <v>#REF!</v>
      </c>
      <c r="B26" s="1141"/>
      <c r="C26" s="1141"/>
      <c r="D26" s="1142"/>
    </row>
    <row r="27" spans="1:4" ht="18.75">
      <c r="A27" s="295" t="e">
        <f>'ANEXO 1. MATRIZ DE SEGUIMIENTO'!#REF!</f>
        <v>#REF!</v>
      </c>
      <c r="B27" s="295" t="s">
        <v>531</v>
      </c>
      <c r="C27" s="1138" t="s">
        <v>535</v>
      </c>
      <c r="D27" s="1139" t="s">
        <v>500</v>
      </c>
    </row>
    <row r="28" spans="1:4" ht="18.75">
      <c r="A28" s="298" t="e">
        <f>'ANEXO 1. MATRIZ DE SEGUIMIENTO'!#REF!</f>
        <v>#REF!</v>
      </c>
      <c r="B28" s="298" t="s">
        <v>532</v>
      </c>
      <c r="C28" s="1138"/>
      <c r="D28" s="1139"/>
    </row>
    <row r="29" spans="1:4" ht="18.75">
      <c r="A29" s="298" t="e">
        <f>'ANEXO 1. MATRIZ DE SEGUIMIENTO'!#REF!</f>
        <v>#REF!</v>
      </c>
      <c r="B29" s="298" t="s">
        <v>533</v>
      </c>
      <c r="C29" s="1138"/>
      <c r="D29" s="1139"/>
    </row>
    <row r="30" spans="1:4" ht="18.75">
      <c r="A30" s="298" t="e">
        <f>'ANEXO 1. MATRIZ DE SEGUIMIENTO'!#REF!</f>
        <v>#REF!</v>
      </c>
      <c r="B30" s="298" t="s">
        <v>534</v>
      </c>
      <c r="C30" s="1138"/>
      <c r="D30" s="1139"/>
    </row>
    <row r="31" spans="1:4" ht="18.75">
      <c r="A31" s="1140" t="e">
        <f>'ANEXO 1. MATRIZ DE SEGUIMIENTO'!#REF!</f>
        <v>#REF!</v>
      </c>
      <c r="B31" s="1141"/>
      <c r="C31" s="1141"/>
      <c r="D31" s="1142"/>
    </row>
    <row r="32" spans="1:4" ht="53.25" customHeight="1">
      <c r="A32" s="298" t="e">
        <f>'ANEXO 1. MATRIZ DE SEGUIMIENTO'!#REF!</f>
        <v>#REF!</v>
      </c>
      <c r="B32" s="298" t="s">
        <v>520</v>
      </c>
      <c r="C32" s="298" t="s">
        <v>536</v>
      </c>
      <c r="D32" s="1146" t="s">
        <v>557</v>
      </c>
    </row>
    <row r="33" spans="1:4" ht="15" customHeight="1">
      <c r="A33" s="298"/>
      <c r="B33" s="298" t="s">
        <v>521</v>
      </c>
      <c r="C33" s="298" t="s">
        <v>537</v>
      </c>
      <c r="D33" s="1148"/>
    </row>
    <row r="34" spans="1:4" ht="132.75" customHeight="1">
      <c r="A34" s="295" t="e">
        <f>'ANEXO 1. MATRIZ DE SEGUIMIENTO'!#REF!</f>
        <v>#REF!</v>
      </c>
      <c r="B34" s="295" t="s">
        <v>522</v>
      </c>
      <c r="C34" s="295" t="s">
        <v>538</v>
      </c>
      <c r="D34" s="296" t="str">
        <f>D32</f>
        <v>Wilson Marquez</v>
      </c>
    </row>
    <row r="35" spans="1:4" ht="37.5" customHeight="1">
      <c r="A35" s="1140" t="e">
        <f>'ANEXO 1. MATRIZ DE SEGUIMIENTO'!#REF!</f>
        <v>#REF!</v>
      </c>
      <c r="B35" s="1141"/>
      <c r="C35" s="1141"/>
      <c r="D35" s="1142"/>
    </row>
    <row r="36" spans="1:4" ht="183.75" customHeight="1">
      <c r="A36" s="295" t="e">
        <f>'ANEXO 1. MATRIZ DE SEGUIMIENTO'!#REF!</f>
        <v>#REF!</v>
      </c>
      <c r="B36" s="295" t="s">
        <v>539</v>
      </c>
      <c r="C36" s="298" t="s">
        <v>540</v>
      </c>
      <c r="D36" s="1139" t="s">
        <v>557</v>
      </c>
    </row>
    <row r="37" spans="1:4" ht="47.25" customHeight="1">
      <c r="A37" s="298" t="e">
        <f>'ANEXO 1. MATRIZ DE SEGUIMIENTO'!#REF!</f>
        <v>#REF!</v>
      </c>
      <c r="B37" s="298" t="s">
        <v>512</v>
      </c>
      <c r="C37" s="298" t="s">
        <v>541</v>
      </c>
      <c r="D37" s="1139"/>
    </row>
    <row r="38" spans="1:4" ht="75">
      <c r="A38" s="298" t="e">
        <f>'ANEXO 1. MATRIZ DE SEGUIMIENTO'!#REF!</f>
        <v>#REF!</v>
      </c>
      <c r="B38" s="298" t="s">
        <v>542</v>
      </c>
      <c r="C38" s="295" t="s">
        <v>543</v>
      </c>
      <c r="D38" s="296" t="s">
        <v>561</v>
      </c>
    </row>
    <row r="39" spans="1:4" ht="37.5">
      <c r="A39" s="298" t="e">
        <f>'ANEXO 1. MATRIZ DE SEGUIMIENTO'!#REF!</f>
        <v>#REF!</v>
      </c>
      <c r="B39" s="298" t="s">
        <v>495</v>
      </c>
      <c r="C39" s="298" t="s">
        <v>544</v>
      </c>
      <c r="D39" s="296" t="s">
        <v>500</v>
      </c>
    </row>
    <row r="40" spans="1:4" ht="18.75">
      <c r="A40" s="1140" t="e">
        <f>'ANEXO 1. MATRIZ DE SEGUIMIENTO'!#REF!</f>
        <v>#REF!</v>
      </c>
      <c r="B40" s="1141"/>
      <c r="C40" s="1141"/>
      <c r="D40" s="1142"/>
    </row>
    <row r="41" spans="1:4" ht="56.25">
      <c r="A41" s="298" t="e">
        <f>'ANEXO 1. MATRIZ DE SEGUIMIENTO'!#REF!</f>
        <v>#REF!</v>
      </c>
      <c r="B41" s="298" t="s">
        <v>545</v>
      </c>
      <c r="C41" s="298" t="s">
        <v>546</v>
      </c>
      <c r="D41" s="296" t="s">
        <v>557</v>
      </c>
    </row>
    <row r="42" spans="1:4" ht="33" customHeight="1">
      <c r="A42" s="1140" t="e">
        <f>'ANEXO 1. MATRIZ DE SEGUIMIENTO'!#REF!</f>
        <v>#REF!</v>
      </c>
      <c r="B42" s="1141"/>
      <c r="C42" s="1141"/>
      <c r="D42" s="1142"/>
    </row>
    <row r="43" spans="1:4" ht="37.5">
      <c r="A43" s="298" t="e">
        <f>'ANEXO 1. MATRIZ DE SEGUIMIENTO'!#REF!</f>
        <v>#REF!</v>
      </c>
      <c r="B43" s="298" t="s">
        <v>547</v>
      </c>
      <c r="C43" s="298" t="s">
        <v>550</v>
      </c>
      <c r="D43" s="1139" t="s">
        <v>503</v>
      </c>
    </row>
    <row r="44" spans="1:4" ht="37.5">
      <c r="A44" s="298" t="e">
        <f>'ANEXO 1. MATRIZ DE SEGUIMIENTO'!#REF!</f>
        <v>#REF!</v>
      </c>
      <c r="B44" s="298" t="s">
        <v>548</v>
      </c>
      <c r="C44" s="298" t="s">
        <v>550</v>
      </c>
      <c r="D44" s="1139"/>
    </row>
    <row r="45" spans="1:4" ht="96" customHeight="1">
      <c r="A45" s="295" t="e">
        <f>'ANEXO 1. MATRIZ DE SEGUIMIENTO'!#REF!</f>
        <v>#REF!</v>
      </c>
      <c r="B45" s="295" t="s">
        <v>549</v>
      </c>
      <c r="C45" s="295" t="s">
        <v>551</v>
      </c>
      <c r="D45" s="296" t="s">
        <v>561</v>
      </c>
    </row>
    <row r="46" spans="1:4" ht="34.5" customHeight="1">
      <c r="A46" s="1140" t="e">
        <f>'ANEXO 1. MATRIZ DE SEGUIMIENTO'!#REF!</f>
        <v>#REF!</v>
      </c>
      <c r="B46" s="1141"/>
      <c r="C46" s="1141"/>
      <c r="D46" s="1142"/>
    </row>
    <row r="47" spans="1:4" ht="78.75" customHeight="1">
      <c r="A47" s="298" t="e">
        <f>'ANEXO 1. MATRIZ DE SEGUIMIENTO'!#REF!</f>
        <v>#REF!</v>
      </c>
      <c r="B47" s="298" t="s">
        <v>552</v>
      </c>
      <c r="C47" s="298" t="s">
        <v>555</v>
      </c>
      <c r="D47" s="1146" t="s">
        <v>562</v>
      </c>
    </row>
    <row r="48" spans="1:4" ht="56.25">
      <c r="A48" s="1155" t="e">
        <f>'ANEXO 1. MATRIZ DE SEGUIMIENTO'!#REF!</f>
        <v>#REF!</v>
      </c>
      <c r="B48" s="298" t="s">
        <v>553</v>
      </c>
      <c r="C48" s="1156" t="s">
        <v>556</v>
      </c>
      <c r="D48" s="1147"/>
    </row>
    <row r="49" spans="1:4" ht="56.25">
      <c r="A49" s="1155"/>
      <c r="B49" s="298" t="s">
        <v>554</v>
      </c>
      <c r="C49" s="1156"/>
      <c r="D49" s="1147"/>
    </row>
    <row r="50" spans="1:4" ht="51" customHeight="1">
      <c r="A50" s="298" t="e">
        <f>'ANEXO 1. MATRIZ DE SEGUIMIENTO'!#REF!</f>
        <v>#REF!</v>
      </c>
      <c r="B50" s="298" t="s">
        <v>495</v>
      </c>
      <c r="C50" s="298" t="s">
        <v>496</v>
      </c>
      <c r="D50" s="1148"/>
    </row>
    <row r="51" spans="1:4" ht="131.25">
      <c r="A51" s="298" t="e">
        <f>'ANEXO 1. MATRIZ DE SEGUIMIENTO'!#REF!</f>
        <v>#REF!</v>
      </c>
      <c r="B51" s="298" t="s">
        <v>495</v>
      </c>
      <c r="C51" s="298" t="s">
        <v>555</v>
      </c>
      <c r="D51" s="296" t="str">
        <f>D47</f>
        <v>Jorge Carpio</v>
      </c>
    </row>
    <row r="52" spans="1:4" ht="18.75">
      <c r="A52" s="1149" t="e">
        <f>'ANEXO 1. MATRIZ DE SEGUIMIENTO'!#REF!</f>
        <v>#REF!</v>
      </c>
      <c r="B52" s="1150"/>
      <c r="C52" s="1150"/>
      <c r="D52" s="1151"/>
    </row>
    <row r="53" spans="1:4" ht="37.5">
      <c r="A53" s="1156" t="e">
        <f>'ANEXO 1. MATRIZ DE SEGUIMIENTO'!#REF!</f>
        <v>#REF!</v>
      </c>
      <c r="B53" s="298" t="s">
        <v>563</v>
      </c>
      <c r="C53" s="1156" t="s">
        <v>565</v>
      </c>
      <c r="D53" s="1139" t="s">
        <v>566</v>
      </c>
    </row>
    <row r="54" spans="1:4" ht="18.75">
      <c r="A54" s="1156"/>
      <c r="B54" s="298" t="s">
        <v>564</v>
      </c>
      <c r="C54" s="1156"/>
      <c r="D54" s="1139"/>
    </row>
    <row r="55" spans="1:4" ht="18.75">
      <c r="A55" s="1140" t="e">
        <f>'ANEXO 1. MATRIZ DE SEGUIMIENTO'!#REF!</f>
        <v>#REF!</v>
      </c>
      <c r="B55" s="1141"/>
      <c r="C55" s="1141"/>
      <c r="D55" s="1142"/>
    </row>
    <row r="56" spans="1:4" ht="56.25">
      <c r="A56" s="298" t="e">
        <f>'ANEXO 1. MATRIZ DE SEGUIMIENTO'!#REF!</f>
        <v>#REF!</v>
      </c>
      <c r="B56" s="298" t="s">
        <v>567</v>
      </c>
      <c r="C56" s="298" t="s">
        <v>550</v>
      </c>
      <c r="D56" s="296" t="s">
        <v>566</v>
      </c>
    </row>
    <row r="57" spans="1:4" ht="168.75">
      <c r="A57" s="295" t="e">
        <f>'ANEXO 1. MATRIZ DE SEGUIMIENTO'!#REF!</f>
        <v>#REF!</v>
      </c>
      <c r="B57" s="295" t="s">
        <v>568</v>
      </c>
      <c r="C57" s="298" t="s">
        <v>569</v>
      </c>
      <c r="D57" s="296" t="s">
        <v>566</v>
      </c>
    </row>
    <row r="58" spans="1:4" ht="37.5">
      <c r="A58" s="298" t="e">
        <f>'ANEXO 1. MATRIZ DE SEGUIMIENTO'!#REF!</f>
        <v>#REF!</v>
      </c>
      <c r="B58" s="298" t="s">
        <v>570</v>
      </c>
      <c r="C58" s="298" t="s">
        <v>572</v>
      </c>
      <c r="D58" s="296" t="s">
        <v>571</v>
      </c>
    </row>
    <row r="59" spans="1:4" ht="18.75">
      <c r="A59" s="1140" t="e">
        <f>'ANEXO 1. MATRIZ DE SEGUIMIENTO'!#REF!</f>
        <v>#REF!</v>
      </c>
      <c r="B59" s="1141"/>
      <c r="C59" s="1141"/>
      <c r="D59" s="1142"/>
    </row>
    <row r="60" spans="1:4" ht="37.5">
      <c r="A60" s="298" t="e">
        <f>'ANEXO 1. MATRIZ DE SEGUIMIENTO'!#REF!</f>
        <v>#REF!</v>
      </c>
      <c r="B60" s="295" t="s">
        <v>573</v>
      </c>
      <c r="C60" s="295" t="s">
        <v>574</v>
      </c>
      <c r="D60" s="296" t="s">
        <v>577</v>
      </c>
    </row>
    <row r="61" spans="1:4" ht="93.75">
      <c r="A61" s="298" t="e">
        <f>'ANEXO 1. MATRIZ DE SEGUIMIENTO'!#REF!</f>
        <v>#REF!</v>
      </c>
      <c r="B61" s="298" t="s">
        <v>575</v>
      </c>
      <c r="C61" s="298" t="s">
        <v>576</v>
      </c>
      <c r="D61" s="296" t="s">
        <v>558</v>
      </c>
    </row>
    <row r="62" spans="1:4" ht="18.75">
      <c r="A62" s="1140" t="e">
        <f>'ANEXO 1. MATRIZ DE SEGUIMIENTO'!#REF!</f>
        <v>#REF!</v>
      </c>
      <c r="B62" s="1141"/>
      <c r="C62" s="1141"/>
      <c r="D62" s="1142"/>
    </row>
    <row r="63" spans="1:4" ht="131.25">
      <c r="A63" s="298" t="e">
        <f>'ANEXO 1. MATRIZ DE SEGUIMIENTO'!#REF!</f>
        <v>#REF!</v>
      </c>
      <c r="B63" s="298" t="s">
        <v>578</v>
      </c>
      <c r="C63" s="298" t="s">
        <v>579</v>
      </c>
      <c r="D63" s="296" t="s">
        <v>593</v>
      </c>
    </row>
    <row r="64" spans="1:4" ht="18.75">
      <c r="A64" s="1140" t="e">
        <f>'ANEXO 1. MATRIZ DE SEGUIMIENTO'!#REF!</f>
        <v>#REF!</v>
      </c>
      <c r="B64" s="1141"/>
      <c r="C64" s="1141"/>
      <c r="D64" s="1142"/>
    </row>
    <row r="65" spans="1:4" ht="56.25">
      <c r="A65" s="298" t="e">
        <f>'ANEXO 1. MATRIZ DE SEGUIMIENTO'!#REF!</f>
        <v>#REF!</v>
      </c>
      <c r="B65" s="298" t="s">
        <v>580</v>
      </c>
      <c r="C65" s="298" t="s">
        <v>502</v>
      </c>
      <c r="D65" s="1139" t="s">
        <v>593</v>
      </c>
    </row>
    <row r="66" spans="1:4" ht="37.5">
      <c r="A66" s="298" t="e">
        <f>'ANEXO 1. MATRIZ DE SEGUIMIENTO'!#REF!</f>
        <v>#REF!</v>
      </c>
      <c r="B66" s="298" t="s">
        <v>581</v>
      </c>
      <c r="C66" s="298" t="s">
        <v>583</v>
      </c>
      <c r="D66" s="1139"/>
    </row>
    <row r="67" spans="1:4" ht="37.5">
      <c r="A67" s="298" t="e">
        <f>'ANEXO 1. MATRIZ DE SEGUIMIENTO'!#REF!</f>
        <v>#REF!</v>
      </c>
      <c r="B67" s="295" t="s">
        <v>582</v>
      </c>
      <c r="C67" s="295" t="str">
        <f>C66</f>
        <v>No se ha avanzado en esta actividad</v>
      </c>
      <c r="D67" s="1139"/>
    </row>
    <row r="68" spans="1:4" ht="18.75">
      <c r="A68" s="1140" t="e">
        <f>'ANEXO 1. MATRIZ DE SEGUIMIENTO'!#REF!</f>
        <v>#REF!</v>
      </c>
      <c r="B68" s="1141"/>
      <c r="C68" s="1141"/>
      <c r="D68" s="1142"/>
    </row>
    <row r="69" spans="1:4" ht="77.25" customHeight="1">
      <c r="A69" s="295" t="e">
        <f>'ANEXO 1. MATRIZ DE SEGUIMIENTO'!#REF!</f>
        <v>#REF!</v>
      </c>
      <c r="B69" s="295" t="s">
        <v>585</v>
      </c>
      <c r="C69" s="295" t="s">
        <v>584</v>
      </c>
      <c r="D69" s="296" t="s">
        <v>593</v>
      </c>
    </row>
    <row r="70" spans="1:4" ht="18.75">
      <c r="A70" s="1140" t="e">
        <f>'ANEXO 1. MATRIZ DE SEGUIMIENTO'!#REF!</f>
        <v>#REF!</v>
      </c>
      <c r="B70" s="1141"/>
      <c r="C70" s="1141"/>
      <c r="D70" s="1142"/>
    </row>
    <row r="71" spans="1:4" ht="37.5">
      <c r="A71" s="298" t="e">
        <f>'ANEXO 1. MATRIZ DE SEGUIMIENTO'!#REF!</f>
        <v>#REF!</v>
      </c>
      <c r="B71" s="298" t="s">
        <v>586</v>
      </c>
      <c r="C71" s="298" t="s">
        <v>583</v>
      </c>
      <c r="D71" s="296" t="s">
        <v>594</v>
      </c>
    </row>
    <row r="72" spans="1:4" ht="18.75">
      <c r="A72" s="1140" t="e">
        <f>'ANEXO 1. MATRIZ DE SEGUIMIENTO'!#REF!</f>
        <v>#REF!</v>
      </c>
      <c r="B72" s="1141"/>
      <c r="C72" s="1141"/>
      <c r="D72" s="1142"/>
    </row>
    <row r="73" spans="1:4" ht="56.25">
      <c r="A73" s="1138" t="e">
        <f>'ANEXO 1. MATRIZ DE SEGUIMIENTO'!#REF!</f>
        <v>#REF!</v>
      </c>
      <c r="B73" s="295" t="s">
        <v>587</v>
      </c>
      <c r="C73" s="1155" t="s">
        <v>590</v>
      </c>
      <c r="D73" s="1146" t="s">
        <v>592</v>
      </c>
    </row>
    <row r="74" spans="1:4" ht="18.75">
      <c r="A74" s="1138"/>
      <c r="B74" s="298" t="s">
        <v>588</v>
      </c>
      <c r="C74" s="1155"/>
      <c r="D74" s="1147"/>
    </row>
    <row r="75" spans="1:4" ht="37.5">
      <c r="A75" s="1138"/>
      <c r="B75" s="298" t="s">
        <v>589</v>
      </c>
      <c r="C75" s="1155"/>
      <c r="D75" s="1148"/>
    </row>
  </sheetData>
  <mergeCells count="39">
    <mergeCell ref="A73:A75"/>
    <mergeCell ref="C73:C75"/>
    <mergeCell ref="D73:D75"/>
    <mergeCell ref="A53:A54"/>
    <mergeCell ref="C53:C54"/>
    <mergeCell ref="D53:D54"/>
    <mergeCell ref="A55:D55"/>
    <mergeCell ref="A59:D59"/>
    <mergeCell ref="A62:D62"/>
    <mergeCell ref="A64:D64"/>
    <mergeCell ref="D65:D67"/>
    <mergeCell ref="A68:D68"/>
    <mergeCell ref="A70:D70"/>
    <mergeCell ref="A72:D72"/>
    <mergeCell ref="A52:D52"/>
    <mergeCell ref="A31:D31"/>
    <mergeCell ref="D32:D33"/>
    <mergeCell ref="A35:D35"/>
    <mergeCell ref="D36:D37"/>
    <mergeCell ref="A40:D40"/>
    <mergeCell ref="A42:D42"/>
    <mergeCell ref="D43:D44"/>
    <mergeCell ref="A46:D46"/>
    <mergeCell ref="D47:D50"/>
    <mergeCell ref="A48:A49"/>
    <mergeCell ref="C48:C49"/>
    <mergeCell ref="C27:C30"/>
    <mergeCell ref="D27:D30"/>
    <mergeCell ref="A2:D2"/>
    <mergeCell ref="A4:D4"/>
    <mergeCell ref="A6:D6"/>
    <mergeCell ref="D7:D9"/>
    <mergeCell ref="A10:C10"/>
    <mergeCell ref="A12:D12"/>
    <mergeCell ref="A14:D14"/>
    <mergeCell ref="D15:D16"/>
    <mergeCell ref="A22:D22"/>
    <mergeCell ref="A24:D24"/>
    <mergeCell ref="A26:D26"/>
  </mergeCells>
  <printOptions horizontalCentered="1" verticalCentered="1"/>
  <pageMargins left="0.70866141732283472" right="0.70866141732283472" top="0.74803149606299213" bottom="0.74803149606299213" header="0.31496062992125984" footer="0.31496062992125984"/>
  <pageSetup scale="80" orientation="landscape" r:id="rId1"/>
  <rowBreaks count="4" manualBreakCount="4">
    <brk id="13" max="16383" man="1"/>
    <brk id="21" max="16383" man="1"/>
    <brk id="41" max="16383" man="1"/>
    <brk id="6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view="pageBreakPreview" zoomScaleNormal="100" zoomScaleSheetLayoutView="100" workbookViewId="0">
      <selection activeCell="E7" sqref="E7"/>
    </sheetView>
  </sheetViews>
  <sheetFormatPr baseColWidth="10" defaultRowHeight="15"/>
  <cols>
    <col min="1" max="1" width="50.7109375" customWidth="1"/>
    <col min="2" max="2" width="25" customWidth="1"/>
    <col min="3" max="3" width="38.7109375" customWidth="1"/>
    <col min="4" max="4" width="32.85546875" customWidth="1"/>
    <col min="5" max="5" width="17.7109375" customWidth="1"/>
  </cols>
  <sheetData>
    <row r="1" spans="1:5" ht="18.75">
      <c r="A1" s="1174" t="s">
        <v>623</v>
      </c>
      <c r="B1" s="1174"/>
      <c r="C1" s="1174"/>
      <c r="D1" s="1174"/>
      <c r="E1" s="1174"/>
    </row>
    <row r="2" spans="1:5" ht="18.75">
      <c r="A2" s="309"/>
      <c r="B2" s="309"/>
      <c r="C2" s="309"/>
      <c r="D2" s="309"/>
      <c r="E2" s="309"/>
    </row>
    <row r="3" spans="1:5" ht="37.5">
      <c r="A3" s="311" t="s">
        <v>494</v>
      </c>
      <c r="B3" s="311" t="s">
        <v>39</v>
      </c>
      <c r="C3" s="311" t="s">
        <v>493</v>
      </c>
      <c r="D3" s="312" t="s">
        <v>497</v>
      </c>
      <c r="E3" s="313" t="s">
        <v>624</v>
      </c>
    </row>
    <row r="4" spans="1:5" ht="18.75">
      <c r="A4" s="1166" t="s">
        <v>595</v>
      </c>
      <c r="B4" s="1167"/>
      <c r="C4" s="1167"/>
      <c r="D4" s="1167"/>
      <c r="E4" s="310"/>
    </row>
    <row r="5" spans="1:5" ht="36.75" customHeight="1">
      <c r="A5" s="289" t="e">
        <f>'ANEXO 1. MATRIZ DE SEGUIMIENTO'!#REF!</f>
        <v>#REF!</v>
      </c>
      <c r="B5" s="290" t="s">
        <v>596</v>
      </c>
      <c r="C5" s="289" t="s">
        <v>496</v>
      </c>
      <c r="D5" s="302" t="s">
        <v>503</v>
      </c>
      <c r="E5" s="305">
        <v>51647643</v>
      </c>
    </row>
    <row r="6" spans="1:5" ht="18.75">
      <c r="A6" s="1175" t="s">
        <v>597</v>
      </c>
      <c r="B6" s="1176"/>
      <c r="C6" s="1176"/>
      <c r="D6" s="1176"/>
      <c r="E6" s="306"/>
    </row>
    <row r="7" spans="1:5" ht="131.25">
      <c r="A7" s="300" t="s">
        <v>598</v>
      </c>
      <c r="B7" s="300" t="s">
        <v>599</v>
      </c>
      <c r="C7" s="292" t="s">
        <v>600</v>
      </c>
      <c r="D7" s="303" t="s">
        <v>500</v>
      </c>
      <c r="E7" s="305">
        <v>42086600.619999997</v>
      </c>
    </row>
    <row r="8" spans="1:5" ht="18.75">
      <c r="A8" s="1140" t="s">
        <v>601</v>
      </c>
      <c r="B8" s="1141"/>
      <c r="C8" s="1141"/>
      <c r="D8" s="1141"/>
      <c r="E8" s="306"/>
    </row>
    <row r="9" spans="1:5" ht="18.75">
      <c r="A9" s="292" t="e">
        <f>'Avance Metas RAE 2014'!A27</f>
        <v>#REF!</v>
      </c>
      <c r="B9" s="292" t="s">
        <v>531</v>
      </c>
      <c r="C9" s="1171" t="s">
        <v>535</v>
      </c>
      <c r="D9" s="1168" t="str">
        <f>D7</f>
        <v>Leuger Cortés</v>
      </c>
      <c r="E9" s="1158">
        <v>483200000</v>
      </c>
    </row>
    <row r="10" spans="1:5" ht="18.75">
      <c r="A10" s="298" t="e">
        <f>'Avance Metas RAE 2014'!A28</f>
        <v>#REF!</v>
      </c>
      <c r="B10" s="292" t="s">
        <v>532</v>
      </c>
      <c r="C10" s="1172"/>
      <c r="D10" s="1169"/>
      <c r="E10" s="1158"/>
    </row>
    <row r="11" spans="1:5" ht="18.75">
      <c r="A11" s="298" t="e">
        <f>'Avance Metas RAE 2014'!A29</f>
        <v>#REF!</v>
      </c>
      <c r="B11" s="298" t="s">
        <v>533</v>
      </c>
      <c r="C11" s="1172"/>
      <c r="D11" s="1169"/>
      <c r="E11" s="1158"/>
    </row>
    <row r="12" spans="1:5" ht="18.75">
      <c r="A12" s="298" t="e">
        <f>'Avance Metas RAE 2014'!A30</f>
        <v>#REF!</v>
      </c>
      <c r="B12" s="292" t="s">
        <v>534</v>
      </c>
      <c r="C12" s="1173"/>
      <c r="D12" s="1170"/>
      <c r="E12" s="1158"/>
    </row>
    <row r="13" spans="1:5" ht="18.75">
      <c r="A13" s="1140" t="s">
        <v>602</v>
      </c>
      <c r="B13" s="1141"/>
      <c r="C13" s="1142"/>
      <c r="D13" s="304"/>
      <c r="E13" s="306"/>
    </row>
    <row r="14" spans="1:5" ht="112.5">
      <c r="A14" s="292" t="str">
        <f>'TABLA 7 ESTRUCTURA PROGRAMÁTICA'!D143</f>
        <v xml:space="preserve">6.3.1 Apoyo a la estructuración, implementación y evaluación de compromisos en negocios verdes con enfoque cultural y/o diferencial  (comunidad étnica, y  afrodescendiente). en armonía con la actividad 5.1.4 </v>
      </c>
      <c r="B14" s="294" t="s">
        <v>570</v>
      </c>
      <c r="C14" s="294" t="s">
        <v>603</v>
      </c>
      <c r="D14" s="303" t="str">
        <f>D9</f>
        <v>Leuger Cortés</v>
      </c>
      <c r="E14" s="307">
        <v>471670000</v>
      </c>
    </row>
    <row r="15" spans="1:5" ht="36.75" customHeight="1">
      <c r="A15" s="1149" t="s">
        <v>604</v>
      </c>
      <c r="B15" s="1150"/>
      <c r="C15" s="1150"/>
      <c r="D15" s="1150"/>
      <c r="E15" s="306"/>
    </row>
    <row r="16" spans="1:5" ht="168.75">
      <c r="A16" s="298" t="str">
        <f>'TABLA 7 ESTRUCTURA PROGRAMÁTICA'!D164</f>
        <v>8.1.5 Ejecución de las inversiones en preservación, restauración, uso sostenible y generación de conocimiento (art.  11 de la Ley 1955 de 2019 y los artículos 24 y 25 de la Ley 1930 de 2018) y Participación en los espacios de consulta pública de los proyectos de reglamentación de los instrumentos económicos, financieros y de mercado, liderados por el MADS.</v>
      </c>
      <c r="B16" s="297" t="s">
        <v>547</v>
      </c>
      <c r="C16" s="297" t="s">
        <v>550</v>
      </c>
      <c r="D16" s="1139" t="s">
        <v>503</v>
      </c>
      <c r="E16" s="1158">
        <v>888697669.29999995</v>
      </c>
    </row>
    <row r="17" spans="1:5" ht="37.5">
      <c r="A17" s="298">
        <f>'TABLA 7 ESTRUCTURA PROGRAMÁTICA'!D165</f>
        <v>0</v>
      </c>
      <c r="B17" s="297" t="s">
        <v>548</v>
      </c>
      <c r="C17" s="297" t="s">
        <v>550</v>
      </c>
      <c r="D17" s="1139"/>
      <c r="E17" s="1159"/>
    </row>
    <row r="18" spans="1:5" ht="98.25" customHeight="1">
      <c r="A18" s="295">
        <f>'TABLA 7 ESTRUCTURA PROGRAMÁTICA'!D167</f>
        <v>0</v>
      </c>
      <c r="B18" s="297" t="s">
        <v>549</v>
      </c>
      <c r="C18" s="295" t="s">
        <v>551</v>
      </c>
      <c r="D18" s="296" t="s">
        <v>561</v>
      </c>
      <c r="E18" s="1159"/>
    </row>
    <row r="19" spans="1:5" ht="35.25" customHeight="1">
      <c r="A19" s="1161">
        <f>'TABLA 7 ESTRUCTURA PROGRAMÁTICA'!C176</f>
        <v>0</v>
      </c>
      <c r="B19" s="1161"/>
      <c r="C19" s="1161"/>
      <c r="D19" s="1161"/>
      <c r="E19" s="308"/>
    </row>
    <row r="20" spans="1:5" ht="37.5">
      <c r="A20" s="298">
        <f>'TABLA 7 ESTRUCTURA PROGRAMÁTICA'!D176</f>
        <v>0</v>
      </c>
      <c r="B20" s="297" t="s">
        <v>605</v>
      </c>
      <c r="C20" s="1163" t="s">
        <v>609</v>
      </c>
      <c r="D20" s="1139" t="s">
        <v>608</v>
      </c>
      <c r="E20" s="1157">
        <v>90000000</v>
      </c>
    </row>
    <row r="21" spans="1:5" ht="56.25">
      <c r="A21" s="298" t="str">
        <f>'TABLA 7 ESTRUCTURA PROGRAMÁTICA'!D177</f>
        <v xml:space="preserve">8.2.3 Fortalecimiento del Banco de Programas y Proyectos como soporte a la gestión de inversión ambiental de la entidad </v>
      </c>
      <c r="B21" s="297" t="s">
        <v>606</v>
      </c>
      <c r="C21" s="1163"/>
      <c r="D21" s="1139"/>
      <c r="E21" s="1157"/>
    </row>
    <row r="22" spans="1:5" ht="75">
      <c r="A22" s="298" t="str">
        <f>'TABLA 7 ESTRUCTURA PROGRAMÁTICA'!D178</f>
        <v>8.2.4 Concertación, gestión  e Implementación del programa de bienestar social e incentivos, y  de  formación y capacitación</v>
      </c>
      <c r="B22" s="297" t="s">
        <v>607</v>
      </c>
      <c r="C22" s="1163"/>
      <c r="D22" s="1139"/>
      <c r="E22" s="1157"/>
    </row>
    <row r="23" spans="1:5" ht="18.75">
      <c r="A23" s="1164">
        <f>'TABLA 7 ESTRUCTURA PROGRAMÁTICA'!C181</f>
        <v>0</v>
      </c>
      <c r="B23" s="1164"/>
      <c r="C23" s="1164"/>
      <c r="D23" s="1164"/>
      <c r="E23" s="308"/>
    </row>
    <row r="24" spans="1:5" ht="56.25">
      <c r="A24" s="298">
        <f>'TABLA 7 ESTRUCTURA PROGRAMÁTICA'!D181</f>
        <v>0</v>
      </c>
      <c r="B24" s="297" t="s">
        <v>610</v>
      </c>
      <c r="C24" s="1162" t="s">
        <v>613</v>
      </c>
      <c r="D24" s="1139" t="s">
        <v>500</v>
      </c>
      <c r="E24" s="1160">
        <v>60000000</v>
      </c>
    </row>
    <row r="25" spans="1:5" ht="63" customHeight="1">
      <c r="A25" s="299">
        <f>'TABLA 7 ESTRUCTURA PROGRAMÁTICA'!D182</f>
        <v>0</v>
      </c>
      <c r="B25" s="301" t="s">
        <v>611</v>
      </c>
      <c r="C25" s="1162"/>
      <c r="D25" s="1139"/>
      <c r="E25" s="1165"/>
    </row>
    <row r="26" spans="1:5" ht="39" customHeight="1">
      <c r="A26" s="295" t="e">
        <f>'TABLA 7 ESTRUCTURA PROGRAMÁTICA'!#REF!</f>
        <v>#REF!</v>
      </c>
      <c r="B26" s="295" t="s">
        <v>612</v>
      </c>
      <c r="C26" s="1162"/>
      <c r="D26" s="1139"/>
      <c r="E26" s="1165"/>
    </row>
    <row r="27" spans="1:5" ht="35.25" customHeight="1">
      <c r="A27" s="1161" t="e">
        <f>'TABLA 7 ESTRUCTURA PROGRAMÁTICA'!#REF!</f>
        <v>#REF!</v>
      </c>
      <c r="B27" s="1161"/>
      <c r="C27" s="1161"/>
      <c r="D27" s="1161"/>
      <c r="E27" s="308"/>
    </row>
    <row r="28" spans="1:5" ht="37.5">
      <c r="A28" s="295" t="e">
        <f>'TABLA 7 ESTRUCTURA PROGRAMÁTICA'!#REF!</f>
        <v>#REF!</v>
      </c>
      <c r="B28" s="295" t="s">
        <v>614</v>
      </c>
      <c r="C28" s="1138" t="s">
        <v>572</v>
      </c>
      <c r="D28" s="1139" t="s">
        <v>593</v>
      </c>
      <c r="E28" s="1160">
        <v>136690326</v>
      </c>
    </row>
    <row r="29" spans="1:5" ht="37.5">
      <c r="A29" s="295" t="e">
        <f>'TABLA 7 ESTRUCTURA PROGRAMÁTICA'!#REF!</f>
        <v>#REF!</v>
      </c>
      <c r="B29" s="298" t="s">
        <v>615</v>
      </c>
      <c r="C29" s="1138"/>
      <c r="D29" s="1139"/>
      <c r="E29" s="1160"/>
    </row>
    <row r="30" spans="1:5" ht="56.25">
      <c r="A30" s="295" t="e">
        <f>'TABLA 7 ESTRUCTURA PROGRAMÁTICA'!#REF!</f>
        <v>#REF!</v>
      </c>
      <c r="B30" s="298" t="s">
        <v>616</v>
      </c>
      <c r="C30" s="1138"/>
      <c r="D30" s="1139"/>
      <c r="E30" s="1160"/>
    </row>
    <row r="31" spans="1:5" ht="18.75">
      <c r="A31" s="295" t="e">
        <f>'TABLA 7 ESTRUCTURA PROGRAMÁTICA'!#REF!</f>
        <v>#REF!</v>
      </c>
      <c r="B31" s="298"/>
      <c r="C31" s="1138"/>
      <c r="D31" s="1139"/>
      <c r="E31" s="1160"/>
    </row>
    <row r="32" spans="1:5" ht="18.75">
      <c r="A32" s="1161" t="s">
        <v>617</v>
      </c>
      <c r="B32" s="1161"/>
      <c r="C32" s="1161"/>
      <c r="D32" s="1161"/>
      <c r="E32" s="308"/>
    </row>
    <row r="33" spans="1:5" ht="53.25" customHeight="1">
      <c r="A33" s="298" t="e">
        <f>'TABLA 7 ESTRUCTURA PROGRAMÁTICA'!#REF!</f>
        <v>#REF!</v>
      </c>
      <c r="B33" s="298" t="s">
        <v>618</v>
      </c>
      <c r="C33" s="298" t="s">
        <v>550</v>
      </c>
      <c r="D33" s="1139" t="s">
        <v>594</v>
      </c>
      <c r="E33" s="1160">
        <v>80690000</v>
      </c>
    </row>
    <row r="34" spans="1:5" ht="75">
      <c r="A34" s="298" t="e">
        <f>'TABLA 7 ESTRUCTURA PROGRAMÁTICA'!#REF!</f>
        <v>#REF!</v>
      </c>
      <c r="B34" s="297" t="s">
        <v>619</v>
      </c>
      <c r="C34" s="295" t="s">
        <v>550</v>
      </c>
      <c r="D34" s="1139"/>
      <c r="E34" s="1160"/>
    </row>
    <row r="35" spans="1:5" ht="37.5" customHeight="1">
      <c r="A35" s="1161" t="e">
        <f>'TABLA 7 ESTRUCTURA PROGRAMÁTICA'!#REF!</f>
        <v>#REF!</v>
      </c>
      <c r="B35" s="1161"/>
      <c r="C35" s="1161"/>
      <c r="D35" s="1161"/>
      <c r="E35" s="308"/>
    </row>
    <row r="36" spans="1:5" ht="75">
      <c r="A36" s="1162" t="e">
        <f>'TABLA 7 ESTRUCTURA PROGRAMÁTICA'!#REF!</f>
        <v>#REF!</v>
      </c>
      <c r="B36" s="295" t="s">
        <v>620</v>
      </c>
      <c r="C36" s="1139" t="s">
        <v>550</v>
      </c>
      <c r="D36" s="1139" t="s">
        <v>558</v>
      </c>
      <c r="E36" s="1177">
        <v>570939753.89999998</v>
      </c>
    </row>
    <row r="37" spans="1:5" ht="54" customHeight="1">
      <c r="A37" s="1162"/>
      <c r="B37" s="298" t="s">
        <v>621</v>
      </c>
      <c r="C37" s="1139"/>
      <c r="D37" s="1139"/>
      <c r="E37" s="1165"/>
    </row>
    <row r="38" spans="1:5" ht="56.25">
      <c r="A38" s="1162"/>
      <c r="B38" s="298" t="s">
        <v>622</v>
      </c>
      <c r="C38" s="1139"/>
      <c r="D38" s="1139"/>
      <c r="E38" s="1165"/>
    </row>
  </sheetData>
  <mergeCells count="31">
    <mergeCell ref="A32:D32"/>
    <mergeCell ref="A35:D35"/>
    <mergeCell ref="A36:A38"/>
    <mergeCell ref="C36:C38"/>
    <mergeCell ref="E36:E38"/>
    <mergeCell ref="E33:E34"/>
    <mergeCell ref="D36:D38"/>
    <mergeCell ref="D33:D34"/>
    <mergeCell ref="A4:D4"/>
    <mergeCell ref="D9:D12"/>
    <mergeCell ref="A15:D15"/>
    <mergeCell ref="C9:C12"/>
    <mergeCell ref="A1:E1"/>
    <mergeCell ref="A6:D6"/>
    <mergeCell ref="A8:D8"/>
    <mergeCell ref="A13:C13"/>
    <mergeCell ref="E9:E12"/>
    <mergeCell ref="E20:E22"/>
    <mergeCell ref="E16:E18"/>
    <mergeCell ref="E28:E31"/>
    <mergeCell ref="C28:C31"/>
    <mergeCell ref="D28:D31"/>
    <mergeCell ref="A19:D19"/>
    <mergeCell ref="D16:D17"/>
    <mergeCell ref="D20:D22"/>
    <mergeCell ref="A27:D27"/>
    <mergeCell ref="C24:C26"/>
    <mergeCell ref="D24:D26"/>
    <mergeCell ref="C20:C22"/>
    <mergeCell ref="A23:D23"/>
    <mergeCell ref="E24:E26"/>
  </mergeCells>
  <printOptions horizontalCentered="1" verticalCentered="1"/>
  <pageMargins left="0.70866141732283472" right="0.70866141732283472" top="0.74803149606299213" bottom="0.74803149606299213" header="0.31496062992125984" footer="0.31496062992125984"/>
  <pageSetup scale="64" fitToWidth="0" fitToHeight="0" orientation="landscape" r:id="rId1"/>
  <rowBreaks count="2" manualBreakCount="2">
    <brk id="14" max="4" man="1"/>
    <brk id="26"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
  <sheetViews>
    <sheetView workbookViewId="0">
      <selection activeCell="C3" sqref="C3:E5"/>
    </sheetView>
  </sheetViews>
  <sheetFormatPr baseColWidth="10" defaultRowHeight="15"/>
  <sheetData>
    <row r="4" spans="4:4">
      <c r="D4" s="28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3"/>
  <sheetViews>
    <sheetView workbookViewId="0">
      <selection activeCell="B9" sqref="B9"/>
    </sheetView>
  </sheetViews>
  <sheetFormatPr baseColWidth="10" defaultRowHeight="15"/>
  <cols>
    <col min="1" max="1" width="5.28515625" customWidth="1"/>
    <col min="2" max="2" width="72.7109375" customWidth="1"/>
    <col min="3" max="3" width="12.140625" customWidth="1"/>
    <col min="5" max="5" width="12.28515625" customWidth="1"/>
    <col min="6" max="6" width="10" customWidth="1"/>
    <col min="7" max="7" width="11.28515625" customWidth="1"/>
    <col min="8" max="8" width="10.28515625" customWidth="1"/>
  </cols>
  <sheetData>
    <row r="1" spans="2:13">
      <c r="B1" s="28" t="s">
        <v>84</v>
      </c>
    </row>
    <row r="2" spans="2:13" ht="19.5" thickBot="1">
      <c r="B2" s="40" t="s">
        <v>211</v>
      </c>
    </row>
    <row r="3" spans="2:13" ht="15.75" customHeight="1">
      <c r="B3" s="1192" t="s">
        <v>37</v>
      </c>
      <c r="C3" s="1184" t="s">
        <v>38</v>
      </c>
      <c r="D3" s="37" t="s">
        <v>39</v>
      </c>
      <c r="E3" s="37" t="s">
        <v>39</v>
      </c>
      <c r="F3" s="1184" t="s">
        <v>163</v>
      </c>
      <c r="G3" s="1184" t="s">
        <v>164</v>
      </c>
      <c r="H3" s="1184" t="s">
        <v>165</v>
      </c>
      <c r="I3" s="1184" t="s">
        <v>166</v>
      </c>
      <c r="J3" s="1184" t="s">
        <v>170</v>
      </c>
      <c r="K3" s="1184" t="s">
        <v>167</v>
      </c>
      <c r="L3" s="1184" t="s">
        <v>169</v>
      </c>
      <c r="M3" s="1184" t="s">
        <v>168</v>
      </c>
    </row>
    <row r="4" spans="2:13" ht="47.25" customHeight="1" thickBot="1">
      <c r="B4" s="1193"/>
      <c r="C4" s="1185"/>
      <c r="D4" s="38" t="s">
        <v>162</v>
      </c>
      <c r="E4" s="38" t="s">
        <v>213</v>
      </c>
      <c r="F4" s="1185"/>
      <c r="G4" s="1185"/>
      <c r="H4" s="1185"/>
      <c r="I4" s="1185"/>
      <c r="J4" s="1185"/>
      <c r="K4" s="1185"/>
      <c r="L4" s="1185"/>
      <c r="M4" s="1185"/>
    </row>
    <row r="5" spans="2:13" ht="15.75" thickBot="1">
      <c r="B5" s="1181" t="s">
        <v>40</v>
      </c>
      <c r="C5" s="1182"/>
      <c r="D5" s="1182"/>
      <c r="E5" s="1182"/>
      <c r="F5" s="1182"/>
      <c r="G5" s="1182"/>
      <c r="H5" s="1182"/>
      <c r="I5" s="1194"/>
      <c r="J5" s="1194"/>
      <c r="K5" s="1194"/>
      <c r="L5" s="1194"/>
      <c r="M5" s="1195"/>
    </row>
    <row r="6" spans="2:13" ht="15.75" thickBot="1">
      <c r="B6" s="16" t="s">
        <v>41</v>
      </c>
      <c r="C6" s="17" t="s">
        <v>42</v>
      </c>
      <c r="D6" s="18">
        <v>300</v>
      </c>
      <c r="E6" s="18"/>
      <c r="F6" s="18"/>
      <c r="G6" s="18"/>
      <c r="H6" s="19"/>
      <c r="I6" s="39"/>
      <c r="J6" s="39"/>
      <c r="K6" s="39"/>
      <c r="L6" s="39"/>
      <c r="M6" s="27"/>
    </row>
    <row r="7" spans="2:13" ht="27.75" thickBot="1">
      <c r="B7" s="16" t="s">
        <v>43</v>
      </c>
      <c r="C7" s="17" t="s">
        <v>44</v>
      </c>
      <c r="D7" s="18">
        <v>10</v>
      </c>
      <c r="E7" s="18"/>
      <c r="F7" s="18"/>
      <c r="G7" s="18"/>
      <c r="H7" s="39"/>
      <c r="I7" s="39"/>
      <c r="J7" s="39"/>
      <c r="K7" s="39"/>
      <c r="L7" s="39"/>
      <c r="M7" s="27"/>
    </row>
    <row r="8" spans="2:13" ht="15.75" thickBot="1">
      <c r="B8" s="1181" t="s">
        <v>45</v>
      </c>
      <c r="C8" s="1182"/>
      <c r="D8" s="1182"/>
      <c r="E8" s="1182"/>
      <c r="F8" s="1182"/>
      <c r="G8" s="1182"/>
      <c r="H8" s="1182"/>
      <c r="I8" s="1196"/>
      <c r="J8" s="1196"/>
      <c r="K8" s="1196"/>
      <c r="L8" s="1196"/>
      <c r="M8" s="1197"/>
    </row>
    <row r="9" spans="2:13" ht="27.75" thickBot="1">
      <c r="B9" s="16" t="s">
        <v>46</v>
      </c>
      <c r="C9" s="17" t="s">
        <v>47</v>
      </c>
      <c r="D9" s="18">
        <v>32</v>
      </c>
      <c r="E9" s="18"/>
      <c r="F9" s="18"/>
      <c r="G9" s="18"/>
      <c r="H9" s="18"/>
      <c r="I9" s="18"/>
      <c r="J9" s="18"/>
      <c r="K9" s="18"/>
      <c r="L9" s="18"/>
      <c r="M9" s="18"/>
    </row>
    <row r="10" spans="2:13" ht="27.75" thickBot="1">
      <c r="B10" s="16" t="s">
        <v>48</v>
      </c>
      <c r="C10" s="17" t="s">
        <v>49</v>
      </c>
      <c r="D10" s="18">
        <v>120</v>
      </c>
      <c r="E10" s="18"/>
      <c r="F10" s="18"/>
      <c r="G10" s="18"/>
      <c r="H10" s="18"/>
      <c r="I10" s="18"/>
      <c r="J10" s="18"/>
      <c r="K10" s="18"/>
      <c r="L10" s="18"/>
      <c r="M10" s="18"/>
    </row>
    <row r="11" spans="2:13" ht="27.75" thickBot="1">
      <c r="B11" s="16" t="s">
        <v>50</v>
      </c>
      <c r="C11" s="17" t="s">
        <v>51</v>
      </c>
      <c r="D11" s="20">
        <v>3657374</v>
      </c>
      <c r="E11" s="20"/>
      <c r="F11" s="20"/>
      <c r="G11" s="20"/>
      <c r="H11" s="20"/>
      <c r="I11" s="20"/>
      <c r="J11" s="20"/>
      <c r="K11" s="20"/>
      <c r="L11" s="20"/>
      <c r="M11" s="20"/>
    </row>
    <row r="12" spans="2:13" ht="27.75" thickBot="1">
      <c r="B12" s="16" t="s">
        <v>52</v>
      </c>
      <c r="C12" s="17" t="s">
        <v>51</v>
      </c>
      <c r="D12" s="20">
        <v>4007338</v>
      </c>
      <c r="E12" s="20"/>
      <c r="F12" s="20"/>
      <c r="G12" s="20"/>
      <c r="H12" s="20"/>
      <c r="I12" s="20"/>
      <c r="J12" s="20"/>
      <c r="K12" s="20"/>
      <c r="L12" s="20"/>
      <c r="M12" s="20"/>
    </row>
    <row r="13" spans="2:13" ht="27.75" thickBot="1">
      <c r="B13" s="16" t="s">
        <v>53</v>
      </c>
      <c r="C13" s="17" t="s">
        <v>54</v>
      </c>
      <c r="D13" s="18">
        <v>135</v>
      </c>
      <c r="E13" s="18"/>
      <c r="F13" s="18"/>
      <c r="G13" s="18"/>
      <c r="H13" s="18"/>
      <c r="I13" s="18"/>
      <c r="J13" s="18"/>
      <c r="K13" s="18"/>
      <c r="L13" s="18"/>
      <c r="M13" s="18"/>
    </row>
    <row r="14" spans="2:13" ht="15.75" thickBot="1">
      <c r="B14" s="1181" t="s">
        <v>55</v>
      </c>
      <c r="C14" s="1182"/>
      <c r="D14" s="1182"/>
      <c r="E14" s="1182"/>
      <c r="F14" s="1182"/>
      <c r="G14" s="1182"/>
      <c r="H14" s="1182"/>
      <c r="I14" s="1182"/>
      <c r="J14" s="1182"/>
      <c r="K14" s="1182"/>
      <c r="L14" s="1182"/>
      <c r="M14" s="1183"/>
    </row>
    <row r="15" spans="2:13" ht="21" customHeight="1" thickBot="1">
      <c r="B15" s="16" t="s">
        <v>56</v>
      </c>
      <c r="C15" s="17" t="s">
        <v>57</v>
      </c>
      <c r="D15" s="20">
        <v>500000</v>
      </c>
      <c r="E15" s="20"/>
      <c r="F15" s="20"/>
      <c r="G15" s="20"/>
      <c r="H15" s="20"/>
      <c r="I15" s="20"/>
      <c r="J15" s="20"/>
      <c r="K15" s="20"/>
      <c r="L15" s="20"/>
      <c r="M15" s="20"/>
    </row>
    <row r="16" spans="2:13" ht="15.75" thickBot="1">
      <c r="B16" s="1181" t="s">
        <v>58</v>
      </c>
      <c r="C16" s="1182"/>
      <c r="D16" s="1182"/>
      <c r="E16" s="1182"/>
      <c r="F16" s="1182"/>
      <c r="G16" s="1182"/>
      <c r="H16" s="1182"/>
      <c r="I16" s="1182"/>
      <c r="J16" s="1182"/>
      <c r="K16" s="1182"/>
      <c r="L16" s="1182"/>
      <c r="M16" s="1183"/>
    </row>
    <row r="17" spans="2:13" ht="27.75" thickBot="1">
      <c r="B17" s="16" t="s">
        <v>59</v>
      </c>
      <c r="C17" s="17" t="s">
        <v>60</v>
      </c>
      <c r="D17" s="20">
        <v>120000</v>
      </c>
      <c r="E17" s="20"/>
      <c r="F17" s="18"/>
      <c r="G17" s="20"/>
      <c r="H17" s="20"/>
      <c r="I17" s="20"/>
      <c r="J17" s="20"/>
      <c r="K17" s="20"/>
      <c r="L17" s="20"/>
      <c r="M17" s="20"/>
    </row>
    <row r="18" spans="2:13" ht="27.75" thickBot="1">
      <c r="B18" s="16" t="s">
        <v>61</v>
      </c>
      <c r="C18" s="17" t="s">
        <v>62</v>
      </c>
      <c r="D18" s="18">
        <v>13</v>
      </c>
      <c r="E18" s="18"/>
      <c r="F18" s="18"/>
      <c r="G18" s="18"/>
      <c r="H18" s="18"/>
      <c r="I18" s="18"/>
      <c r="J18" s="18"/>
      <c r="K18" s="18"/>
      <c r="L18" s="18"/>
      <c r="M18" s="18"/>
    </row>
    <row r="19" spans="2:13" ht="27.75" thickBot="1">
      <c r="B19" s="21" t="s">
        <v>63</v>
      </c>
      <c r="C19" s="22" t="s">
        <v>64</v>
      </c>
      <c r="D19" s="23">
        <v>8</v>
      </c>
      <c r="E19" s="23"/>
      <c r="F19" s="23"/>
      <c r="G19" s="23"/>
      <c r="H19" s="23"/>
      <c r="I19" s="23"/>
      <c r="J19" s="23"/>
      <c r="K19" s="23"/>
      <c r="L19" s="23"/>
      <c r="M19" s="23"/>
    </row>
    <row r="20" spans="2:13" ht="15.75" thickBot="1">
      <c r="B20" s="1181" t="s">
        <v>65</v>
      </c>
      <c r="C20" s="1182"/>
      <c r="D20" s="1182"/>
      <c r="E20" s="1182"/>
      <c r="F20" s="1182"/>
      <c r="G20" s="1182"/>
      <c r="H20" s="1182"/>
      <c r="I20" s="1182"/>
      <c r="J20" s="1182"/>
      <c r="K20" s="1182"/>
      <c r="L20" s="1182"/>
      <c r="M20" s="1183"/>
    </row>
    <row r="21" spans="2:13" ht="27.75" thickBot="1">
      <c r="B21" s="16" t="s">
        <v>66</v>
      </c>
      <c r="C21" s="17" t="s">
        <v>60</v>
      </c>
      <c r="D21" s="20">
        <v>200000</v>
      </c>
      <c r="E21" s="20"/>
      <c r="F21" s="24"/>
      <c r="G21" s="24"/>
      <c r="H21" s="24"/>
      <c r="I21" s="24"/>
      <c r="J21" s="24"/>
      <c r="K21" s="24"/>
      <c r="L21" s="24"/>
      <c r="M21" s="24"/>
    </row>
    <row r="22" spans="2:13" ht="27.75" thickBot="1">
      <c r="B22" s="16" t="s">
        <v>67</v>
      </c>
      <c r="C22" s="17" t="s">
        <v>68</v>
      </c>
      <c r="D22" s="18">
        <v>7</v>
      </c>
      <c r="E22" s="18"/>
      <c r="F22" s="18"/>
      <c r="G22" s="18"/>
      <c r="H22" s="18"/>
      <c r="I22" s="18"/>
      <c r="J22" s="18"/>
      <c r="K22" s="18"/>
      <c r="L22" s="18"/>
      <c r="M22" s="18"/>
    </row>
    <row r="23" spans="2:13" ht="27.75" thickBot="1">
      <c r="B23" s="16" t="s">
        <v>69</v>
      </c>
      <c r="C23" s="17" t="s">
        <v>70</v>
      </c>
      <c r="D23" s="18">
        <v>10</v>
      </c>
      <c r="E23" s="18"/>
      <c r="F23" s="18"/>
      <c r="G23" s="18"/>
      <c r="H23" s="18"/>
      <c r="I23" s="18"/>
      <c r="J23" s="18"/>
      <c r="K23" s="18"/>
      <c r="L23" s="18"/>
      <c r="M23" s="18"/>
    </row>
    <row r="24" spans="2:13">
      <c r="B24" s="1188" t="s">
        <v>71</v>
      </c>
      <c r="C24" s="1188" t="s">
        <v>60</v>
      </c>
      <c r="D24" s="1190">
        <v>5000</v>
      </c>
      <c r="E24" s="1186"/>
      <c r="F24" s="1186"/>
      <c r="G24" s="1186"/>
      <c r="H24" s="1186"/>
      <c r="I24" s="1186"/>
      <c r="J24" s="1186"/>
      <c r="K24" s="1186"/>
      <c r="L24" s="1186"/>
      <c r="M24" s="1186"/>
    </row>
    <row r="25" spans="2:13" ht="15.75" thickBot="1">
      <c r="B25" s="1189"/>
      <c r="C25" s="1189"/>
      <c r="D25" s="1191"/>
      <c r="E25" s="1187"/>
      <c r="F25" s="1187"/>
      <c r="G25" s="1187"/>
      <c r="H25" s="1187"/>
      <c r="I25" s="1187"/>
      <c r="J25" s="1187"/>
      <c r="K25" s="1187"/>
      <c r="L25" s="1187"/>
      <c r="M25" s="1187"/>
    </row>
    <row r="26" spans="2:13" ht="15.75" thickBot="1">
      <c r="B26" s="1181" t="s">
        <v>72</v>
      </c>
      <c r="C26" s="1182"/>
      <c r="D26" s="1182"/>
      <c r="E26" s="1182"/>
      <c r="F26" s="1182"/>
      <c r="G26" s="1182"/>
      <c r="H26" s="1182"/>
      <c r="I26" s="1182"/>
      <c r="J26" s="1182"/>
      <c r="K26" s="1182"/>
      <c r="L26" s="1182"/>
      <c r="M26" s="1183"/>
    </row>
    <row r="27" spans="2:13" ht="27.75" thickBot="1">
      <c r="B27" s="21" t="s">
        <v>73</v>
      </c>
      <c r="C27" s="22" t="s">
        <v>60</v>
      </c>
      <c r="D27" s="25">
        <v>100000</v>
      </c>
      <c r="E27" s="25"/>
      <c r="F27" s="25"/>
      <c r="G27" s="25"/>
      <c r="H27" s="25"/>
      <c r="I27" s="25"/>
      <c r="J27" s="25"/>
      <c r="K27" s="25"/>
      <c r="L27" s="25"/>
      <c r="M27" s="25"/>
    </row>
    <row r="28" spans="2:13" ht="15.75" thickBot="1">
      <c r="B28" s="1181" t="s">
        <v>74</v>
      </c>
      <c r="C28" s="1182"/>
      <c r="D28" s="1182"/>
      <c r="E28" s="1182"/>
      <c r="F28" s="1182"/>
      <c r="G28" s="1182"/>
      <c r="H28" s="1182"/>
      <c r="I28" s="1182"/>
      <c r="J28" s="1182"/>
      <c r="K28" s="1182"/>
      <c r="L28" s="1182"/>
      <c r="M28" s="1183"/>
    </row>
    <row r="29" spans="2:13" ht="27.75" thickBot="1">
      <c r="B29" s="26" t="s">
        <v>75</v>
      </c>
      <c r="C29" s="18" t="s">
        <v>76</v>
      </c>
      <c r="D29" s="18">
        <v>5</v>
      </c>
      <c r="E29" s="18"/>
      <c r="F29" s="18"/>
      <c r="G29" s="18"/>
      <c r="H29" s="18"/>
      <c r="I29" s="18"/>
      <c r="J29" s="18"/>
      <c r="K29" s="18"/>
      <c r="L29" s="18"/>
      <c r="M29" s="18"/>
    </row>
    <row r="30" spans="2:13" ht="15.75" thickBot="1">
      <c r="B30" s="1181" t="s">
        <v>77</v>
      </c>
      <c r="C30" s="1182"/>
      <c r="D30" s="1182"/>
      <c r="E30" s="1182"/>
      <c r="F30" s="1182"/>
      <c r="G30" s="1182"/>
      <c r="H30" s="1182"/>
      <c r="I30" s="1182"/>
      <c r="J30" s="1182"/>
      <c r="K30" s="1182"/>
      <c r="L30" s="1182"/>
      <c r="M30" s="1183"/>
    </row>
    <row r="31" spans="2:13" ht="15.75" thickBot="1">
      <c r="B31" s="21" t="s">
        <v>78</v>
      </c>
      <c r="C31" s="23" t="s">
        <v>79</v>
      </c>
      <c r="D31" s="23">
        <v>56</v>
      </c>
      <c r="E31" s="23"/>
      <c r="F31" s="23"/>
      <c r="G31" s="23"/>
      <c r="H31" s="23"/>
      <c r="I31" s="23"/>
      <c r="J31" s="23"/>
      <c r="K31" s="23"/>
      <c r="L31" s="23"/>
      <c r="M31" s="23"/>
    </row>
    <row r="32" spans="2:13" ht="15.75" thickBot="1">
      <c r="B32" s="1181" t="s">
        <v>80</v>
      </c>
      <c r="C32" s="1182"/>
      <c r="D32" s="1182"/>
      <c r="E32" s="1182"/>
      <c r="F32" s="1182"/>
      <c r="G32" s="1182"/>
      <c r="H32" s="1182"/>
      <c r="I32" s="1182"/>
      <c r="J32" s="1182"/>
      <c r="K32" s="1182"/>
      <c r="L32" s="1182"/>
      <c r="M32" s="1183"/>
    </row>
    <row r="33" spans="2:13" ht="24" customHeight="1" thickBot="1">
      <c r="B33" s="26" t="s">
        <v>81</v>
      </c>
      <c r="C33" s="18" t="s">
        <v>82</v>
      </c>
      <c r="D33" s="18">
        <v>150</v>
      </c>
      <c r="E33" s="18"/>
      <c r="F33" s="18"/>
      <c r="G33" s="18"/>
      <c r="H33" s="18"/>
      <c r="I33" s="18"/>
      <c r="J33" s="18"/>
      <c r="K33" s="18"/>
      <c r="L33" s="18"/>
      <c r="M33" s="18"/>
    </row>
    <row r="34" spans="2:13" ht="24" customHeight="1" thickBot="1">
      <c r="B34" s="26" t="s">
        <v>171</v>
      </c>
      <c r="C34" s="18" t="s">
        <v>83</v>
      </c>
      <c r="D34" s="18">
        <v>40</v>
      </c>
      <c r="E34" s="18"/>
      <c r="F34" s="18"/>
      <c r="G34" s="18"/>
      <c r="H34" s="18"/>
      <c r="I34" s="18"/>
      <c r="J34" s="18"/>
      <c r="K34" s="18"/>
      <c r="L34" s="18"/>
      <c r="M34" s="18"/>
    </row>
    <row r="35" spans="2:13" ht="15.75" thickBot="1">
      <c r="B35" s="1178" t="s">
        <v>172</v>
      </c>
      <c r="C35" s="1179"/>
      <c r="D35" s="1179"/>
      <c r="E35" s="1179"/>
      <c r="F35" s="1179"/>
      <c r="G35" s="1179"/>
      <c r="H35" s="1179"/>
      <c r="I35" s="1179"/>
      <c r="J35" s="1179"/>
      <c r="K35" s="1179"/>
      <c r="L35" s="1179"/>
      <c r="M35" s="1180"/>
    </row>
    <row r="36" spans="2:13" ht="41.25" thickBot="1">
      <c r="B36" s="21" t="s">
        <v>173</v>
      </c>
      <c r="C36" s="23" t="s">
        <v>174</v>
      </c>
      <c r="D36" s="23">
        <v>16</v>
      </c>
      <c r="E36" s="23"/>
      <c r="F36" s="23"/>
      <c r="G36" s="23"/>
      <c r="H36" s="23"/>
      <c r="I36" s="23"/>
      <c r="J36" s="23"/>
      <c r="K36" s="23"/>
      <c r="L36" s="23"/>
      <c r="M36" s="23"/>
    </row>
    <row r="37" spans="2:13" ht="15.75" thickBot="1">
      <c r="B37" s="1178" t="s">
        <v>175</v>
      </c>
      <c r="C37" s="1179"/>
      <c r="D37" s="1179"/>
      <c r="E37" s="1179"/>
      <c r="F37" s="1179"/>
      <c r="G37" s="1179"/>
      <c r="H37" s="1179"/>
      <c r="I37" s="1179"/>
      <c r="J37" s="1179"/>
      <c r="K37" s="1179"/>
      <c r="L37" s="1179"/>
      <c r="M37" s="1180"/>
    </row>
    <row r="38" spans="2:13" ht="27.75" thickBot="1">
      <c r="B38" s="16" t="s">
        <v>176</v>
      </c>
      <c r="C38" s="18" t="s">
        <v>177</v>
      </c>
      <c r="D38" s="18">
        <v>18</v>
      </c>
      <c r="E38" s="18"/>
      <c r="F38" s="18"/>
      <c r="G38" s="18"/>
      <c r="H38" s="18"/>
      <c r="I38" s="18"/>
      <c r="J38" s="18"/>
      <c r="K38" s="18"/>
      <c r="L38" s="18"/>
      <c r="M38" s="18"/>
    </row>
    <row r="39" spans="2:13" ht="15.75" thickBot="1">
      <c r="B39" s="16" t="s">
        <v>178</v>
      </c>
      <c r="C39" s="18" t="s">
        <v>177</v>
      </c>
      <c r="D39" s="18">
        <v>18</v>
      </c>
      <c r="E39" s="18"/>
      <c r="F39" s="18"/>
      <c r="G39" s="18"/>
      <c r="H39" s="18"/>
      <c r="I39" s="18"/>
      <c r="J39" s="18"/>
      <c r="K39" s="18"/>
      <c r="L39" s="18"/>
      <c r="M39" s="18"/>
    </row>
    <row r="40" spans="2:13" ht="15.75" thickBot="1">
      <c r="B40" s="1178" t="s">
        <v>179</v>
      </c>
      <c r="C40" s="1179"/>
      <c r="D40" s="1179"/>
      <c r="E40" s="1179"/>
      <c r="F40" s="1179"/>
      <c r="G40" s="1179"/>
      <c r="H40" s="1179"/>
      <c r="I40" s="1179"/>
      <c r="J40" s="1179"/>
      <c r="K40" s="1179"/>
      <c r="L40" s="1179"/>
      <c r="M40" s="1180"/>
    </row>
    <row r="41" spans="2:13" ht="40.5" customHeight="1" thickBot="1">
      <c r="B41" s="16" t="s">
        <v>180</v>
      </c>
      <c r="C41" s="18" t="s">
        <v>181</v>
      </c>
      <c r="D41" s="18">
        <v>600</v>
      </c>
      <c r="E41" s="18"/>
      <c r="F41" s="18"/>
      <c r="G41" s="18"/>
      <c r="H41" s="18"/>
      <c r="I41" s="18"/>
      <c r="J41" s="18"/>
      <c r="K41" s="18"/>
      <c r="L41" s="18"/>
      <c r="M41" s="18"/>
    </row>
    <row r="42" spans="2:13" ht="27.75" thickBot="1">
      <c r="B42" s="16" t="s">
        <v>182</v>
      </c>
      <c r="C42" s="18" t="s">
        <v>183</v>
      </c>
      <c r="D42" s="18">
        <v>15</v>
      </c>
      <c r="E42" s="18"/>
      <c r="F42" s="18"/>
      <c r="G42" s="18"/>
      <c r="H42" s="18"/>
      <c r="I42" s="18"/>
      <c r="J42" s="18"/>
      <c r="K42" s="18"/>
      <c r="L42" s="18"/>
      <c r="M42" s="18"/>
    </row>
    <row r="43" spans="2:13" ht="27.75" thickBot="1">
      <c r="B43" s="16" t="s">
        <v>184</v>
      </c>
      <c r="C43" s="18" t="s">
        <v>185</v>
      </c>
      <c r="D43" s="18">
        <v>5</v>
      </c>
      <c r="E43" s="18"/>
      <c r="F43" s="18"/>
      <c r="G43" s="18"/>
      <c r="H43" s="18"/>
      <c r="I43" s="18"/>
      <c r="J43" s="18"/>
      <c r="K43" s="18"/>
      <c r="L43" s="18"/>
      <c r="M43" s="18"/>
    </row>
  </sheetData>
  <mergeCells count="34">
    <mergeCell ref="H3:H4"/>
    <mergeCell ref="E24:E25"/>
    <mergeCell ref="B3:B4"/>
    <mergeCell ref="B5:M5"/>
    <mergeCell ref="L24:L25"/>
    <mergeCell ref="B20:M20"/>
    <mergeCell ref="L3:L4"/>
    <mergeCell ref="B8:M8"/>
    <mergeCell ref="C3:C4"/>
    <mergeCell ref="F3:F4"/>
    <mergeCell ref="B28:M28"/>
    <mergeCell ref="B30:M30"/>
    <mergeCell ref="C24:C25"/>
    <mergeCell ref="D24:D25"/>
    <mergeCell ref="F24:F25"/>
    <mergeCell ref="G24:G25"/>
    <mergeCell ref="H24:H25"/>
    <mergeCell ref="I24:I25"/>
    <mergeCell ref="B40:M40"/>
    <mergeCell ref="B37:M37"/>
    <mergeCell ref="B35:M35"/>
    <mergeCell ref="B32:M32"/>
    <mergeCell ref="G3:G4"/>
    <mergeCell ref="I3:I4"/>
    <mergeCell ref="J3:J4"/>
    <mergeCell ref="K3:K4"/>
    <mergeCell ref="M3:M4"/>
    <mergeCell ref="J24:J25"/>
    <mergeCell ref="B24:B25"/>
    <mergeCell ref="B26:M26"/>
    <mergeCell ref="K24:K25"/>
    <mergeCell ref="M24:M25"/>
    <mergeCell ref="B14:M14"/>
    <mergeCell ref="B16:M1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topLeftCell="A16" zoomScale="80" zoomScaleNormal="80" workbookViewId="0">
      <selection activeCell="J10" sqref="J10"/>
    </sheetView>
  </sheetViews>
  <sheetFormatPr baseColWidth="10" defaultRowHeight="15"/>
  <cols>
    <col min="1" max="1" width="18" customWidth="1"/>
    <col min="2" max="2" width="29.7109375" customWidth="1"/>
    <col min="3" max="3" width="15" customWidth="1"/>
    <col min="4" max="4" width="14.5703125" customWidth="1"/>
    <col min="5" max="5" width="14" customWidth="1"/>
    <col min="6" max="6" width="14.7109375" customWidth="1"/>
    <col min="7" max="8" width="14" customWidth="1"/>
    <col min="9" max="9" width="14.5703125" customWidth="1"/>
    <col min="10" max="10" width="14" customWidth="1"/>
    <col min="11" max="11" width="12.42578125" customWidth="1"/>
    <col min="14" max="14" width="13" style="104" customWidth="1"/>
  </cols>
  <sheetData>
    <row r="1" spans="1:17" ht="21">
      <c r="A1" s="1198" t="s">
        <v>326</v>
      </c>
      <c r="B1" s="1198"/>
      <c r="C1" s="1198"/>
      <c r="D1" s="1198"/>
      <c r="E1" s="1198"/>
      <c r="F1" s="1198"/>
      <c r="G1" s="1198"/>
      <c r="H1" s="1198"/>
      <c r="I1" s="1198"/>
      <c r="J1" s="1198"/>
      <c r="K1" s="1198"/>
      <c r="N1" s="77"/>
    </row>
    <row r="2" spans="1:17" ht="21.75" thickBot="1">
      <c r="A2" s="78"/>
      <c r="B2" s="78"/>
      <c r="C2" s="78"/>
      <c r="D2" s="78"/>
      <c r="E2" s="78"/>
      <c r="F2" s="1204" t="s">
        <v>452</v>
      </c>
      <c r="G2" s="1204"/>
      <c r="H2" s="1204"/>
      <c r="I2" s="1205" t="s">
        <v>451</v>
      </c>
      <c r="J2" s="1205"/>
      <c r="K2" s="1205"/>
      <c r="N2" s="77"/>
    </row>
    <row r="3" spans="1:17" s="28" customFormat="1">
      <c r="A3" s="1199" t="s">
        <v>327</v>
      </c>
      <c r="B3" s="1201" t="s">
        <v>21</v>
      </c>
      <c r="C3" s="1203" t="s">
        <v>328</v>
      </c>
      <c r="D3" s="1203"/>
      <c r="E3" s="1203"/>
      <c r="F3" s="1232" t="s">
        <v>329</v>
      </c>
      <c r="G3" s="1233"/>
      <c r="H3" s="1233"/>
      <c r="I3" s="1233"/>
      <c r="J3" s="1233"/>
      <c r="K3" s="1234"/>
      <c r="N3" s="130"/>
    </row>
    <row r="4" spans="1:17" s="28" customFormat="1" ht="30.75" thickBot="1">
      <c r="A4" s="1200"/>
      <c r="B4" s="1202"/>
      <c r="C4" s="101" t="s">
        <v>330</v>
      </c>
      <c r="D4" s="101" t="s">
        <v>331</v>
      </c>
      <c r="E4" s="101" t="s">
        <v>332</v>
      </c>
      <c r="F4" s="250" t="str">
        <f>I4</f>
        <v xml:space="preserve">META PROGRAMADA </v>
      </c>
      <c r="G4" s="250" t="str">
        <f>J4</f>
        <v>META EJECUTADA</v>
      </c>
      <c r="H4" s="250" t="str">
        <f>K4</f>
        <v>PORCENTAJE EJECUCIÓN</v>
      </c>
      <c r="I4" s="102" t="s">
        <v>330</v>
      </c>
      <c r="J4" s="102" t="s">
        <v>331</v>
      </c>
      <c r="K4" s="103" t="s">
        <v>332</v>
      </c>
      <c r="N4" s="130"/>
    </row>
    <row r="5" spans="1:17" ht="45.75" customHeight="1">
      <c r="A5" s="1219" t="str">
        <f>[2]Hoja1!C4</f>
        <v>1.1: Declaración de Áreas protegidas y zonas de Reserva Natural en la Jurisdicciòn de CORPOCESAR.</v>
      </c>
      <c r="B5" s="82" t="str">
        <f>[2]Hoja1!F4</f>
        <v>1.1.1: Declaración de áreas protegidas Serrania de Perija.</v>
      </c>
      <c r="C5" s="106">
        <f>'ANEXO 1. MATRIZ DE SEGUIMIENTO'!C16</f>
        <v>1</v>
      </c>
      <c r="D5" s="106">
        <f>'ANEXO 1. MATRIZ DE SEGUIMIENTO'!D16</f>
        <v>1</v>
      </c>
      <c r="E5" s="83"/>
      <c r="F5" s="1222">
        <f>'ANEXO 1. MATRIZ DE SEGUIMIENTO'!O16</f>
        <v>100000000</v>
      </c>
      <c r="G5" s="1222">
        <f>'ANEXO 1. MATRIZ DE SEGUIMIENTO'!P16</f>
        <v>5000000</v>
      </c>
      <c r="H5" s="1225">
        <f>G5/F5*100</f>
        <v>5</v>
      </c>
      <c r="I5" s="84"/>
      <c r="J5" s="84"/>
      <c r="K5" s="85">
        <v>0</v>
      </c>
      <c r="P5" s="1208" t="s">
        <v>334</v>
      </c>
      <c r="Q5" s="1208"/>
    </row>
    <row r="6" spans="1:17" ht="45">
      <c r="A6" s="1220"/>
      <c r="B6" s="86" t="str">
        <f>[2]Hoja1!F5</f>
        <v>1.1.2: Ejecuciòn de los Planes de Manejo de las áreas Protegidas de Perijá u otras áreas.</v>
      </c>
      <c r="C6" s="108" t="e">
        <f>'ANEXO 1. MATRIZ DE SEGUIMIENTO'!#REF!</f>
        <v>#REF!</v>
      </c>
      <c r="D6" s="108" t="e">
        <f>'ANEXO 1. MATRIZ DE SEGUIMIENTO'!#REF!</f>
        <v>#REF!</v>
      </c>
      <c r="E6" s="87"/>
      <c r="F6" s="1223"/>
      <c r="G6" s="1223"/>
      <c r="H6" s="1226"/>
      <c r="I6" s="88"/>
      <c r="J6" s="88"/>
      <c r="K6" s="89">
        <v>0</v>
      </c>
    </row>
    <row r="7" spans="1:17" ht="30">
      <c r="A7" s="1220"/>
      <c r="B7" s="86" t="str">
        <f>[2]Hoja1!F6</f>
        <v xml:space="preserve">1.1.3 Ejecuciòn de acciones del PMA </v>
      </c>
      <c r="C7" s="108" t="e">
        <f>'ANEXO 1. MATRIZ DE SEGUIMIENTO'!#REF!</f>
        <v>#REF!</v>
      </c>
      <c r="D7" s="108" t="e">
        <f>'ANEXO 1. MATRIZ DE SEGUIMIENTO'!#REF!</f>
        <v>#REF!</v>
      </c>
      <c r="E7" s="87">
        <v>100</v>
      </c>
      <c r="F7" s="1223"/>
      <c r="G7" s="1223"/>
      <c r="H7" s="1226"/>
      <c r="I7" s="88">
        <f>'ANEXO 1. MATRIZ DE SEGUIMIENTO'!O16</f>
        <v>100000000</v>
      </c>
      <c r="J7" s="88">
        <f>'ANEXO 1. MATRIZ DE SEGUIMIENTO'!P16</f>
        <v>5000000</v>
      </c>
      <c r="K7" s="90">
        <f>J7/I7*100</f>
        <v>5</v>
      </c>
      <c r="N7" s="105">
        <v>1</v>
      </c>
    </row>
    <row r="8" spans="1:17" ht="30">
      <c r="A8" s="1220"/>
      <c r="B8" s="86" t="str">
        <f>[2]Hoja1!F7</f>
        <v>1.1.4 Apoyo profesional y técnico</v>
      </c>
      <c r="C8" s="108" t="e">
        <f>'ANEXO 1. MATRIZ DE SEGUIMIENTO'!#REF!</f>
        <v>#REF!</v>
      </c>
      <c r="D8" s="108" t="e">
        <f>'ANEXO 1. MATRIZ DE SEGUIMIENTO'!#REF!</f>
        <v>#REF!</v>
      </c>
      <c r="E8" s="87" t="e">
        <f>D8/C8*100</f>
        <v>#REF!</v>
      </c>
      <c r="F8" s="1223"/>
      <c r="G8" s="1223"/>
      <c r="H8" s="1226"/>
      <c r="I8" s="88" t="e">
        <f>'ANEXO 1. MATRIZ DE SEGUIMIENTO'!#REF!</f>
        <v>#REF!</v>
      </c>
      <c r="J8" s="88" t="e">
        <f>'ANEXO 1. MATRIZ DE SEGUIMIENTO'!#REF!</f>
        <v>#REF!</v>
      </c>
      <c r="K8" s="90" t="e">
        <f t="shared" ref="K8:K16" si="0">J8/I8*100</f>
        <v>#REF!</v>
      </c>
      <c r="N8" s="105">
        <v>3</v>
      </c>
    </row>
    <row r="9" spans="1:17" ht="15.75" thickBot="1">
      <c r="A9" s="1221"/>
      <c r="B9" s="112" t="str">
        <f>[2]Hoja1!F8</f>
        <v>1.1.5 Contratación</v>
      </c>
      <c r="C9" s="226" t="e">
        <f>'ANEXO 1. MATRIZ DE SEGUIMIENTO'!#REF!</f>
        <v>#REF!</v>
      </c>
      <c r="D9" s="226" t="e">
        <f>'ANEXO 1. MATRIZ DE SEGUIMIENTO'!#REF!</f>
        <v>#REF!</v>
      </c>
      <c r="E9" s="113">
        <v>100</v>
      </c>
      <c r="F9" s="1224"/>
      <c r="G9" s="1224"/>
      <c r="H9" s="1227"/>
      <c r="I9" s="88" t="e">
        <f>'ANEXO 1. MATRIZ DE SEGUIMIENTO'!#REF!</f>
        <v>#REF!</v>
      </c>
      <c r="J9" s="88" t="e">
        <f>'ANEXO 1. MATRIZ DE SEGUIMIENTO'!#REF!</f>
        <v>#REF!</v>
      </c>
      <c r="K9" s="115" t="e">
        <f t="shared" si="0"/>
        <v>#REF!</v>
      </c>
      <c r="N9" s="105">
        <v>3</v>
      </c>
    </row>
    <row r="10" spans="1:17" ht="135.75" thickBot="1">
      <c r="A10" s="116" t="str">
        <f>[2]Hoja1!C10</f>
        <v>1.2: Implementación del Plan de Ordenación Forestal del Departamento del Cesar.</v>
      </c>
      <c r="B10" s="117" t="str">
        <f>[2]Hoja1!F10</f>
        <v>1.2.1 Implementación del  plan de ordenación forestal en el Departamento del Cesar. (caracterización de ambientes terrestres: bosques secos, bosques semihúmedos, enclaves xerofíticos y urbanos), y otras acciones dentro del marco del Plan</v>
      </c>
      <c r="C10" s="229" t="e">
        <f>'ANEXO 1. MATRIZ DE SEGUIMIENTO'!#REF!</f>
        <v>#REF!</v>
      </c>
      <c r="D10" s="229" t="e">
        <f>'ANEXO 1. MATRIZ DE SEGUIMIENTO'!#REF!</f>
        <v>#REF!</v>
      </c>
      <c r="E10" s="118">
        <v>100</v>
      </c>
      <c r="F10" s="261" t="e">
        <f>'ANEXO 1. MATRIZ DE SEGUIMIENTO'!#REF!</f>
        <v>#REF!</v>
      </c>
      <c r="G10" s="261" t="e">
        <f>'ANEXO 1. MATRIZ DE SEGUIMIENTO'!#REF!</f>
        <v>#REF!</v>
      </c>
      <c r="H10" s="118" t="e">
        <f>G10/F10*100</f>
        <v>#REF!</v>
      </c>
      <c r="I10" s="119" t="e">
        <f>'ANEXO 1. MATRIZ DE SEGUIMIENTO'!#REF!</f>
        <v>#REF!</v>
      </c>
      <c r="J10" s="119" t="e">
        <f>'ANEXO 1. MATRIZ DE SEGUIMIENTO'!#REF!</f>
        <v>#REF!</v>
      </c>
      <c r="K10" s="120" t="e">
        <f t="shared" si="0"/>
        <v>#REF!</v>
      </c>
      <c r="N10" s="105">
        <v>0</v>
      </c>
    </row>
    <row r="11" spans="1:17" ht="45" customHeight="1">
      <c r="A11" s="1209" t="str">
        <f>[2]Hoja1!C12</f>
        <v>1.3. Implementación de la Política de Gestión Ambiental Urbana - PGAU- en el área de jurisdicción de Corpocesar</v>
      </c>
      <c r="B11" s="82" t="str">
        <f>[2]Hoja1!F12</f>
        <v>1.3.1 Consolidación de la línea base ambiental urbano- regional</v>
      </c>
      <c r="C11" s="83" t="e">
        <f>'ANEXO 1. MATRIZ DE SEGUIMIENTO'!#REF!</f>
        <v>#REF!</v>
      </c>
      <c r="D11" s="106" t="e">
        <f>'ANEXO 1. MATRIZ DE SEGUIMIENTO'!#REF!</f>
        <v>#REF!</v>
      </c>
      <c r="E11" s="83">
        <v>100</v>
      </c>
      <c r="F11" s="1228" t="e">
        <f>'ANEXO 1. MATRIZ DE SEGUIMIENTO'!#REF!</f>
        <v>#REF!</v>
      </c>
      <c r="G11" s="1231" t="e">
        <f>'ANEXO 1. MATRIZ DE SEGUIMIENTO'!#REF!</f>
        <v>#REF!</v>
      </c>
      <c r="H11" s="1235" t="e">
        <f>G11/F11*100</f>
        <v>#REF!</v>
      </c>
      <c r="I11" s="84" t="e">
        <f>'ANEXO 1. MATRIZ DE SEGUIMIENTO'!#REF!</f>
        <v>#REF!</v>
      </c>
      <c r="J11" s="84" t="e">
        <f>'ANEXO 1. MATRIZ DE SEGUIMIENTO'!#REF!</f>
        <v>#REF!</v>
      </c>
      <c r="K11" s="99" t="e">
        <f t="shared" si="0"/>
        <v>#REF!</v>
      </c>
      <c r="N11" s="105">
        <v>0</v>
      </c>
    </row>
    <row r="12" spans="1:17">
      <c r="A12" s="1210"/>
      <c r="B12" s="1212" t="str">
        <f>[2]Hoja1!F13</f>
        <v>1.3.2 Formulación, adopción e implementación de un plan de monitoreo y seguimiento del estado de los recursos naturales renovables urbano-regionales</v>
      </c>
      <c r="C12" s="87" t="e">
        <f>'ANEXO 1. MATRIZ DE SEGUIMIENTO'!#REF!</f>
        <v>#REF!</v>
      </c>
      <c r="D12" s="87" t="e">
        <f>'ANEXO 1. MATRIZ DE SEGUIMIENTO'!#REF!</f>
        <v>#REF!</v>
      </c>
      <c r="E12" s="1213">
        <v>100</v>
      </c>
      <c r="F12" s="1229"/>
      <c r="G12" s="1223"/>
      <c r="H12" s="1223"/>
      <c r="I12" s="1214" t="e">
        <f>'ANEXO 1. MATRIZ DE SEGUIMIENTO'!#REF!</f>
        <v>#REF!</v>
      </c>
      <c r="J12" s="1214" t="e">
        <f>'ANEXO 1. MATRIZ DE SEGUIMIENTO'!#REF!</f>
        <v>#REF!</v>
      </c>
      <c r="K12" s="1215" t="e">
        <f>J12/I12*100</f>
        <v>#REF!</v>
      </c>
      <c r="N12" s="105">
        <v>0</v>
      </c>
    </row>
    <row r="13" spans="1:17">
      <c r="A13" s="1210"/>
      <c r="B13" s="1212"/>
      <c r="C13" s="87" t="e">
        <f>'ANEXO 1. MATRIZ DE SEGUIMIENTO'!#REF!</f>
        <v>#REF!</v>
      </c>
      <c r="D13" s="87" t="e">
        <f>'ANEXO 1. MATRIZ DE SEGUIMIENTO'!#REF!</f>
        <v>#REF!</v>
      </c>
      <c r="E13" s="1213"/>
      <c r="F13" s="1229"/>
      <c r="G13" s="1223"/>
      <c r="H13" s="1223"/>
      <c r="I13" s="1214"/>
      <c r="J13" s="1214"/>
      <c r="K13" s="1215"/>
      <c r="N13" s="105"/>
    </row>
    <row r="14" spans="1:17" ht="75">
      <c r="A14" s="1210"/>
      <c r="B14" s="86" t="str">
        <f>[2]Hoja1!F15</f>
        <v>1.3.3 Promoción y apoyo a proyecto  municipales dirigidos a disminuir la generación de residuos de alto impacto en las áreas urbanas</v>
      </c>
      <c r="C14" s="87" t="e">
        <f>'ANEXO 1. MATRIZ DE SEGUIMIENTO'!#REF!</f>
        <v>#REF!</v>
      </c>
      <c r="D14" s="244" t="e">
        <f>'ANEXO 1. MATRIZ DE SEGUIMIENTO'!#REF!</f>
        <v>#REF!</v>
      </c>
      <c r="E14" s="87">
        <v>100</v>
      </c>
      <c r="F14" s="1229"/>
      <c r="G14" s="1223"/>
      <c r="H14" s="1223"/>
      <c r="I14" s="88" t="e">
        <f>'ANEXO 1. MATRIZ DE SEGUIMIENTO'!#REF!</f>
        <v>#REF!</v>
      </c>
      <c r="J14" s="88" t="e">
        <f>'ANEXO 1. MATRIZ DE SEGUIMIENTO'!#REF!</f>
        <v>#REF!</v>
      </c>
      <c r="K14" s="100" t="e">
        <f t="shared" si="0"/>
        <v>#REF!</v>
      </c>
      <c r="N14" s="105">
        <v>0</v>
      </c>
    </row>
    <row r="15" spans="1:17" ht="75">
      <c r="A15" s="1210"/>
      <c r="B15" s="86" t="str">
        <f>[2]Hoja1!F16</f>
        <v xml:space="preserve">1.3.4 Promoción y apoyo técnico a los municipios para la implementación de proyectos pilotos de PML en sectores productivos de áreas urbanas.     </v>
      </c>
      <c r="C15" s="87" t="e">
        <f>'ANEXO 1. MATRIZ DE SEGUIMIENTO'!#REF!</f>
        <v>#REF!</v>
      </c>
      <c r="D15" s="87" t="e">
        <f>'ANEXO 1. MATRIZ DE SEGUIMIENTO'!#REF!</f>
        <v>#REF!</v>
      </c>
      <c r="E15" s="87" t="e">
        <f>D15/C15*100</f>
        <v>#REF!</v>
      </c>
      <c r="F15" s="1229"/>
      <c r="G15" s="1223"/>
      <c r="H15" s="1223"/>
      <c r="I15" s="88" t="e">
        <f>'ANEXO 1. MATRIZ DE SEGUIMIENTO'!#REF!</f>
        <v>#REF!</v>
      </c>
      <c r="J15" s="88" t="e">
        <f>'ANEXO 1. MATRIZ DE SEGUIMIENTO'!#REF!</f>
        <v>#REF!</v>
      </c>
      <c r="K15" s="100" t="e">
        <f t="shared" si="0"/>
        <v>#REF!</v>
      </c>
      <c r="N15" s="105">
        <v>0</v>
      </c>
    </row>
    <row r="16" spans="1:17" ht="105">
      <c r="A16" s="1210"/>
      <c r="B16" s="86" t="str">
        <f>[2]Hoja1!F17</f>
        <v>1.3.5 Promoción de la conservación, preservación y recuperación de los elementos naturales del espacio público a través de la definición de directrices ambientales para el manejo del espacio público.</v>
      </c>
      <c r="C16" s="87" t="e">
        <f>'ANEXO 1. MATRIZ DE SEGUIMIENTO'!#REF!</f>
        <v>#REF!</v>
      </c>
      <c r="D16" s="87" t="e">
        <f>'ANEXO 1. MATRIZ DE SEGUIMIENTO'!#REF!</f>
        <v>#REF!</v>
      </c>
      <c r="E16" s="76" t="e">
        <f>D16/C16*100</f>
        <v>#REF!</v>
      </c>
      <c r="F16" s="1229"/>
      <c r="G16" s="1223"/>
      <c r="H16" s="1223"/>
      <c r="I16" s="88" t="e">
        <f>'ANEXO 1. MATRIZ DE SEGUIMIENTO'!#REF!</f>
        <v>#REF!</v>
      </c>
      <c r="J16" s="88" t="e">
        <f>'ANEXO 1. MATRIZ DE SEGUIMIENTO'!#REF!</f>
        <v>#REF!</v>
      </c>
      <c r="K16" s="100" t="e">
        <f t="shared" si="0"/>
        <v>#REF!</v>
      </c>
      <c r="N16" s="105">
        <v>0</v>
      </c>
    </row>
    <row r="17" spans="1:14">
      <c r="A17" s="1210"/>
      <c r="B17" s="1212" t="str">
        <f>[2]Hoja1!F18</f>
        <v xml:space="preserve">1.3.6 Investigación y estudios sobre dinámicas urbanas regionales para la concertación de estrategias con los E.T </v>
      </c>
      <c r="C17" s="87" t="e">
        <f>'ANEXO 1. MATRIZ DE SEGUIMIENTO'!#REF!</f>
        <v>#REF!</v>
      </c>
      <c r="D17" s="87" t="e">
        <f>'ANEXO 1. MATRIZ DE SEGUIMIENTO'!#REF!</f>
        <v>#REF!</v>
      </c>
      <c r="E17" s="1213">
        <v>100</v>
      </c>
      <c r="F17" s="1229"/>
      <c r="G17" s="1223"/>
      <c r="H17" s="1223"/>
      <c r="I17" s="1214" t="e">
        <f>'ANEXO 1. MATRIZ DE SEGUIMIENTO'!#REF!</f>
        <v>#REF!</v>
      </c>
      <c r="J17" s="1214" t="e">
        <f>'ANEXO 1. MATRIZ DE SEGUIMIENTO'!#REF!</f>
        <v>#REF!</v>
      </c>
      <c r="K17" s="1215" t="e">
        <f>J17/I17*100</f>
        <v>#REF!</v>
      </c>
      <c r="N17" s="105">
        <v>0</v>
      </c>
    </row>
    <row r="18" spans="1:14" ht="60" customHeight="1" thickBot="1">
      <c r="A18" s="1211"/>
      <c r="B18" s="1216"/>
      <c r="C18" s="113" t="e">
        <f>'ANEXO 1. MATRIZ DE SEGUIMIENTO'!#REF!</f>
        <v>#REF!</v>
      </c>
      <c r="D18" s="113" t="e">
        <f>'ANEXO 1. MATRIZ DE SEGUIMIENTO'!#REF!</f>
        <v>#REF!</v>
      </c>
      <c r="E18" s="1217"/>
      <c r="F18" s="1230"/>
      <c r="G18" s="1224"/>
      <c r="H18" s="1224"/>
      <c r="I18" s="1218"/>
      <c r="J18" s="1218"/>
      <c r="K18" s="1236"/>
      <c r="N18" s="105"/>
    </row>
    <row r="19" spans="1:14" ht="15.75" thickBot="1">
      <c r="A19" s="1206" t="s">
        <v>333</v>
      </c>
      <c r="B19" s="1207"/>
      <c r="C19" s="182" t="e">
        <f>SUM(C7:C18)</f>
        <v>#REF!</v>
      </c>
      <c r="D19" s="183" t="e">
        <f>SUM(D5:D18)</f>
        <v>#REF!</v>
      </c>
      <c r="E19" s="184" t="e">
        <f>SUM(D19/C19*100)</f>
        <v>#REF!</v>
      </c>
      <c r="F19" s="184"/>
      <c r="G19" s="184"/>
      <c r="H19" s="184"/>
      <c r="I19" s="185" t="e">
        <f>SUM(I5:I18)</f>
        <v>#REF!</v>
      </c>
      <c r="J19" s="185" t="e">
        <f>SUM(J5:J18)</f>
        <v>#REF!</v>
      </c>
      <c r="K19" s="186" t="e">
        <f>SUM(J19/I19*100)</f>
        <v>#REF!</v>
      </c>
    </row>
  </sheetData>
  <mergeCells count="27">
    <mergeCell ref="F11:F18"/>
    <mergeCell ref="G11:G18"/>
    <mergeCell ref="F3:K3"/>
    <mergeCell ref="H11:H18"/>
    <mergeCell ref="K17:K18"/>
    <mergeCell ref="A19:B19"/>
    <mergeCell ref="P5:Q5"/>
    <mergeCell ref="A11:A18"/>
    <mergeCell ref="B12:B13"/>
    <mergeCell ref="E12:E13"/>
    <mergeCell ref="I12:I13"/>
    <mergeCell ref="J12:J13"/>
    <mergeCell ref="K12:K13"/>
    <mergeCell ref="B17:B18"/>
    <mergeCell ref="E17:E18"/>
    <mergeCell ref="I17:I18"/>
    <mergeCell ref="J17:J18"/>
    <mergeCell ref="A5:A9"/>
    <mergeCell ref="F5:F9"/>
    <mergeCell ref="G5:G9"/>
    <mergeCell ref="H5:H9"/>
    <mergeCell ref="A1:K1"/>
    <mergeCell ref="A3:A4"/>
    <mergeCell ref="B3:B4"/>
    <mergeCell ref="C3:E3"/>
    <mergeCell ref="F2:H2"/>
    <mergeCell ref="I2:K2"/>
  </mergeCells>
  <pageMargins left="0.70866141732283472" right="0.70866141732283472" top="0.74803149606299213" bottom="0.74803149606299213" header="0.31496062992125984" footer="0.31496062992125984"/>
  <pageSetup scale="85" orientation="landscape" verticalDpi="0" r:id="rId1"/>
  <ignoredErrors>
    <ignoredError sqref="E19"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topLeftCell="B28" zoomScale="70" zoomScaleNormal="70" workbookViewId="0">
      <selection activeCell="H38" sqref="H38"/>
    </sheetView>
  </sheetViews>
  <sheetFormatPr baseColWidth="10" defaultRowHeight="15"/>
  <cols>
    <col min="1" max="1" width="20.5703125" customWidth="1"/>
    <col min="2" max="2" width="37.7109375" customWidth="1"/>
    <col min="3" max="3" width="14" customWidth="1"/>
    <col min="5" max="8" width="13.42578125" customWidth="1"/>
    <col min="9" max="9" width="16.28515625" bestFit="1" customWidth="1"/>
    <col min="10" max="10" width="17.7109375" customWidth="1"/>
    <col min="11" max="11" width="12.85546875" customWidth="1"/>
    <col min="14" max="14" width="13.42578125" style="104" bestFit="1" customWidth="1"/>
  </cols>
  <sheetData>
    <row r="1" spans="1:17" ht="15.75">
      <c r="A1" s="1237" t="s">
        <v>335</v>
      </c>
      <c r="B1" s="1238"/>
      <c r="C1" s="1238"/>
      <c r="D1" s="1238"/>
      <c r="E1" s="1238"/>
      <c r="F1" s="1238"/>
      <c r="G1" s="1238"/>
      <c r="H1" s="1238"/>
      <c r="I1" s="1238"/>
      <c r="J1" s="1238"/>
      <c r="K1" s="1239"/>
      <c r="N1" s="77"/>
    </row>
    <row r="2" spans="1:17" ht="21.75" thickBot="1">
      <c r="A2" s="165"/>
      <c r="B2" s="166"/>
      <c r="C2" s="166"/>
      <c r="D2" s="166"/>
      <c r="E2" s="166"/>
      <c r="F2" s="1204" t="str">
        <f>'P1'!F2:H2</f>
        <v>POR PROYECTO</v>
      </c>
      <c r="G2" s="1204"/>
      <c r="H2" s="1204"/>
      <c r="I2" s="1245" t="str">
        <f>'P1'!I2:K2</f>
        <v>POR ACTIVIDAD</v>
      </c>
      <c r="J2" s="1245"/>
      <c r="K2" s="1245"/>
      <c r="N2" s="77"/>
    </row>
    <row r="3" spans="1:17">
      <c r="A3" s="1199" t="s">
        <v>327</v>
      </c>
      <c r="B3" s="1241" t="s">
        <v>21</v>
      </c>
      <c r="C3" s="1243" t="s">
        <v>328</v>
      </c>
      <c r="D3" s="1243"/>
      <c r="E3" s="1243"/>
      <c r="F3" s="249"/>
      <c r="G3" s="249"/>
      <c r="H3" s="249"/>
      <c r="I3" s="1243" t="s">
        <v>329</v>
      </c>
      <c r="J3" s="1243"/>
      <c r="K3" s="1244"/>
      <c r="N3" s="77"/>
    </row>
    <row r="4" spans="1:17" ht="45.75" thickBot="1">
      <c r="A4" s="1240"/>
      <c r="B4" s="1242"/>
      <c r="C4" s="131" t="s">
        <v>330</v>
      </c>
      <c r="D4" s="131" t="s">
        <v>331</v>
      </c>
      <c r="E4" s="131" t="s">
        <v>332</v>
      </c>
      <c r="F4" s="251" t="str">
        <f>I4</f>
        <v xml:space="preserve">META PROGRAMADA </v>
      </c>
      <c r="G4" s="251" t="str">
        <f>J4</f>
        <v>META EJECUTADA</v>
      </c>
      <c r="H4" s="251" t="str">
        <f>K4</f>
        <v>PORCENTAJE EJECUCIÓN</v>
      </c>
      <c r="I4" s="133" t="s">
        <v>330</v>
      </c>
      <c r="J4" s="133" t="s">
        <v>331</v>
      </c>
      <c r="K4" s="134" t="s">
        <v>332</v>
      </c>
      <c r="N4" s="77"/>
    </row>
    <row r="5" spans="1:17" ht="75">
      <c r="A5" s="1259" t="str">
        <f>[2]Hoja1!C21</f>
        <v>2. 1. Fortalecimiento del conocimiento científico ambiental con visión ancestral indígena y ejecución de acciones prioritarias de mitigación y mejoramiento ambiental en la ecorregión estratégica Sierra Nevada de Santa Marta.</v>
      </c>
      <c r="B5" s="126" t="str">
        <f>[2]Hoja1!F22</f>
        <v>2.1.1.1 Apoyo a la consolidación del Cordón Ambiental y Saneamiento de resguardos en la SNSM, mediante acciones debidamente concertadas con los indígenas.</v>
      </c>
      <c r="C5" s="126" t="e">
        <f>'ANEXO 1. MATRIZ DE SEGUIMIENTO'!#REF!</f>
        <v>#REF!</v>
      </c>
      <c r="D5" s="230" t="e">
        <f>'ANEXO 1. MATRIZ DE SEGUIMIENTO'!#REF!</f>
        <v>#REF!</v>
      </c>
      <c r="E5" s="127">
        <v>100</v>
      </c>
      <c r="F5" s="1222">
        <f>'ANEXO 1. MATRIZ DE SEGUIMIENTO'!O29</f>
        <v>200000000</v>
      </c>
      <c r="G5" s="1222">
        <f>'ANEXO 1. MATRIZ DE SEGUIMIENTO'!P29</f>
        <v>0</v>
      </c>
      <c r="H5" s="1225">
        <f>G5/F5*100</f>
        <v>0</v>
      </c>
      <c r="I5" s="140" t="e">
        <f>'ANEXO 1. MATRIZ DE SEGUIMIENTO'!#REF!</f>
        <v>#REF!</v>
      </c>
      <c r="J5" s="140" t="e">
        <f>'ANEXO 1. MATRIZ DE SEGUIMIENTO'!#REF!</f>
        <v>#REF!</v>
      </c>
      <c r="K5" s="141" t="e">
        <f>J5/I5*100</f>
        <v>#REF!</v>
      </c>
      <c r="N5" s="151">
        <v>0</v>
      </c>
      <c r="P5" s="1256" t="str">
        <f>'P1'!P5</f>
        <v>VALOR REGISTRADO A 30/06/2010</v>
      </c>
      <c r="Q5" s="1256"/>
    </row>
    <row r="6" spans="1:17" ht="45">
      <c r="A6" s="1220"/>
      <c r="B6" s="86" t="str">
        <f>[2]Hoja1!F23</f>
        <v>2.1.1.2 Apoyo a proyectos productivos sostenibles - agroforestales, agrícolas y/o pecuarios.</v>
      </c>
      <c r="C6" s="126" t="e">
        <f>'ANEXO 1. MATRIZ DE SEGUIMIENTO'!#REF!</f>
        <v>#REF!</v>
      </c>
      <c r="D6" s="231" t="e">
        <f>'ANEXO 1. MATRIZ DE SEGUIMIENTO'!#REF!</f>
        <v>#REF!</v>
      </c>
      <c r="E6" s="87" t="e">
        <f t="shared" ref="E6:E14" si="0">D6/C6*100</f>
        <v>#REF!</v>
      </c>
      <c r="F6" s="1223"/>
      <c r="G6" s="1223"/>
      <c r="H6" s="1226"/>
      <c r="I6" s="88" t="e">
        <f>'ANEXO 1. MATRIZ DE SEGUIMIENTO'!#REF!</f>
        <v>#REF!</v>
      </c>
      <c r="J6" s="140" t="e">
        <f>'ANEXO 1. MATRIZ DE SEGUIMIENTO'!#REF!</f>
        <v>#REF!</v>
      </c>
      <c r="K6" s="124">
        <v>0</v>
      </c>
      <c r="N6" s="151">
        <v>0</v>
      </c>
    </row>
    <row r="7" spans="1:17" ht="30">
      <c r="A7" s="1220"/>
      <c r="B7" s="86" t="str">
        <f>[2]Hoja1!F24</f>
        <v>2.1.1.3 Apoyo a proyectos de producción limpia.</v>
      </c>
      <c r="C7" s="126" t="e">
        <f>'ANEXO 1. MATRIZ DE SEGUIMIENTO'!#REF!</f>
        <v>#REF!</v>
      </c>
      <c r="D7" s="231" t="e">
        <f>'ANEXO 1. MATRIZ DE SEGUIMIENTO'!#REF!</f>
        <v>#REF!</v>
      </c>
      <c r="E7" s="87" t="e">
        <f t="shared" si="0"/>
        <v>#REF!</v>
      </c>
      <c r="F7" s="1223"/>
      <c r="G7" s="1223"/>
      <c r="H7" s="1226"/>
      <c r="I7" s="88" t="e">
        <f>'ANEXO 1. MATRIZ DE SEGUIMIENTO'!#REF!</f>
        <v>#REF!</v>
      </c>
      <c r="J7" s="140" t="e">
        <f>'ANEXO 1. MATRIZ DE SEGUIMIENTO'!#REF!</f>
        <v>#REF!</v>
      </c>
      <c r="K7" s="124" t="e">
        <f t="shared" ref="K7:K14" si="1">J7/I7*100</f>
        <v>#REF!</v>
      </c>
      <c r="N7" s="151">
        <v>0</v>
      </c>
    </row>
    <row r="8" spans="1:17" ht="30">
      <c r="A8" s="1220"/>
      <c r="B8" s="86" t="str">
        <f>[2]Hoja1!F25</f>
        <v>2.1.1.4 Conocimiento y conservación de sitios sagrados - Educación ambiental .</v>
      </c>
      <c r="C8" s="126" t="e">
        <f>'ANEXO 1. MATRIZ DE SEGUIMIENTO'!#REF!</f>
        <v>#REF!</v>
      </c>
      <c r="D8" s="231" t="e">
        <f>'ANEXO 1. MATRIZ DE SEGUIMIENTO'!#REF!</f>
        <v>#REF!</v>
      </c>
      <c r="E8" s="87" t="e">
        <f t="shared" si="0"/>
        <v>#REF!</v>
      </c>
      <c r="F8" s="1223"/>
      <c r="G8" s="1223"/>
      <c r="H8" s="1226"/>
      <c r="I8" s="88" t="e">
        <f>'ANEXO 1. MATRIZ DE SEGUIMIENTO'!#REF!</f>
        <v>#REF!</v>
      </c>
      <c r="J8" s="140" t="e">
        <f>'ANEXO 1. MATRIZ DE SEGUIMIENTO'!#REF!</f>
        <v>#REF!</v>
      </c>
      <c r="K8" s="124" t="e">
        <f t="shared" si="1"/>
        <v>#REF!</v>
      </c>
      <c r="N8" s="151">
        <v>0</v>
      </c>
    </row>
    <row r="9" spans="1:17" ht="60">
      <c r="A9" s="1220"/>
      <c r="B9" s="86" t="str">
        <f>[2]Hoja1!F26</f>
        <v>2.1.2 Ejecución de acciones prioritarias de mitigación y mejoramiento ambiental en la ecorregión Sierra Nevada de Santa Marta.</v>
      </c>
      <c r="C9" s="126" t="e">
        <f>'ANEXO 1. MATRIZ DE SEGUIMIENTO'!#REF!</f>
        <v>#REF!</v>
      </c>
      <c r="D9" s="224"/>
      <c r="E9" s="87">
        <v>0</v>
      </c>
      <c r="F9" s="1223"/>
      <c r="G9" s="1223"/>
      <c r="H9" s="1226"/>
      <c r="I9" s="88"/>
      <c r="J9" s="140" t="e">
        <f>'ANEXO 1. MATRIZ DE SEGUIMIENTO'!#REF!</f>
        <v>#REF!</v>
      </c>
      <c r="K9" s="124">
        <v>0</v>
      </c>
      <c r="N9" s="105"/>
    </row>
    <row r="10" spans="1:17" ht="45">
      <c r="A10" s="1220"/>
      <c r="B10" s="86" t="str">
        <f>[2]Hoja1!F27</f>
        <v>2.1.2.1 Establecimiento del programa de manejo de residuos solidos en zona indigena.</v>
      </c>
      <c r="C10" s="126" t="e">
        <f>'ANEXO 1. MATRIZ DE SEGUIMIENTO'!#REF!</f>
        <v>#REF!</v>
      </c>
      <c r="D10" s="224" t="e">
        <f>'ANEXO 1. MATRIZ DE SEGUIMIENTO'!#REF!</f>
        <v>#REF!</v>
      </c>
      <c r="E10" s="87" t="e">
        <f t="shared" si="0"/>
        <v>#REF!</v>
      </c>
      <c r="F10" s="1223"/>
      <c r="G10" s="1223"/>
      <c r="H10" s="1226"/>
      <c r="I10" s="88" t="e">
        <f>'ANEXO 1. MATRIZ DE SEGUIMIENTO'!#REF!</f>
        <v>#REF!</v>
      </c>
      <c r="J10" s="140" t="e">
        <f>'ANEXO 1. MATRIZ DE SEGUIMIENTO'!#REF!</f>
        <v>#REF!</v>
      </c>
      <c r="K10" s="124" t="e">
        <f t="shared" si="1"/>
        <v>#REF!</v>
      </c>
      <c r="N10" s="150">
        <v>0</v>
      </c>
    </row>
    <row r="11" spans="1:17" ht="45">
      <c r="A11" s="1220"/>
      <c r="B11" s="86" t="str">
        <f>[2]Hoja1!F28</f>
        <v>2.1.2.2 Establecimiento del programa de abastecimiento de agua para zona indigena</v>
      </c>
      <c r="C11" s="126" t="e">
        <f>'ANEXO 1. MATRIZ DE SEGUIMIENTO'!#REF!</f>
        <v>#REF!</v>
      </c>
      <c r="D11" s="224" t="e">
        <f>'ANEXO 1. MATRIZ DE SEGUIMIENTO'!#REF!</f>
        <v>#REF!</v>
      </c>
      <c r="E11" s="87" t="e">
        <f t="shared" si="0"/>
        <v>#REF!</v>
      </c>
      <c r="F11" s="1223"/>
      <c r="G11" s="1223"/>
      <c r="H11" s="1226"/>
      <c r="I11" s="88" t="e">
        <f>'ANEXO 1. MATRIZ DE SEGUIMIENTO'!#REF!</f>
        <v>#REF!</v>
      </c>
      <c r="J11" s="140" t="e">
        <f>'ANEXO 1. MATRIZ DE SEGUIMIENTO'!#REF!</f>
        <v>#REF!</v>
      </c>
      <c r="K11" s="124" t="e">
        <f t="shared" si="1"/>
        <v>#REF!</v>
      </c>
      <c r="N11" s="150">
        <v>0</v>
      </c>
    </row>
    <row r="12" spans="1:17" ht="45">
      <c r="A12" s="1220"/>
      <c r="B12" s="86" t="str">
        <f>[2]Hoja1!F29</f>
        <v>2.1.2.3 Construcción de Sistemas de Tratamiento de Aguas Residuales en zona indígena.</v>
      </c>
      <c r="C12" s="126" t="e">
        <f>'ANEXO 1. MATRIZ DE SEGUIMIENTO'!#REF!</f>
        <v>#REF!</v>
      </c>
      <c r="D12" s="224" t="e">
        <f>'ANEXO 1. MATRIZ DE SEGUIMIENTO'!#REF!</f>
        <v>#REF!</v>
      </c>
      <c r="E12" s="87" t="e">
        <f t="shared" si="0"/>
        <v>#REF!</v>
      </c>
      <c r="F12" s="1223"/>
      <c r="G12" s="1223"/>
      <c r="H12" s="1226"/>
      <c r="I12" s="88" t="e">
        <f>'ANEXO 1. MATRIZ DE SEGUIMIENTO'!#REF!</f>
        <v>#REF!</v>
      </c>
      <c r="J12" s="140" t="e">
        <f>'ANEXO 1. MATRIZ DE SEGUIMIENTO'!#REF!</f>
        <v>#REF!</v>
      </c>
      <c r="K12" s="124" t="e">
        <f t="shared" si="1"/>
        <v>#REF!</v>
      </c>
      <c r="N12" s="150">
        <v>0</v>
      </c>
    </row>
    <row r="13" spans="1:17" ht="60">
      <c r="A13" s="1220"/>
      <c r="B13" s="86" t="str">
        <f>[2]Hoja1!F31</f>
        <v xml:space="preserve">2.1.2.5 Programa de Acciones para la mitigación de impactos ambientales en la Cuenca Hidrográfica del río Guatapurí, municipio de Valledupar. </v>
      </c>
      <c r="C13" s="126" t="e">
        <f>'ANEXO 1. MATRIZ DE SEGUIMIENTO'!#REF!</f>
        <v>#REF!</v>
      </c>
      <c r="D13" s="224" t="e">
        <f>'ANEXO 1. MATRIZ DE SEGUIMIENTO'!#REF!</f>
        <v>#REF!</v>
      </c>
      <c r="E13" s="87" t="e">
        <f t="shared" si="0"/>
        <v>#REF!</v>
      </c>
      <c r="F13" s="1223"/>
      <c r="G13" s="1223"/>
      <c r="H13" s="1226"/>
      <c r="I13" s="88" t="e">
        <f>'ANEXO 1. MATRIZ DE SEGUIMIENTO'!#REF!</f>
        <v>#REF!</v>
      </c>
      <c r="J13" s="140" t="e">
        <f>'ANEXO 1. MATRIZ DE SEGUIMIENTO'!#REF!</f>
        <v>#REF!</v>
      </c>
      <c r="K13" s="124" t="e">
        <f t="shared" si="1"/>
        <v>#REF!</v>
      </c>
      <c r="N13" s="150">
        <v>0</v>
      </c>
    </row>
    <row r="14" spans="1:17" ht="60">
      <c r="A14" s="1220"/>
      <c r="B14" s="86" t="str">
        <f>[2]Hoja1!F32</f>
        <v>2.1.3 Apoyo al trabajo conjunto de la formulación del plan de desarrollo sostenible de la Sierra Nevada de Santa Marta,</v>
      </c>
      <c r="C14" s="126" t="e">
        <f>'ANEXO 1. MATRIZ DE SEGUIMIENTO'!#REF!</f>
        <v>#REF!</v>
      </c>
      <c r="D14" s="224" t="e">
        <f>'ANEXO 1. MATRIZ DE SEGUIMIENTO'!#REF!</f>
        <v>#REF!</v>
      </c>
      <c r="E14" s="87" t="e">
        <f t="shared" si="0"/>
        <v>#REF!</v>
      </c>
      <c r="F14" s="1223"/>
      <c r="G14" s="1223"/>
      <c r="H14" s="1226"/>
      <c r="I14" s="88" t="e">
        <f>'ANEXO 1. MATRIZ DE SEGUIMIENTO'!#REF!</f>
        <v>#REF!</v>
      </c>
      <c r="J14" s="140" t="e">
        <f>'ANEXO 1. MATRIZ DE SEGUIMIENTO'!#REF!</f>
        <v>#REF!</v>
      </c>
      <c r="K14" s="124" t="e">
        <f t="shared" si="1"/>
        <v>#REF!</v>
      </c>
      <c r="N14" s="150">
        <v>0</v>
      </c>
    </row>
    <row r="15" spans="1:17" ht="45.75" thickBot="1">
      <c r="A15" s="1221"/>
      <c r="B15" s="112" t="str">
        <f>[2]Hoja1!F33</f>
        <v>2.1.4 Delimitación de zonas amortiguadoras del parque Sierra Nevada.</v>
      </c>
      <c r="C15" s="112" t="e">
        <f>'ANEXO 1. MATRIZ DE SEGUIMIENTO'!#REF!</f>
        <v>#REF!</v>
      </c>
      <c r="D15" s="226" t="e">
        <f>'ANEXO 1. MATRIZ DE SEGUIMIENTO'!#REF!</f>
        <v>#REF!</v>
      </c>
      <c r="E15" s="113">
        <v>0</v>
      </c>
      <c r="F15" s="1224"/>
      <c r="G15" s="1224"/>
      <c r="H15" s="1227"/>
      <c r="I15" s="114" t="e">
        <f>'ANEXO 1. MATRIZ DE SEGUIMIENTO'!#REF!</f>
        <v>#REF!</v>
      </c>
      <c r="J15" s="114" t="e">
        <f>'ANEXO 1. MATRIZ DE SEGUIMIENTO'!#REF!</f>
        <v>#REF!</v>
      </c>
      <c r="K15" s="125">
        <v>0</v>
      </c>
      <c r="N15" s="150">
        <v>0</v>
      </c>
    </row>
    <row r="16" spans="1:17" ht="30">
      <c r="A16" s="1219" t="str">
        <f>[2]Hoja1!C35</f>
        <v>2.2 Ejecución del plan de manejo ambiental y acciones prioritarias de mitigación y mejoramiento de la ecorregión estratégica Complejo Cenagoso de Zapatosa y humedales menores.</v>
      </c>
      <c r="B16" s="82" t="str">
        <f>[2]Hoja1!F35</f>
        <v>2.2.1 Ejecución de seguimiento, control y vigilancia a través de operativos</v>
      </c>
      <c r="C16" s="232">
        <f>'ANEXO 1. MATRIZ DE SEGUIMIENTO'!C75</f>
        <v>0</v>
      </c>
      <c r="D16" s="232">
        <f>'ANEXO 1. MATRIZ DE SEGUIMIENTO'!D75</f>
        <v>0</v>
      </c>
      <c r="E16" s="83">
        <v>100</v>
      </c>
      <c r="F16" s="1222">
        <f>'ANEXO 1. MATRIZ DE SEGUIMIENTO'!O75</f>
        <v>0</v>
      </c>
      <c r="G16" s="1222" t="e">
        <f>'ANEXO 1. MATRIZ DE SEGUIMIENTO'!#REF!</f>
        <v>#REF!</v>
      </c>
      <c r="H16" s="1225" t="e">
        <f>G16/F16*100</f>
        <v>#REF!</v>
      </c>
      <c r="I16" s="84">
        <f>'ANEXO 1. MATRIZ DE SEGUIMIENTO'!O75</f>
        <v>0</v>
      </c>
      <c r="J16" s="84" t="e">
        <f>'ANEXO 1. MATRIZ DE SEGUIMIENTO'!#REF!</f>
        <v>#REF!</v>
      </c>
      <c r="K16" s="123" t="e">
        <f>J16/I16*100</f>
        <v>#REF!</v>
      </c>
      <c r="N16" s="150">
        <v>0</v>
      </c>
    </row>
    <row r="17" spans="1:14" ht="45">
      <c r="A17" s="1220"/>
      <c r="B17" s="86" t="str">
        <f>[2]Hoja1!F36</f>
        <v>2.2.2 Educación ambiental para la conservación y restauración de la Ciénaga</v>
      </c>
      <c r="C17" s="224" t="e">
        <f>'ANEXO 1. MATRIZ DE SEGUIMIENTO'!#REF!</f>
        <v>#REF!</v>
      </c>
      <c r="D17" s="224" t="e">
        <f>'ANEXO 1. MATRIZ DE SEGUIMIENTO'!#REF!</f>
        <v>#REF!</v>
      </c>
      <c r="E17" s="87" t="e">
        <f>D17/C17*100</f>
        <v>#REF!</v>
      </c>
      <c r="F17" s="1223"/>
      <c r="G17" s="1223"/>
      <c r="H17" s="1226"/>
      <c r="I17" s="88" t="e">
        <f>'ANEXO 1. MATRIZ DE SEGUIMIENTO'!#REF!</f>
        <v>#REF!</v>
      </c>
      <c r="J17" s="88" t="e">
        <f>'ANEXO 1. MATRIZ DE SEGUIMIENTO'!#REF!</f>
        <v>#REF!</v>
      </c>
      <c r="K17" s="124" t="e">
        <f t="shared" ref="K17:K35" si="2">J17/I17*100</f>
        <v>#REF!</v>
      </c>
      <c r="N17" s="150">
        <v>0</v>
      </c>
    </row>
    <row r="18" spans="1:14" ht="75">
      <c r="A18" s="1220"/>
      <c r="B18" s="86" t="str">
        <f>[2]Hoja1!F37</f>
        <v>2.2.3 Control de la Contaminación en la ciénaga a través de la implementación de estrategias para mitigación y otras estrategias de manejo y mitigación ambiental.</v>
      </c>
      <c r="C18" s="224" t="e">
        <f>'ANEXO 1. MATRIZ DE SEGUIMIENTO'!#REF!</f>
        <v>#REF!</v>
      </c>
      <c r="D18" s="224" t="e">
        <f>'ANEXO 1. MATRIZ DE SEGUIMIENTO'!#REF!</f>
        <v>#REF!</v>
      </c>
      <c r="E18" s="87">
        <v>100</v>
      </c>
      <c r="F18" s="1223"/>
      <c r="G18" s="1223"/>
      <c r="H18" s="1226"/>
      <c r="I18" s="88" t="e">
        <f>'ANEXO 1. MATRIZ DE SEGUIMIENTO'!#REF!</f>
        <v>#REF!</v>
      </c>
      <c r="J18" s="88" t="e">
        <f>'ANEXO 1. MATRIZ DE SEGUIMIENTO'!#REF!</f>
        <v>#REF!</v>
      </c>
      <c r="K18" s="124" t="e">
        <f>J18/I18*100</f>
        <v>#REF!</v>
      </c>
      <c r="N18" s="150">
        <v>0.3</v>
      </c>
    </row>
    <row r="19" spans="1:14" ht="60.75" thickBot="1">
      <c r="A19" s="1252"/>
      <c r="B19" s="91" t="str">
        <f>[2]Hoja1!F39</f>
        <v xml:space="preserve">2.2.5 Caracterización de ciénagas (bioecológica en áreas seleccionadas) y monitoreo y seguimiento al estado de poblaciones y ambientes  cenagosos.  </v>
      </c>
      <c r="C19" s="233" t="e">
        <f>'ANEXO 1. MATRIZ DE SEGUIMIENTO'!#REF!</f>
        <v>#REF!</v>
      </c>
      <c r="D19" s="233" t="e">
        <f>'ANEXO 1. MATRIZ DE SEGUIMIENTO'!#REF!</f>
        <v>#REF!</v>
      </c>
      <c r="E19" s="92" t="e">
        <f t="shared" ref="E19:E28" si="3">D19/C19*100</f>
        <v>#REF!</v>
      </c>
      <c r="F19" s="1224"/>
      <c r="G19" s="1224"/>
      <c r="H19" s="1227"/>
      <c r="I19" s="93" t="e">
        <f>'ANEXO 1. MATRIZ DE SEGUIMIENTO'!#REF!</f>
        <v>#REF!</v>
      </c>
      <c r="J19" s="93" t="e">
        <f>'ANEXO 1. MATRIZ DE SEGUIMIENTO'!#REF!</f>
        <v>#REF!</v>
      </c>
      <c r="K19" s="128" t="e">
        <f t="shared" si="2"/>
        <v>#REF!</v>
      </c>
      <c r="N19" s="150">
        <v>0</v>
      </c>
    </row>
    <row r="20" spans="1:14" ht="45">
      <c r="A20" s="1219" t="str">
        <f>[2]Hoja1!C41</f>
        <v>2.3: Ejecución del plan de manejo ambiental de páramos,  sub-páramo y alta montaña en la Serranía de Perijá.</v>
      </c>
      <c r="B20" s="82" t="str">
        <f>[2]Hoja1!F41</f>
        <v xml:space="preserve">2.3.1. Educación ambiental para la conservación y restauración del ecosistema de paramos. </v>
      </c>
      <c r="C20" s="232" t="e">
        <f>'ANEXO 1. MATRIZ DE SEGUIMIENTO'!#REF!</f>
        <v>#REF!</v>
      </c>
      <c r="D20" s="232" t="e">
        <f>'ANEXO 1. MATRIZ DE SEGUIMIENTO'!#REF!</f>
        <v>#REF!</v>
      </c>
      <c r="E20" s="83" t="e">
        <f t="shared" si="3"/>
        <v>#REF!</v>
      </c>
      <c r="F20" s="1222" t="e">
        <f>'ANEXO 1. MATRIZ DE SEGUIMIENTO'!#REF!</f>
        <v>#REF!</v>
      </c>
      <c r="G20" s="1222" t="e">
        <f>'ANEXO 1. MATRIZ DE SEGUIMIENTO'!#REF!</f>
        <v>#REF!</v>
      </c>
      <c r="H20" s="1225" t="e">
        <f>G20/F20*100</f>
        <v>#REF!</v>
      </c>
      <c r="I20" s="84" t="e">
        <f>'ANEXO 1. MATRIZ DE SEGUIMIENTO'!#REF!</f>
        <v>#REF!</v>
      </c>
      <c r="J20" s="84" t="e">
        <f>'ANEXO 1. MATRIZ DE SEGUIMIENTO'!#REF!</f>
        <v>#REF!</v>
      </c>
      <c r="K20" s="123" t="e">
        <f t="shared" si="2"/>
        <v>#REF!</v>
      </c>
      <c r="N20" s="105">
        <v>0</v>
      </c>
    </row>
    <row r="21" spans="1:14">
      <c r="A21" s="1220"/>
      <c r="B21" s="86" t="str">
        <f>[2]Hoja1!F42</f>
        <v>2.3.2 Aislamiento de áreas.</v>
      </c>
      <c r="C21" s="224" t="e">
        <f>'ANEXO 1. MATRIZ DE SEGUIMIENTO'!#REF!</f>
        <v>#REF!</v>
      </c>
      <c r="D21" s="224" t="e">
        <f>'ANEXO 1. MATRIZ DE SEGUIMIENTO'!#REF!</f>
        <v>#REF!</v>
      </c>
      <c r="E21" s="87" t="e">
        <f t="shared" si="3"/>
        <v>#REF!</v>
      </c>
      <c r="F21" s="1223"/>
      <c r="G21" s="1223"/>
      <c r="H21" s="1226"/>
      <c r="I21" s="88" t="e">
        <f>'ANEXO 1. MATRIZ DE SEGUIMIENTO'!#REF!</f>
        <v>#REF!</v>
      </c>
      <c r="J21" s="88" t="e">
        <f>'ANEXO 1. MATRIZ DE SEGUIMIENTO'!#REF!</f>
        <v>#REF!</v>
      </c>
      <c r="K21" s="124" t="e">
        <f>J21/I21*100</f>
        <v>#REF!</v>
      </c>
      <c r="N21" s="105">
        <v>0</v>
      </c>
    </row>
    <row r="22" spans="1:14" ht="30.75" thickBot="1">
      <c r="A22" s="1221"/>
      <c r="B22" s="112" t="str">
        <f>[2]Hoja1!F43</f>
        <v>2.3.3 Acciones de Manejo y Mitigación Ambiental en zonas de páramos.</v>
      </c>
      <c r="C22" s="226" t="e">
        <f>'ANEXO 1. MATRIZ DE SEGUIMIENTO'!#REF!</f>
        <v>#REF!</v>
      </c>
      <c r="D22" s="226" t="e">
        <f>'ANEXO 1. MATRIZ DE SEGUIMIENTO'!#REF!</f>
        <v>#REF!</v>
      </c>
      <c r="E22" s="113" t="e">
        <f t="shared" si="3"/>
        <v>#REF!</v>
      </c>
      <c r="F22" s="1224"/>
      <c r="G22" s="1224"/>
      <c r="H22" s="1227"/>
      <c r="I22" s="114" t="e">
        <f>'ANEXO 1. MATRIZ DE SEGUIMIENTO'!#REF!</f>
        <v>#REF!</v>
      </c>
      <c r="J22" s="114" t="e">
        <f>'ANEXO 1. MATRIZ DE SEGUIMIENTO'!#REF!</f>
        <v>#REF!</v>
      </c>
      <c r="K22" s="125" t="e">
        <f t="shared" si="2"/>
        <v>#REF!</v>
      </c>
      <c r="N22" s="105">
        <v>0</v>
      </c>
    </row>
    <row r="23" spans="1:14" ht="135.75" thickBot="1">
      <c r="A23" s="168" t="str">
        <f>[2]Hoja1!C45</f>
        <v xml:space="preserve">2.4 Implementación del Plan de Manejo de la Especie Faunística Oso de Anteojos u Oso Andino, en el Departamento del Cesar, en el marco del Programa Nacional de Conservación del Oso Andino. </v>
      </c>
      <c r="B23" s="110" t="str">
        <f>[2]Hoja1!F45</f>
        <v xml:space="preserve">2.4.1 Implementación del Plan de Manejo de la Especie Faunística Oso de Anteojos u Oso Andino, en zonas indígenas de los municipios de Agustín Codazzi, Becerril y La Paz, y en áreas estratégicas del municipio de Manaure, en el Departamento del Cesar, en el marco del Programa Nacional de Conservación del Oso Andino. </v>
      </c>
      <c r="C23" s="234" t="e">
        <f>'ANEXO 1. MATRIZ DE SEGUIMIENTO'!#REF!</f>
        <v>#REF!</v>
      </c>
      <c r="D23" s="234" t="e">
        <f>'ANEXO 1. MATRIZ DE SEGUIMIENTO'!#REF!</f>
        <v>#REF!</v>
      </c>
      <c r="E23" s="107" t="e">
        <f t="shared" si="3"/>
        <v>#REF!</v>
      </c>
      <c r="F23" s="263" t="e">
        <f>'ANEXO 1. MATRIZ DE SEGUIMIENTO'!#REF!</f>
        <v>#REF!</v>
      </c>
      <c r="G23" s="263" t="e">
        <f>'ANEXO 1. MATRIZ DE SEGUIMIENTO'!#REF!</f>
        <v>#REF!</v>
      </c>
      <c r="H23" s="262" t="e">
        <f>G23/F23*100</f>
        <v>#REF!</v>
      </c>
      <c r="I23" s="111" t="e">
        <f>'ANEXO 1. MATRIZ DE SEGUIMIENTO'!#REF!</f>
        <v>#REF!</v>
      </c>
      <c r="J23" s="111" t="e">
        <f>'ANEXO 1. MATRIZ DE SEGUIMIENTO'!#REF!</f>
        <v>#REF!</v>
      </c>
      <c r="K23" s="136" t="e">
        <f t="shared" si="2"/>
        <v>#REF!</v>
      </c>
      <c r="N23" s="105">
        <v>0</v>
      </c>
    </row>
    <row r="24" spans="1:14" ht="45">
      <c r="A24" s="1219" t="str">
        <f>[2]Hoja1!C47</f>
        <v>2.5 Ejecución del plan de manejo ambiental Bosque el Aguil en el municipio de Aguachica.</v>
      </c>
      <c r="B24" s="82" t="str">
        <f>[2]Hoja1!F47</f>
        <v xml:space="preserve">2.5.1 Educación ambiental para la conservación y restauración del ecosistema del bosque El Aguil.. </v>
      </c>
      <c r="C24" s="232" t="e">
        <f>'ANEXO 1. MATRIZ DE SEGUIMIENTO'!#REF!</f>
        <v>#REF!</v>
      </c>
      <c r="D24" s="232" t="e">
        <f>'ANEXO 1. MATRIZ DE SEGUIMIENTO'!#REF!</f>
        <v>#REF!</v>
      </c>
      <c r="E24" s="83" t="e">
        <f t="shared" si="3"/>
        <v>#REF!</v>
      </c>
      <c r="F24" s="1222" t="e">
        <f>'ANEXO 1. MATRIZ DE SEGUIMIENTO'!#REF!</f>
        <v>#REF!</v>
      </c>
      <c r="G24" s="1222" t="e">
        <f>'ANEXO 1. MATRIZ DE SEGUIMIENTO'!#REF!</f>
        <v>#REF!</v>
      </c>
      <c r="H24" s="1225" t="e">
        <f>G24/F24*100</f>
        <v>#REF!</v>
      </c>
      <c r="I24" s="84" t="e">
        <f>'ANEXO 1. MATRIZ DE SEGUIMIENTO'!#REF!</f>
        <v>#REF!</v>
      </c>
      <c r="J24" s="84" t="e">
        <f>'ANEXO 1. MATRIZ DE SEGUIMIENTO'!#REF!</f>
        <v>#REF!</v>
      </c>
      <c r="K24" s="123" t="e">
        <f t="shared" si="2"/>
        <v>#REF!</v>
      </c>
      <c r="N24" s="105">
        <v>0</v>
      </c>
    </row>
    <row r="25" spans="1:14">
      <c r="A25" s="1220"/>
      <c r="B25" s="86" t="str">
        <f>[2]Hoja1!F48</f>
        <v>2.5.2 Aislamiento de áreas.</v>
      </c>
      <c r="C25" s="224" t="e">
        <f>'ANEXO 1. MATRIZ DE SEGUIMIENTO'!#REF!</f>
        <v>#REF!</v>
      </c>
      <c r="D25" s="224" t="e">
        <f>'ANEXO 1. MATRIZ DE SEGUIMIENTO'!#REF!</f>
        <v>#REF!</v>
      </c>
      <c r="E25" s="87" t="e">
        <f t="shared" si="3"/>
        <v>#REF!</v>
      </c>
      <c r="F25" s="1223"/>
      <c r="G25" s="1223"/>
      <c r="H25" s="1226"/>
      <c r="I25" s="88" t="e">
        <f>'ANEXO 1. MATRIZ DE SEGUIMIENTO'!#REF!</f>
        <v>#REF!</v>
      </c>
      <c r="J25" s="88" t="e">
        <f>'ANEXO 1. MATRIZ DE SEGUIMIENTO'!#REF!</f>
        <v>#REF!</v>
      </c>
      <c r="K25" s="124" t="e">
        <f t="shared" si="2"/>
        <v>#REF!</v>
      </c>
      <c r="N25" s="105">
        <v>0</v>
      </c>
    </row>
    <row r="26" spans="1:14" ht="60">
      <c r="A26" s="1220"/>
      <c r="B26" s="86" t="str">
        <f>[2]Hoja1!F49</f>
        <v>2.5.3 Implementación de estrategias para el control y mitigación de la contaminación, y otras estrategias de manejo y mitigación ambiental.</v>
      </c>
      <c r="C26" s="224" t="e">
        <f>'ANEXO 1. MATRIZ DE SEGUIMIENTO'!#REF!</f>
        <v>#REF!</v>
      </c>
      <c r="D26" s="224" t="e">
        <f>'ANEXO 1. MATRIZ DE SEGUIMIENTO'!#REF!</f>
        <v>#REF!</v>
      </c>
      <c r="E26" s="87" t="e">
        <f t="shared" si="3"/>
        <v>#REF!</v>
      </c>
      <c r="F26" s="1223"/>
      <c r="G26" s="1223"/>
      <c r="H26" s="1226"/>
      <c r="I26" s="88" t="e">
        <f>'ANEXO 1. MATRIZ DE SEGUIMIENTO'!#REF!</f>
        <v>#REF!</v>
      </c>
      <c r="J26" s="88" t="e">
        <f>'ANEXO 1. MATRIZ DE SEGUIMIENTO'!#REF!</f>
        <v>#REF!</v>
      </c>
      <c r="K26" s="124" t="e">
        <f t="shared" si="2"/>
        <v>#REF!</v>
      </c>
      <c r="N26" s="105">
        <v>0</v>
      </c>
    </row>
    <row r="27" spans="1:14" ht="30.75" thickBot="1">
      <c r="A27" s="1252"/>
      <c r="B27" s="91" t="str">
        <f>[2]Hoja1!F50</f>
        <v>2.5.4 Articulación del PMA a la politica de Gestión Ambiental urbana.</v>
      </c>
      <c r="C27" s="233" t="e">
        <f>'ANEXO 1. MATRIZ DE SEGUIMIENTO'!#REF!</f>
        <v>#REF!</v>
      </c>
      <c r="D27" s="233" t="e">
        <f>'ANEXO 1. MATRIZ DE SEGUIMIENTO'!#REF!</f>
        <v>#REF!</v>
      </c>
      <c r="E27" s="92" t="e">
        <f t="shared" si="3"/>
        <v>#REF!</v>
      </c>
      <c r="F27" s="1224"/>
      <c r="G27" s="1224"/>
      <c r="H27" s="1227"/>
      <c r="I27" s="93" t="e">
        <f>'ANEXO 1. MATRIZ DE SEGUIMIENTO'!#REF!</f>
        <v>#REF!</v>
      </c>
      <c r="J27" s="93" t="e">
        <f>'ANEXO 1. MATRIZ DE SEGUIMIENTO'!#REF!</f>
        <v>#REF!</v>
      </c>
      <c r="K27" s="128" t="e">
        <f t="shared" si="2"/>
        <v>#REF!</v>
      </c>
      <c r="N27" s="105">
        <v>0</v>
      </c>
    </row>
    <row r="28" spans="1:14" ht="120.75" thickBot="1">
      <c r="A28" s="95" t="str">
        <f>[2]Hoja1!C52</f>
        <v>2.6. Promoción y apoyo a la implementación de proyectos productivos sostenibles en los Valles del Río Cesar y Río Magdalena.</v>
      </c>
      <c r="B28" s="96" t="str">
        <f>[2]Hoja1!F52</f>
        <v>2.6.1 Apoyo a proyectos de agroforesteria y/o patios productivos</v>
      </c>
      <c r="C28" s="235" t="e">
        <f>'ANEXO 1. MATRIZ DE SEGUIMIENTO'!#REF!</f>
        <v>#REF!</v>
      </c>
      <c r="D28" s="235" t="e">
        <f>'ANEXO 1. MATRIZ DE SEGUIMIENTO'!#REF!</f>
        <v>#REF!</v>
      </c>
      <c r="E28" s="97" t="e">
        <f t="shared" si="3"/>
        <v>#REF!</v>
      </c>
      <c r="F28" s="264" t="e">
        <f>'ANEXO 1. MATRIZ DE SEGUIMIENTO'!#REF!</f>
        <v>#REF!</v>
      </c>
      <c r="G28" s="264" t="e">
        <f>'ANEXO 1. MATRIZ DE SEGUIMIENTO'!#REF!</f>
        <v>#REF!</v>
      </c>
      <c r="H28" s="173" t="e">
        <f>G28/F28*100</f>
        <v>#REF!</v>
      </c>
      <c r="I28" s="98" t="e">
        <f>'ANEXO 1. MATRIZ DE SEGUIMIENTO'!#REF!</f>
        <v>#REF!</v>
      </c>
      <c r="J28" s="98" t="e">
        <f>'ANEXO 1. MATRIZ DE SEGUIMIENTO'!#REF!</f>
        <v>#REF!</v>
      </c>
      <c r="K28" s="129" t="e">
        <f t="shared" si="2"/>
        <v>#REF!</v>
      </c>
      <c r="N28" s="105">
        <v>0</v>
      </c>
    </row>
    <row r="29" spans="1:14">
      <c r="A29" s="1219" t="str">
        <f>[2]Hoja1!C54</f>
        <v>2.7. Acciones para el uso, manejo y disposición de especimenes de fauna y flora silvestre en el departamento del Cesar</v>
      </c>
      <c r="B29" s="1253" t="str">
        <f>[2]Hoja1!F54</f>
        <v>2.7.1 Control del trafico ilegal de especies</v>
      </c>
      <c r="C29" s="106" t="e">
        <f>'ANEXO 1. MATRIZ DE SEGUIMIENTO'!#REF!</f>
        <v>#REF!</v>
      </c>
      <c r="D29" s="106" t="e">
        <f>'ANEXO 1. MATRIZ DE SEGUIMIENTO'!#REF!</f>
        <v>#REF!</v>
      </c>
      <c r="E29" s="83">
        <v>100</v>
      </c>
      <c r="F29" s="1222" t="e">
        <f>'ANEXO 1. MATRIZ DE SEGUIMIENTO'!#REF!</f>
        <v>#REF!</v>
      </c>
      <c r="G29" s="1222" t="e">
        <f>'ANEXO 1. MATRIZ DE SEGUIMIENTO'!#REF!</f>
        <v>#REF!</v>
      </c>
      <c r="H29" s="1225" t="e">
        <f>G29/F29*100</f>
        <v>#REF!</v>
      </c>
      <c r="I29" s="1248" t="e">
        <f>'ANEXO 1. MATRIZ DE SEGUIMIENTO'!#REF!</f>
        <v>#REF!</v>
      </c>
      <c r="J29" s="1248" t="e">
        <f>'ANEXO 1. MATRIZ DE SEGUIMIENTO'!#REF!</f>
        <v>#REF!</v>
      </c>
      <c r="K29" s="1249" t="e">
        <f>J29/I29*100</f>
        <v>#REF!</v>
      </c>
      <c r="N29" s="105">
        <v>5</v>
      </c>
    </row>
    <row r="30" spans="1:14">
      <c r="A30" s="1220"/>
      <c r="B30" s="1251"/>
      <c r="C30" s="108" t="e">
        <f>'ANEXO 1. MATRIZ DE SEGUIMIENTO'!#REF!</f>
        <v>#REF!</v>
      </c>
      <c r="D30" s="108" t="e">
        <f>'ANEXO 1. MATRIZ DE SEGUIMIENTO'!#REF!</f>
        <v>#REF!</v>
      </c>
      <c r="E30" s="87">
        <v>100</v>
      </c>
      <c r="F30" s="1223"/>
      <c r="G30" s="1223"/>
      <c r="H30" s="1226"/>
      <c r="I30" s="1214"/>
      <c r="J30" s="1214"/>
      <c r="K30" s="1250"/>
      <c r="N30" s="105">
        <v>200</v>
      </c>
    </row>
    <row r="31" spans="1:14">
      <c r="A31" s="1220"/>
      <c r="B31" s="1251" t="str">
        <f>[2]Hoja1!F56</f>
        <v>2.7.2 Construcción y puesta en marcha del Centro de Atención, valoración y rehabilitación de fauna silvestre en el Departamento del Cesar.</v>
      </c>
      <c r="C31" s="237" t="e">
        <f>'ANEXO 1. MATRIZ DE SEGUIMIENTO'!#REF!</f>
        <v>#REF!</v>
      </c>
      <c r="D31" s="237" t="e">
        <f>'ANEXO 1. MATRIZ DE SEGUIMIENTO'!#REF!</f>
        <v>#REF!</v>
      </c>
      <c r="E31" s="87" t="e">
        <f>D31/C31*100</f>
        <v>#REF!</v>
      </c>
      <c r="F31" s="1223"/>
      <c r="G31" s="1223"/>
      <c r="H31" s="1226"/>
      <c r="I31" s="1214" t="e">
        <f>'ANEXO 1. MATRIZ DE SEGUIMIENTO'!#REF!</f>
        <v>#REF!</v>
      </c>
      <c r="J31" s="1214" t="e">
        <f>'ANEXO 1. MATRIZ DE SEGUIMIENTO'!#REF!</f>
        <v>#REF!</v>
      </c>
      <c r="K31" s="1250" t="e">
        <f>J31/I31*100</f>
        <v>#REF!</v>
      </c>
      <c r="N31" s="105">
        <v>0</v>
      </c>
    </row>
    <row r="32" spans="1:14">
      <c r="A32" s="1220"/>
      <c r="B32" s="1251"/>
      <c r="C32" s="237" t="e">
        <f>'ANEXO 1. MATRIZ DE SEGUIMIENTO'!#REF!</f>
        <v>#REF!</v>
      </c>
      <c r="D32" s="237" t="e">
        <f>'ANEXO 1. MATRIZ DE SEGUIMIENTO'!#REF!</f>
        <v>#REF!</v>
      </c>
      <c r="E32" s="87" t="e">
        <f>D32/C32*100</f>
        <v>#REF!</v>
      </c>
      <c r="F32" s="1223"/>
      <c r="G32" s="1223"/>
      <c r="H32" s="1226"/>
      <c r="I32" s="1214"/>
      <c r="J32" s="1214"/>
      <c r="K32" s="1250"/>
      <c r="N32" s="105">
        <v>0</v>
      </c>
    </row>
    <row r="33" spans="1:14" ht="78" customHeight="1">
      <c r="A33" s="1220"/>
      <c r="B33" s="86" t="str">
        <f>[2]Hoja1!F58</f>
        <v>2.7.3 Interventoría para la construcción del Centro de Atención, Valoración y Rehabilitación de Fauna Silvestre en el Departamento del Cesar.</v>
      </c>
      <c r="C33" s="237" t="e">
        <f>'ANEXO 1. MATRIZ DE SEGUIMIENTO'!#REF!</f>
        <v>#REF!</v>
      </c>
      <c r="D33" s="237" t="e">
        <f>'ANEXO 1. MATRIZ DE SEGUIMIENTO'!#REF!</f>
        <v>#REF!</v>
      </c>
      <c r="E33" s="87" t="e">
        <f>D33/C33*100</f>
        <v>#REF!</v>
      </c>
      <c r="F33" s="1223"/>
      <c r="G33" s="1223"/>
      <c r="H33" s="1226"/>
      <c r="I33" s="88" t="e">
        <f>'ANEXO 1. MATRIZ DE SEGUIMIENTO'!#REF!</f>
        <v>#REF!</v>
      </c>
      <c r="J33" s="88" t="e">
        <f>'ANEXO 1. MATRIZ DE SEGUIMIENTO'!#REF!</f>
        <v>#REF!</v>
      </c>
      <c r="K33" s="124" t="e">
        <f>J33/I33*100</f>
        <v>#REF!</v>
      </c>
      <c r="N33" s="105">
        <v>0</v>
      </c>
    </row>
    <row r="34" spans="1:14" ht="105.75" thickBot="1">
      <c r="A34" s="1252"/>
      <c r="B34" s="91" t="str">
        <f>[2]Hoja1!F59</f>
        <v>2.7.4 Formulación e implementación de planes de conservación de especies amenazadas: aves migratorias de la biodiversidad colombiana, cóndor andino, babilla, caimán, mamíferos acuáticos (Manatí y Nutria), icotea,  felinos.</v>
      </c>
      <c r="C34" s="238" t="e">
        <f>'ANEXO 1. MATRIZ DE SEGUIMIENTO'!#REF!</f>
        <v>#REF!</v>
      </c>
      <c r="D34" s="238" t="e">
        <f>'ANEXO 1. MATRIZ DE SEGUIMIENTO'!#REF!</f>
        <v>#REF!</v>
      </c>
      <c r="E34" s="92" t="e">
        <f>D34/C34*100</f>
        <v>#REF!</v>
      </c>
      <c r="F34" s="1224"/>
      <c r="G34" s="1224"/>
      <c r="H34" s="1227"/>
      <c r="I34" s="93" t="e">
        <f>'ANEXO 1. MATRIZ DE SEGUIMIENTO'!#REF!</f>
        <v>#REF!</v>
      </c>
      <c r="J34" s="93" t="e">
        <f>'ANEXO 1. MATRIZ DE SEGUIMIENTO'!#REF!</f>
        <v>#REF!</v>
      </c>
      <c r="K34" s="128" t="e">
        <f>J34/I34*100</f>
        <v>#REF!</v>
      </c>
      <c r="N34" s="105">
        <v>0</v>
      </c>
    </row>
    <row r="35" spans="1:14" ht="90">
      <c r="A35" s="95" t="str">
        <f>[2]Hoja1!C61</f>
        <v>2.8. Establecimiento del plan de manejo sobre áreas en proceso de desertificación y sequia.</v>
      </c>
      <c r="B35" s="96" t="str">
        <f>[2]Hoja1!F61</f>
        <v>2.8.1 Formulación e implementación del plan de acción regional de lucha contra la desertificación y sequía en el departamento del cesar con enfasis en la región del Río Cesar..</v>
      </c>
      <c r="C35" s="235" t="e">
        <f>'ANEXO 1. MATRIZ DE SEGUIMIENTO'!#REF!</f>
        <v>#REF!</v>
      </c>
      <c r="D35" s="235" t="e">
        <f>'ANEXO 1. MATRIZ DE SEGUIMIENTO'!#REF!</f>
        <v>#REF!</v>
      </c>
      <c r="E35" s="97" t="e">
        <f>D35/C35*100</f>
        <v>#REF!</v>
      </c>
      <c r="F35" s="264" t="e">
        <f>'ANEXO 1. MATRIZ DE SEGUIMIENTO'!#REF!</f>
        <v>#REF!</v>
      </c>
      <c r="G35" s="264" t="e">
        <f>'ANEXO 1. MATRIZ DE SEGUIMIENTO'!#REF!</f>
        <v>#REF!</v>
      </c>
      <c r="H35" s="173" t="e">
        <f>G35/F35*100</f>
        <v>#REF!</v>
      </c>
      <c r="I35" s="98" t="e">
        <f>'ANEXO 1. MATRIZ DE SEGUIMIENTO'!#REF!</f>
        <v>#REF!</v>
      </c>
      <c r="J35" s="98" t="e">
        <f>'ANEXO 1. MATRIZ DE SEGUIMIENTO'!#REF!</f>
        <v>#REF!</v>
      </c>
      <c r="K35" s="129" t="e">
        <f t="shared" si="2"/>
        <v>#REF!</v>
      </c>
      <c r="N35" s="105">
        <v>0</v>
      </c>
    </row>
    <row r="36" spans="1:14">
      <c r="A36" s="1220"/>
      <c r="B36" s="1251" t="str">
        <f>[2]Hoja1!F65</f>
        <v xml:space="preserve">2.9.3 Establecimiento de viveros y producción de arboles. </v>
      </c>
      <c r="C36" s="224" t="e">
        <f>'ANEXO 1. MATRIZ DE SEGUIMIENTO'!#REF!</f>
        <v>#REF!</v>
      </c>
      <c r="D36" s="224" t="e">
        <f>'ANEXO 1. MATRIZ DE SEGUIMIENTO'!#REF!</f>
        <v>#REF!</v>
      </c>
      <c r="E36" s="87">
        <v>0</v>
      </c>
      <c r="F36" s="1254" t="e">
        <f>'ANEXO 1. MATRIZ DE SEGUIMIENTO'!#REF!</f>
        <v>#REF!</v>
      </c>
      <c r="G36" s="1254" t="e">
        <f>'ANEXO 1. MATRIZ DE SEGUIMIENTO'!#REF!</f>
        <v>#REF!</v>
      </c>
      <c r="H36" s="1255" t="e">
        <f>G36/F36*100</f>
        <v>#REF!</v>
      </c>
      <c r="I36" s="1214" t="e">
        <f>'ANEXO 1. MATRIZ DE SEGUIMIENTO'!#REF!</f>
        <v>#REF!</v>
      </c>
      <c r="J36" s="1214" t="e">
        <f>'ANEXO 1. MATRIZ DE SEGUIMIENTO'!#REF!</f>
        <v>#REF!</v>
      </c>
      <c r="K36" s="1250" t="e">
        <f>J36/I36*100</f>
        <v>#REF!</v>
      </c>
      <c r="N36" s="105">
        <v>0</v>
      </c>
    </row>
    <row r="37" spans="1:14" ht="15.75" thickBot="1">
      <c r="A37" s="1221"/>
      <c r="B37" s="1257"/>
      <c r="C37" s="226" t="e">
        <f>'ANEXO 1. MATRIZ DE SEGUIMIENTO'!#REF!</f>
        <v>#REF!</v>
      </c>
      <c r="D37" s="226" t="e">
        <f>'ANEXO 1. MATRIZ DE SEGUIMIENTO'!#REF!</f>
        <v>#REF!</v>
      </c>
      <c r="E37" s="113">
        <v>100</v>
      </c>
      <c r="F37" s="1224"/>
      <c r="G37" s="1224"/>
      <c r="H37" s="1227"/>
      <c r="I37" s="1218"/>
      <c r="J37" s="1218"/>
      <c r="K37" s="1258"/>
      <c r="N37" s="105">
        <v>0</v>
      </c>
    </row>
    <row r="38" spans="1:14" ht="15.75" thickBot="1">
      <c r="A38" s="1246" t="s">
        <v>336</v>
      </c>
      <c r="B38" s="1247"/>
      <c r="C38" s="169" t="e">
        <f>SUM(C5:C37)</f>
        <v>#REF!</v>
      </c>
      <c r="D38" s="169" t="e">
        <f>SUM(D5:D37)</f>
        <v>#REF!</v>
      </c>
      <c r="E38" s="170" t="e">
        <f>SUM(D38/C38*100)</f>
        <v>#REF!</v>
      </c>
      <c r="F38" s="170"/>
      <c r="G38" s="170"/>
      <c r="H38" s="170"/>
      <c r="I38" s="171" t="e">
        <f>SUM(I5:I37)</f>
        <v>#REF!</v>
      </c>
      <c r="J38" s="171" t="e">
        <f>SUM(J5:J37)</f>
        <v>#REF!</v>
      </c>
      <c r="K38" s="172" t="e">
        <f>SUM(J38/I38*100)</f>
        <v>#REF!</v>
      </c>
    </row>
  </sheetData>
  <mergeCells count="45">
    <mergeCell ref="F20:F22"/>
    <mergeCell ref="G20:G22"/>
    <mergeCell ref="H20:H22"/>
    <mergeCell ref="F24:F27"/>
    <mergeCell ref="G24:G27"/>
    <mergeCell ref="H24:H27"/>
    <mergeCell ref="P5:Q5"/>
    <mergeCell ref="A36:A37"/>
    <mergeCell ref="B36:B37"/>
    <mergeCell ref="I36:I37"/>
    <mergeCell ref="J36:J37"/>
    <mergeCell ref="K36:K37"/>
    <mergeCell ref="A16:A19"/>
    <mergeCell ref="A20:A22"/>
    <mergeCell ref="A24:A27"/>
    <mergeCell ref="A5:A15"/>
    <mergeCell ref="F5:F15"/>
    <mergeCell ref="G5:G15"/>
    <mergeCell ref="H5:H15"/>
    <mergeCell ref="F16:F19"/>
    <mergeCell ref="G16:G19"/>
    <mergeCell ref="H16:H19"/>
    <mergeCell ref="A38:B38"/>
    <mergeCell ref="J29:J30"/>
    <mergeCell ref="K29:K30"/>
    <mergeCell ref="B31:B32"/>
    <mergeCell ref="I31:I32"/>
    <mergeCell ref="J31:J32"/>
    <mergeCell ref="K31:K32"/>
    <mergeCell ref="A29:A34"/>
    <mergeCell ref="B29:B30"/>
    <mergeCell ref="I29:I30"/>
    <mergeCell ref="F29:F34"/>
    <mergeCell ref="G29:G34"/>
    <mergeCell ref="H29:H34"/>
    <mergeCell ref="F36:F37"/>
    <mergeCell ref="G36:G37"/>
    <mergeCell ref="H36:H37"/>
    <mergeCell ref="A1:K1"/>
    <mergeCell ref="A3:A4"/>
    <mergeCell ref="B3:B4"/>
    <mergeCell ref="C3:E3"/>
    <mergeCell ref="I3:K3"/>
    <mergeCell ref="F2:H2"/>
    <mergeCell ref="I2:K2"/>
  </mergeCells>
  <pageMargins left="0.70866141732283472" right="0.70866141732283472" top="0.74803149606299213" bottom="0.74803149606299213" header="0.31496062992125984" footer="0.31496062992125984"/>
  <pageSetup scale="85" orientation="landscape" verticalDpi="0" r:id="rId1"/>
  <ignoredErrors>
    <ignoredError sqref="E38" formula="1"/>
  </ignoredError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3"/>
  <sheetViews>
    <sheetView zoomScale="70" zoomScaleNormal="70" workbookViewId="0">
      <pane ySplit="1410" topLeftCell="A10" activePane="bottomLeft"/>
      <selection activeCell="F2" sqref="F2:H2"/>
      <selection pane="bottomLeft" activeCell="H17" sqref="H17:H22"/>
    </sheetView>
  </sheetViews>
  <sheetFormatPr baseColWidth="10" defaultRowHeight="15"/>
  <cols>
    <col min="1" max="1" width="19.140625" customWidth="1"/>
    <col min="2" max="2" width="29" customWidth="1"/>
    <col min="3" max="3" width="14.42578125" customWidth="1"/>
    <col min="4" max="4" width="12.140625" customWidth="1"/>
    <col min="5" max="5" width="12.85546875" customWidth="1"/>
    <col min="6" max="7" width="15.7109375" customWidth="1"/>
    <col min="8" max="8" width="12.85546875" customWidth="1"/>
    <col min="9" max="9" width="16.28515625" bestFit="1" customWidth="1"/>
    <col min="10" max="10" width="16.7109375" customWidth="1"/>
    <col min="11" max="11" width="13.5703125" customWidth="1"/>
  </cols>
  <sheetData>
    <row r="1" spans="1:16" ht="21">
      <c r="A1" s="1260" t="s">
        <v>337</v>
      </c>
      <c r="B1" s="1261"/>
      <c r="C1" s="1261"/>
      <c r="D1" s="1261"/>
      <c r="E1" s="1261"/>
      <c r="F1" s="1261"/>
      <c r="G1" s="1261"/>
      <c r="H1" s="1261"/>
      <c r="I1" s="1261"/>
      <c r="J1" s="1261"/>
      <c r="K1" s="1262"/>
    </row>
    <row r="2" spans="1:16" ht="21.75" thickBot="1">
      <c r="A2" s="252"/>
      <c r="B2" s="253"/>
      <c r="C2" s="253"/>
      <c r="D2" s="253"/>
      <c r="E2" s="253"/>
      <c r="F2" s="1204" t="str">
        <f>'P2'!F2:H2</f>
        <v>POR PROYECTO</v>
      </c>
      <c r="G2" s="1204"/>
      <c r="H2" s="1204"/>
      <c r="I2" s="1245" t="str">
        <f>'P2'!I2:K2</f>
        <v>POR ACTIVIDAD</v>
      </c>
      <c r="J2" s="1245"/>
      <c r="K2" s="1245"/>
    </row>
    <row r="3" spans="1:16">
      <c r="A3" s="1199" t="s">
        <v>327</v>
      </c>
      <c r="B3" s="1241" t="s">
        <v>21</v>
      </c>
      <c r="C3" s="1243" t="s">
        <v>328</v>
      </c>
      <c r="D3" s="1243"/>
      <c r="E3" s="1243"/>
      <c r="F3" s="249"/>
      <c r="G3" s="249"/>
      <c r="H3" s="249"/>
      <c r="I3" s="1243" t="s">
        <v>329</v>
      </c>
      <c r="J3" s="1243"/>
      <c r="K3" s="1244"/>
    </row>
    <row r="4" spans="1:16" ht="30.75" thickBot="1">
      <c r="A4" s="1240"/>
      <c r="B4" s="1242"/>
      <c r="C4" s="131" t="s">
        <v>330</v>
      </c>
      <c r="D4" s="131" t="s">
        <v>331</v>
      </c>
      <c r="E4" s="131" t="s">
        <v>332</v>
      </c>
      <c r="F4" s="254" t="str">
        <f>I4</f>
        <v xml:space="preserve">META PROGRAMADA </v>
      </c>
      <c r="G4" s="254" t="str">
        <f>J4</f>
        <v>META EJECUTADA</v>
      </c>
      <c r="H4" s="254" t="str">
        <f>K4</f>
        <v>PORCENTAJE EJECUCIÓN</v>
      </c>
      <c r="I4" s="132" t="s">
        <v>330</v>
      </c>
      <c r="J4" s="133" t="s">
        <v>331</v>
      </c>
      <c r="K4" s="134" t="s">
        <v>332</v>
      </c>
      <c r="O4" s="1267"/>
      <c r="P4" s="1267"/>
    </row>
    <row r="5" spans="1:16" ht="105.75" thickBot="1">
      <c r="A5" s="109" t="str">
        <f>[2]Hoja1!C68</f>
        <v>3.1 Aprovechamiento y protección integral de aguas subterráneas en el Departamento Del Cesar.</v>
      </c>
      <c r="B5" s="110" t="str">
        <f>[2]Hoja1!F68</f>
        <v>3.1.1 Realizar el inventario de puntos de aprovechamiento de aguas subterráneas, pozos, aljibes y manantiales (incluye adquisición de equipos de monitoreo).</v>
      </c>
      <c r="C5" s="144" t="e">
        <f>'ANEXO 1. MATRIZ DE SEGUIMIENTO'!#REF!</f>
        <v>#REF!</v>
      </c>
      <c r="D5" s="144" t="e">
        <f>'ANEXO 1. MATRIZ DE SEGUIMIENTO'!#REF!</f>
        <v>#REF!</v>
      </c>
      <c r="E5" s="218" t="e">
        <f>'ANEXO 1. MATRIZ DE SEGUIMIENTO'!#REF!</f>
        <v>#REF!</v>
      </c>
      <c r="F5" s="149" t="e">
        <f>'ANEXO 1. MATRIZ DE SEGUIMIENTO'!#REF!</f>
        <v>#REF!</v>
      </c>
      <c r="G5" s="218" t="e">
        <f>'ANEXO 1. MATRIZ DE SEGUIMIENTO'!#REF!</f>
        <v>#REF!</v>
      </c>
      <c r="H5" s="265" t="e">
        <f>G5/F5*100</f>
        <v>#REF!</v>
      </c>
      <c r="I5" s="149" t="e">
        <f>'ANEXO 1. MATRIZ DE SEGUIMIENTO'!#REF!</f>
        <v>#REF!</v>
      </c>
      <c r="J5" s="149" t="e">
        <f>'ANEXO 1. MATRIZ DE SEGUIMIENTO'!#REF!</f>
        <v>#REF!</v>
      </c>
      <c r="K5" s="136" t="e">
        <f t="shared" ref="K5:K12" si="0">J5/I5*100</f>
        <v>#REF!</v>
      </c>
      <c r="N5" s="105">
        <v>95</v>
      </c>
      <c r="O5" s="1268" t="s">
        <v>334</v>
      </c>
      <c r="P5" s="1268"/>
    </row>
    <row r="6" spans="1:16" ht="165.75" thickBot="1">
      <c r="A6" s="255" t="str">
        <f>[2]Hoja1!C70</f>
        <v>3.2 Evaluación de la capacidad de transporte de sedimento y del potencial de explotación de material de arrastre en corrientes de aguas superficiales en el Departamento del Cesar.</v>
      </c>
      <c r="B6" s="117" t="str">
        <f>[2]Hoja1!F70</f>
        <v>3.2.1 Elaborar los estudios de hidrosedimentología en corrientes de aguas superficiales en el Departamento del Cesar.</v>
      </c>
      <c r="C6" s="256" t="e">
        <f>'ANEXO 1. MATRIZ DE SEGUIMIENTO'!#REF!</f>
        <v>#REF!</v>
      </c>
      <c r="D6" s="256" t="e">
        <f>'ANEXO 1. MATRIZ DE SEGUIMIENTO'!#REF!</f>
        <v>#REF!</v>
      </c>
      <c r="E6" s="257" t="e">
        <f t="shared" ref="E6:E11" si="1">D6/C6*100</f>
        <v>#REF!</v>
      </c>
      <c r="F6" s="119" t="e">
        <f>'ANEXO 1. MATRIZ DE SEGUIMIENTO'!#REF!</f>
        <v>#REF!</v>
      </c>
      <c r="G6" s="119" t="e">
        <f>'ANEXO 1. MATRIZ DE SEGUIMIENTO'!#REF!</f>
        <v>#REF!</v>
      </c>
      <c r="H6" s="257" t="e">
        <f>G6/F6*100</f>
        <v>#REF!</v>
      </c>
      <c r="I6" s="119" t="e">
        <f>'ANEXO 1. MATRIZ DE SEGUIMIENTO'!#REF!</f>
        <v>#REF!</v>
      </c>
      <c r="J6" s="119" t="e">
        <f>'ANEXO 1. MATRIZ DE SEGUIMIENTO'!#REF!</f>
        <v>#REF!</v>
      </c>
      <c r="K6" s="258" t="e">
        <f t="shared" si="0"/>
        <v>#REF!</v>
      </c>
      <c r="N6" s="105">
        <v>1</v>
      </c>
    </row>
    <row r="7" spans="1:16" ht="30">
      <c r="A7" s="1272" t="str">
        <f>[2]Hoja1!C72</f>
        <v>3.3 Elaboración el mapa de riesgo en el Departamento del Cesar</v>
      </c>
      <c r="B7" s="126" t="str">
        <f>[2]Hoja1!F72</f>
        <v>3.3.1 Elaboración del mapa de riesgo por inundaciones.</v>
      </c>
      <c r="C7" s="148" t="e">
        <f>'ANEXO 1. MATRIZ DE SEGUIMIENTO'!#REF!</f>
        <v>#REF!</v>
      </c>
      <c r="D7" s="148" t="e">
        <f>'ANEXO 1. MATRIZ DE SEGUIMIENTO'!#REF!</f>
        <v>#REF!</v>
      </c>
      <c r="E7" s="139" t="e">
        <f t="shared" si="1"/>
        <v>#REF!</v>
      </c>
      <c r="F7" s="1228" t="e">
        <f>'ANEXO 1. MATRIZ DE SEGUIMIENTO'!#REF!</f>
        <v>#REF!</v>
      </c>
      <c r="G7" s="1225" t="e">
        <f>'ANEXO 1. MATRIZ DE SEGUIMIENTO'!#REF!</f>
        <v>#REF!</v>
      </c>
      <c r="H7" s="1225" t="e">
        <f>G7/F7*100</f>
        <v>#REF!</v>
      </c>
      <c r="I7" s="140" t="e">
        <f>'ANEXO 1. MATRIZ DE SEGUIMIENTO'!#REF!</f>
        <v>#REF!</v>
      </c>
      <c r="J7" s="140" t="e">
        <f>'ANEXO 1. MATRIZ DE SEGUIMIENTO'!#REF!</f>
        <v>#REF!</v>
      </c>
      <c r="K7" s="141" t="e">
        <f t="shared" si="0"/>
        <v>#REF!</v>
      </c>
      <c r="N7" s="105">
        <v>1</v>
      </c>
    </row>
    <row r="8" spans="1:16" ht="45">
      <c r="A8" s="1273"/>
      <c r="B8" s="86" t="str">
        <f>[2]Hoja1!F73</f>
        <v>3.3.2 Elaboración del mapa de riesgo por eventos geotécnicos.</v>
      </c>
      <c r="C8" s="146" t="e">
        <f>'ANEXO 1. MATRIZ DE SEGUIMIENTO'!#REF!</f>
        <v>#REF!</v>
      </c>
      <c r="D8" s="146" t="e">
        <f>'ANEXO 1. MATRIZ DE SEGUIMIENTO'!#REF!</f>
        <v>#REF!</v>
      </c>
      <c r="E8" s="76" t="e">
        <f t="shared" si="1"/>
        <v>#REF!</v>
      </c>
      <c r="F8" s="1229"/>
      <c r="G8" s="1226"/>
      <c r="H8" s="1226"/>
      <c r="I8" s="88" t="e">
        <f>'ANEXO 1. MATRIZ DE SEGUIMIENTO'!#REF!</f>
        <v>#REF!</v>
      </c>
      <c r="J8" s="88" t="e">
        <f>'ANEXO 1. MATRIZ DE SEGUIMIENTO'!#REF!</f>
        <v>#REF!</v>
      </c>
      <c r="K8" s="124" t="e">
        <f t="shared" si="0"/>
        <v>#REF!</v>
      </c>
      <c r="N8" s="105">
        <v>1</v>
      </c>
    </row>
    <row r="9" spans="1:16" ht="75">
      <c r="A9" s="1273"/>
      <c r="B9" s="86" t="str">
        <f>[2]Hoja1!F74</f>
        <v xml:space="preserve">3.3.3 Socialización del conocimiento del riesgo (Torcoroma, Chiriaimo, Honda, San Alberto, Badillo y Guatapurí) </v>
      </c>
      <c r="C9" s="146" t="e">
        <f>'ANEXO 1. MATRIZ DE SEGUIMIENTO'!#REF!</f>
        <v>#REF!</v>
      </c>
      <c r="D9" s="146" t="e">
        <f>'ANEXO 1. MATRIZ DE SEGUIMIENTO'!#REF!</f>
        <v>#REF!</v>
      </c>
      <c r="E9" s="76" t="e">
        <f t="shared" si="1"/>
        <v>#REF!</v>
      </c>
      <c r="F9" s="1229"/>
      <c r="G9" s="1226"/>
      <c r="H9" s="1226"/>
      <c r="I9" s="88" t="e">
        <f>'ANEXO 1. MATRIZ DE SEGUIMIENTO'!#REF!</f>
        <v>#REF!</v>
      </c>
      <c r="J9" s="88" t="e">
        <f>'ANEXO 1. MATRIZ DE SEGUIMIENTO'!#REF!</f>
        <v>#REF!</v>
      </c>
      <c r="K9" s="124" t="e">
        <f t="shared" si="0"/>
        <v>#REF!</v>
      </c>
      <c r="N9" s="105"/>
    </row>
    <row r="10" spans="1:16" ht="60.75" thickBot="1">
      <c r="A10" s="1274"/>
      <c r="B10" s="112" t="str">
        <f>[2]Hoja1!F75</f>
        <v xml:space="preserve">3.3.4 Concertación e Implementación  de Acciones de mitigación en el marco de la Gestión integral del riesgo. </v>
      </c>
      <c r="C10" s="147" t="e">
        <f>'ANEXO 1. MATRIZ DE SEGUIMIENTO'!#REF!</f>
        <v>#REF!</v>
      </c>
      <c r="D10" s="147" t="e">
        <f>'ANEXO 1. MATRIZ DE SEGUIMIENTO'!#REF!</f>
        <v>#REF!</v>
      </c>
      <c r="E10" s="138" t="e">
        <f t="shared" si="1"/>
        <v>#REF!</v>
      </c>
      <c r="F10" s="1230"/>
      <c r="G10" s="1227"/>
      <c r="H10" s="1227"/>
      <c r="I10" s="114" t="e">
        <f>'ANEXO 1. MATRIZ DE SEGUIMIENTO'!#REF!</f>
        <v>#REF!</v>
      </c>
      <c r="J10" s="114" t="e">
        <f>'ANEXO 1. MATRIZ DE SEGUIMIENTO'!#REF!</f>
        <v>#REF!</v>
      </c>
      <c r="K10" s="125" t="e">
        <f t="shared" si="0"/>
        <v>#REF!</v>
      </c>
      <c r="N10" s="105"/>
    </row>
    <row r="11" spans="1:16" ht="45">
      <c r="A11" s="1272" t="str">
        <f>[2]Hoja1!C77</f>
        <v>3.4 Formulación e implementación de planes de ordenación y manejo de cuencas en el Departamento del Cesar.</v>
      </c>
      <c r="B11" s="126" t="str">
        <f>[2]Hoja1!F77</f>
        <v>3.4.1 Ejecución de Fases para la formulación de los POMCAS priorizados</v>
      </c>
      <c r="C11" s="148" t="e">
        <f>'ANEXO 1. MATRIZ DE SEGUIMIENTO'!#REF!</f>
        <v>#REF!</v>
      </c>
      <c r="D11" s="148" t="e">
        <f>'ANEXO 1. MATRIZ DE SEGUIMIENTO'!#REF!</f>
        <v>#REF!</v>
      </c>
      <c r="E11" s="139" t="e">
        <f t="shared" si="1"/>
        <v>#REF!</v>
      </c>
      <c r="F11" s="1228" t="e">
        <f>'ANEXO 1. MATRIZ DE SEGUIMIENTO'!#REF!</f>
        <v>#REF!</v>
      </c>
      <c r="G11" s="1228" t="e">
        <f>'ANEXO 1. MATRIZ DE SEGUIMIENTO'!#REF!</f>
        <v>#REF!</v>
      </c>
      <c r="H11" s="1225" t="e">
        <f>G11/F11*100</f>
        <v>#REF!</v>
      </c>
      <c r="I11" s="140" t="e">
        <f>'ANEXO 1. MATRIZ DE SEGUIMIENTO'!#REF!</f>
        <v>#REF!</v>
      </c>
      <c r="J11" s="140" t="e">
        <f>'ANEXO 1. MATRIZ DE SEGUIMIENTO'!#REF!</f>
        <v>#REF!</v>
      </c>
      <c r="K11" s="141" t="e">
        <f t="shared" si="0"/>
        <v>#REF!</v>
      </c>
      <c r="N11" s="105">
        <v>0.1</v>
      </c>
    </row>
    <row r="12" spans="1:16">
      <c r="A12" s="1273"/>
      <c r="B12" s="1263" t="str">
        <f>[2]Hoja1!F78</f>
        <v>3.4.2 Gestión para la priorización de nuevas  cuencas según caracterización ambIental del  PDA</v>
      </c>
      <c r="C12" s="148" t="e">
        <f>'ANEXO 1. MATRIZ DE SEGUIMIENTO'!#REF!</f>
        <v>#REF!</v>
      </c>
      <c r="D12" s="148" t="e">
        <f>'ANEXO 1. MATRIZ DE SEGUIMIENTO'!#REF!</f>
        <v>#REF!</v>
      </c>
      <c r="E12" s="76" t="e">
        <f t="shared" ref="E12:E22" si="2">D12/C12*100</f>
        <v>#REF!</v>
      </c>
      <c r="F12" s="1229"/>
      <c r="G12" s="1229"/>
      <c r="H12" s="1226"/>
      <c r="I12" s="1214" t="e">
        <f>'ANEXO 1. MATRIZ DE SEGUIMIENTO'!#REF!</f>
        <v>#REF!</v>
      </c>
      <c r="J12" s="1214" t="e">
        <f>'ANEXO 1. MATRIZ DE SEGUIMIENTO'!#REF!</f>
        <v>#REF!</v>
      </c>
      <c r="K12" s="1250" t="e">
        <f t="shared" si="0"/>
        <v>#REF!</v>
      </c>
      <c r="N12" s="105">
        <v>0.1</v>
      </c>
    </row>
    <row r="13" spans="1:16">
      <c r="A13" s="1273"/>
      <c r="B13" s="1263"/>
      <c r="C13" s="148" t="e">
        <f>'ANEXO 1. MATRIZ DE SEGUIMIENTO'!#REF!</f>
        <v>#REF!</v>
      </c>
      <c r="D13" s="148" t="e">
        <f>'ANEXO 1. MATRIZ DE SEGUIMIENTO'!#REF!</f>
        <v>#REF!</v>
      </c>
      <c r="E13" s="76">
        <v>100</v>
      </c>
      <c r="F13" s="1229"/>
      <c r="G13" s="1229"/>
      <c r="H13" s="1226"/>
      <c r="I13" s="1214"/>
      <c r="J13" s="1214"/>
      <c r="K13" s="1250"/>
      <c r="N13" s="105">
        <v>0</v>
      </c>
    </row>
    <row r="14" spans="1:16">
      <c r="A14" s="1273"/>
      <c r="B14" s="1263" t="str">
        <f>[2]Hoja1!F80</f>
        <v xml:space="preserve">3.4.3 Ejecución del proceso de formulación de  POMCAS en cuencas   priorizados mendiante Res/2004 y en  nuevas cuencas ).  </v>
      </c>
      <c r="C14" s="148" t="e">
        <f>'ANEXO 1. MATRIZ DE SEGUIMIENTO'!#REF!</f>
        <v>#REF!</v>
      </c>
      <c r="D14" s="148" t="e">
        <f>'ANEXO 1. MATRIZ DE SEGUIMIENTO'!#REF!</f>
        <v>#REF!</v>
      </c>
      <c r="E14" s="76">
        <v>100</v>
      </c>
      <c r="F14" s="1229"/>
      <c r="G14" s="1229"/>
      <c r="H14" s="1226"/>
      <c r="I14" s="1214" t="e">
        <f>'ANEXO 1. MATRIZ DE SEGUIMIENTO'!#REF!</f>
        <v>#REF!</v>
      </c>
      <c r="J14" s="1214" t="e">
        <f>'ANEXO 1. MATRIZ DE SEGUIMIENTO'!#REF!</f>
        <v>#REF!</v>
      </c>
      <c r="K14" s="1250" t="e">
        <f>J14/I14*100</f>
        <v>#REF!</v>
      </c>
      <c r="N14" s="105">
        <v>0</v>
      </c>
    </row>
    <row r="15" spans="1:16" ht="15.75" thickBot="1">
      <c r="A15" s="1273"/>
      <c r="B15" s="1263"/>
      <c r="C15" s="148" t="e">
        <f>'ANEXO 1. MATRIZ DE SEGUIMIENTO'!#REF!</f>
        <v>#REF!</v>
      </c>
      <c r="D15" s="148" t="e">
        <f>'ANEXO 1. MATRIZ DE SEGUIMIENTO'!#REF!</f>
        <v>#REF!</v>
      </c>
      <c r="E15" s="76" t="e">
        <f t="shared" si="2"/>
        <v>#REF!</v>
      </c>
      <c r="F15" s="1230"/>
      <c r="G15" s="1230"/>
      <c r="H15" s="1227"/>
      <c r="I15" s="1214"/>
      <c r="J15" s="1214"/>
      <c r="K15" s="1250"/>
      <c r="N15" s="105">
        <v>0</v>
      </c>
    </row>
    <row r="16" spans="1:16" ht="75.75" thickBot="1">
      <c r="A16" s="95" t="str">
        <f>[2]Hoja1!C84</f>
        <v>3.5 Formulación de planes de ordenación de cuencas compartidas.</v>
      </c>
      <c r="B16" s="174" t="str">
        <f>[2]Hoja1!F84</f>
        <v xml:space="preserve">3.5.1 Concertación  de Acciones para la formulación de POMCAS en cuencas compartidas, previamente priorizadas. </v>
      </c>
      <c r="C16" s="173" t="e">
        <f>'ANEXO 1. MATRIZ DE SEGUIMIENTO'!#REF!</f>
        <v>#REF!</v>
      </c>
      <c r="D16" s="173" t="e">
        <f>'ANEXO 1. MATRIZ DE SEGUIMIENTO'!#REF!</f>
        <v>#REF!</v>
      </c>
      <c r="E16" s="173" t="e">
        <f t="shared" si="2"/>
        <v>#REF!</v>
      </c>
      <c r="F16" s="98" t="e">
        <f>'ANEXO 1. MATRIZ DE SEGUIMIENTO'!#REF!</f>
        <v>#REF!</v>
      </c>
      <c r="G16" s="98" t="e">
        <f>'ANEXO 1. MATRIZ DE SEGUIMIENTO'!#REF!</f>
        <v>#REF!</v>
      </c>
      <c r="H16" s="173" t="e">
        <f>G16/F16*100</f>
        <v>#REF!</v>
      </c>
      <c r="I16" s="175" t="e">
        <f>'ANEXO 1. MATRIZ DE SEGUIMIENTO'!#REF!</f>
        <v>#REF!</v>
      </c>
      <c r="J16" s="175" t="e">
        <f>'ANEXO 1. MATRIZ DE SEGUIMIENTO'!#REF!</f>
        <v>#REF!</v>
      </c>
      <c r="K16" s="129" t="e">
        <f>J16/I16*100</f>
        <v>#REF!</v>
      </c>
      <c r="N16" s="105">
        <v>0</v>
      </c>
    </row>
    <row r="17" spans="1:14">
      <c r="A17" s="1209" t="str">
        <f>[2]Hoja1!C86</f>
        <v>3.6 Reglamentación del Recurso hídrico en el Departamento del Cesar.</v>
      </c>
      <c r="B17" s="1271" t="str">
        <f>[2]Hoja1!F86</f>
        <v>3.6.1 Reglamentación de las corrientes hídricas priorizadas.</v>
      </c>
      <c r="C17" s="239" t="e">
        <f>'ANEXO 1. MATRIZ DE SEGUIMIENTO'!#REF!</f>
        <v>#REF!</v>
      </c>
      <c r="D17" s="239" t="e">
        <f>'ANEXO 1. MATRIZ DE SEGUIMIENTO'!#REF!</f>
        <v>#REF!</v>
      </c>
      <c r="E17" s="137" t="e">
        <f t="shared" si="2"/>
        <v>#REF!</v>
      </c>
      <c r="F17" s="1228" t="e">
        <f>'ANEXO 1. MATRIZ DE SEGUIMIENTO'!#REF!</f>
        <v>#REF!</v>
      </c>
      <c r="G17" s="1228" t="e">
        <f>'ANEXO 1. MATRIZ DE SEGUIMIENTO'!#REF!</f>
        <v>#REF!</v>
      </c>
      <c r="H17" s="1225" t="e">
        <f>G17/F17*100</f>
        <v>#REF!</v>
      </c>
      <c r="I17" s="1248" t="e">
        <f>'ANEXO 1. MATRIZ DE SEGUIMIENTO'!#REF!</f>
        <v>#REF!</v>
      </c>
      <c r="J17" s="1248" t="e">
        <f>'ANEXO 1. MATRIZ DE SEGUIMIENTO'!#REF!</f>
        <v>#REF!</v>
      </c>
      <c r="K17" s="1249" t="e">
        <f>J17/I17*100</f>
        <v>#REF!</v>
      </c>
      <c r="N17" s="105">
        <v>0</v>
      </c>
    </row>
    <row r="18" spans="1:14" ht="15.75" thickBot="1">
      <c r="A18" s="1269"/>
      <c r="B18" s="1263"/>
      <c r="C18" s="240" t="e">
        <f>'ANEXO 1. MATRIZ DE SEGUIMIENTO'!#REF!</f>
        <v>#REF!</v>
      </c>
      <c r="D18" s="240" t="e">
        <f>'ANEXO 1. MATRIZ DE SEGUIMIENTO'!#REF!</f>
        <v>#REF!</v>
      </c>
      <c r="E18" s="76" t="e">
        <f t="shared" si="2"/>
        <v>#REF!</v>
      </c>
      <c r="F18" s="1229"/>
      <c r="G18" s="1229"/>
      <c r="H18" s="1226"/>
      <c r="I18" s="1214"/>
      <c r="J18" s="1214"/>
      <c r="K18" s="1250"/>
      <c r="N18" s="105">
        <v>0</v>
      </c>
    </row>
    <row r="19" spans="1:14">
      <c r="A19" s="1269"/>
      <c r="B19" s="1263" t="str">
        <f>[2]Hoja1!F90</f>
        <v>3.6.3 Facturación por concepto de uso del agua.</v>
      </c>
      <c r="C19" s="240" t="e">
        <f>'ANEXO 1. MATRIZ DE SEGUIMIENTO'!#REF!</f>
        <v>#REF!</v>
      </c>
      <c r="D19" s="240" t="e">
        <f>'ANEXO 1. MATRIZ DE SEGUIMIENTO'!#REF!</f>
        <v>#REF!</v>
      </c>
      <c r="E19" s="76">
        <v>100</v>
      </c>
      <c r="F19" s="1229"/>
      <c r="G19" s="1229"/>
      <c r="H19" s="1226"/>
      <c r="I19" s="1248" t="e">
        <f>'ANEXO 1. MATRIZ DE SEGUIMIENTO'!#REF!</f>
        <v>#REF!</v>
      </c>
      <c r="J19" s="1248" t="e">
        <f>'ANEXO 1. MATRIZ DE SEGUIMIENTO'!#REF!</f>
        <v>#REF!</v>
      </c>
      <c r="K19" s="1264" t="e">
        <f>J19/I19*100</f>
        <v>#REF!</v>
      </c>
      <c r="N19" s="105">
        <v>0</v>
      </c>
    </row>
    <row r="20" spans="1:14">
      <c r="A20" s="1269"/>
      <c r="B20" s="1263"/>
      <c r="C20" s="240" t="e">
        <f>'ANEXO 1. MATRIZ DE SEGUIMIENTO'!#REF!</f>
        <v>#REF!</v>
      </c>
      <c r="D20" s="240" t="e">
        <f>'ANEXO 1. MATRIZ DE SEGUIMIENTO'!#REF!</f>
        <v>#REF!</v>
      </c>
      <c r="E20" s="76">
        <v>100</v>
      </c>
      <c r="F20" s="1229"/>
      <c r="G20" s="1229"/>
      <c r="H20" s="1226"/>
      <c r="I20" s="1214"/>
      <c r="J20" s="1214"/>
      <c r="K20" s="1264"/>
      <c r="N20" s="105">
        <v>0</v>
      </c>
    </row>
    <row r="21" spans="1:14" ht="75">
      <c r="A21" s="1269"/>
      <c r="B21" s="142" t="str">
        <f>[2]Hoja1!F92</f>
        <v xml:space="preserve">3.6.5 Implementación y seguimiento  a las tasas de reducción de cargas contaminantes adoptadas por el Consejo Directivo </v>
      </c>
      <c r="C21" s="240" t="e">
        <f>'ANEXO 1. MATRIZ DE SEGUIMIENTO'!#REF!</f>
        <v>#REF!</v>
      </c>
      <c r="D21" s="240" t="e">
        <f>'ANEXO 1. MATRIZ DE SEGUIMIENTO'!#REF!</f>
        <v>#REF!</v>
      </c>
      <c r="E21" s="76">
        <v>100</v>
      </c>
      <c r="F21" s="1229"/>
      <c r="G21" s="1229"/>
      <c r="H21" s="1226"/>
      <c r="I21" s="88" t="e">
        <f>'ANEXO 1. MATRIZ DE SEGUIMIENTO'!#REF!</f>
        <v>#REF!</v>
      </c>
      <c r="J21" s="88" t="e">
        <f>'ANEXO 1. MATRIZ DE SEGUIMIENTO'!#REF!</f>
        <v>#REF!</v>
      </c>
      <c r="K21" s="143" t="e">
        <f>J21/I21*100</f>
        <v>#REF!</v>
      </c>
      <c r="N21" s="105">
        <v>0</v>
      </c>
    </row>
    <row r="22" spans="1:14" ht="75.75" thickBot="1">
      <c r="A22" s="1270"/>
      <c r="B22" s="176" t="str">
        <f>[2]Hoja1!F94</f>
        <v>3.6.7 Establecimiento y ejecución de estrategias  de Manejo Ambiental en el Arroyo El Salao, municipio de San Diego.</v>
      </c>
      <c r="C22" s="241" t="e">
        <f>'ANEXO 1. MATRIZ DE SEGUIMIENTO'!#REF!</f>
        <v>#REF!</v>
      </c>
      <c r="D22" s="241" t="e">
        <f>'ANEXO 1. MATRIZ DE SEGUIMIENTO'!#REF!</f>
        <v>#REF!</v>
      </c>
      <c r="E22" s="138" t="e">
        <f t="shared" si="2"/>
        <v>#REF!</v>
      </c>
      <c r="F22" s="1230"/>
      <c r="G22" s="1230"/>
      <c r="H22" s="1227"/>
      <c r="I22" s="114" t="e">
        <f>'ANEXO 1. MATRIZ DE SEGUIMIENTO'!#REF!</f>
        <v>#REF!</v>
      </c>
      <c r="J22" s="114" t="e">
        <f>'ANEXO 1. MATRIZ DE SEGUIMIENTO'!#REF!</f>
        <v>#REF!</v>
      </c>
      <c r="K22" s="177" t="e">
        <f>J22/I22*100</f>
        <v>#REF!</v>
      </c>
      <c r="N22" s="105">
        <v>0</v>
      </c>
    </row>
    <row r="23" spans="1:14" ht="15.75" thickBot="1">
      <c r="A23" s="1265" t="s">
        <v>336</v>
      </c>
      <c r="B23" s="1266"/>
      <c r="C23" s="178" t="e">
        <f>SUM(C5:C22)</f>
        <v>#REF!</v>
      </c>
      <c r="D23" s="179" t="e">
        <f>SUM(D5:D22)</f>
        <v>#REF!</v>
      </c>
      <c r="E23" s="180" t="e">
        <f>SUM(D23/C23*100)</f>
        <v>#REF!</v>
      </c>
      <c r="F23" s="180"/>
      <c r="G23" s="180"/>
      <c r="H23" s="180"/>
      <c r="I23" s="181" t="e">
        <f>SUM(I5:I22)</f>
        <v>#REF!</v>
      </c>
      <c r="J23" s="181" t="e">
        <f>SUM(J5:J22)</f>
        <v>#REF!</v>
      </c>
      <c r="K23" s="172" t="e">
        <f>SUM(J23/I23*100)</f>
        <v>#REF!</v>
      </c>
    </row>
  </sheetData>
  <mergeCells count="38">
    <mergeCell ref="F17:F22"/>
    <mergeCell ref="G17:G22"/>
    <mergeCell ref="H17:H22"/>
    <mergeCell ref="F7:F10"/>
    <mergeCell ref="G7:G10"/>
    <mergeCell ref="H7:H10"/>
    <mergeCell ref="F11:F15"/>
    <mergeCell ref="G11:G15"/>
    <mergeCell ref="H11:H15"/>
    <mergeCell ref="I19:I20"/>
    <mergeCell ref="J19:J20"/>
    <mergeCell ref="K19:K20"/>
    <mergeCell ref="A23:B23"/>
    <mergeCell ref="O4:P4"/>
    <mergeCell ref="O5:P5"/>
    <mergeCell ref="A17:A22"/>
    <mergeCell ref="B17:B18"/>
    <mergeCell ref="I17:I18"/>
    <mergeCell ref="J17:J18"/>
    <mergeCell ref="K17:K18"/>
    <mergeCell ref="B19:B20"/>
    <mergeCell ref="A7:A10"/>
    <mergeCell ref="A11:A15"/>
    <mergeCell ref="B12:B13"/>
    <mergeCell ref="I12:I13"/>
    <mergeCell ref="J12:J13"/>
    <mergeCell ref="K12:K13"/>
    <mergeCell ref="B14:B15"/>
    <mergeCell ref="I14:I15"/>
    <mergeCell ref="J14:J15"/>
    <mergeCell ref="K14:K15"/>
    <mergeCell ref="A1:K1"/>
    <mergeCell ref="A3:A4"/>
    <mergeCell ref="B3:B4"/>
    <mergeCell ref="C3:E3"/>
    <mergeCell ref="I3:K3"/>
    <mergeCell ref="F2:H2"/>
    <mergeCell ref="I2:K2"/>
  </mergeCells>
  <printOptions horizontalCentered="1"/>
  <pageMargins left="0.70866141732283472" right="0.70866141732283472" top="0.74803149606299213" bottom="0.74803149606299213" header="0.31496062992125984" footer="0.31496062992125984"/>
  <pageSetup scale="85" orientation="landscape" verticalDpi="0"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10" zoomScale="70" zoomScaleNormal="70" workbookViewId="0">
      <selection activeCell="H23" sqref="H23"/>
    </sheetView>
  </sheetViews>
  <sheetFormatPr baseColWidth="10" defaultRowHeight="15"/>
  <cols>
    <col min="1" max="1" width="21.140625" customWidth="1"/>
    <col min="2" max="2" width="25.42578125" customWidth="1"/>
    <col min="3" max="3" width="14.5703125" bestFit="1" customWidth="1"/>
    <col min="5" max="5" width="13.140625" customWidth="1"/>
    <col min="6" max="6" width="16.140625" customWidth="1"/>
    <col min="7" max="8" width="13.140625" customWidth="1"/>
    <col min="9" max="9" width="15.140625" customWidth="1"/>
    <col min="10" max="10" width="19.140625" bestFit="1" customWidth="1"/>
    <col min="11" max="11" width="13.140625" customWidth="1"/>
    <col min="15" max="15" width="11.42578125" style="104"/>
    <col min="16" max="16" width="12.5703125" customWidth="1"/>
  </cols>
  <sheetData>
    <row r="1" spans="1:16" ht="21">
      <c r="A1" s="1279" t="s">
        <v>220</v>
      </c>
      <c r="B1" s="1279"/>
      <c r="C1" s="1279"/>
      <c r="D1" s="1279"/>
      <c r="E1" s="1279"/>
      <c r="F1" s="1279"/>
      <c r="G1" s="1279"/>
      <c r="H1" s="1279"/>
      <c r="I1" s="1279"/>
      <c r="J1" s="1279"/>
      <c r="K1" s="1279"/>
      <c r="O1" s="77"/>
    </row>
    <row r="2" spans="1:16" ht="21.75" thickBot="1">
      <c r="A2" s="152"/>
      <c r="B2" s="152"/>
      <c r="C2" s="152"/>
      <c r="D2" s="152"/>
      <c r="E2" s="152"/>
      <c r="F2" s="1204" t="str">
        <f>'P3'!F2:H2</f>
        <v>POR PROYECTO</v>
      </c>
      <c r="G2" s="1204"/>
      <c r="H2" s="1204"/>
      <c r="I2" s="1245" t="str">
        <f>'P3'!I2:K2</f>
        <v>POR ACTIVIDAD</v>
      </c>
      <c r="J2" s="1245"/>
      <c r="K2" s="1245"/>
      <c r="O2" s="77"/>
    </row>
    <row r="3" spans="1:16">
      <c r="A3" s="1199" t="s">
        <v>327</v>
      </c>
      <c r="B3" s="1241" t="s">
        <v>21</v>
      </c>
      <c r="C3" s="1243" t="s">
        <v>328</v>
      </c>
      <c r="D3" s="1243"/>
      <c r="E3" s="1243"/>
      <c r="F3" s="1276" t="str">
        <f>I3</f>
        <v>EJECUCIÓN FINANCIERA 2010</v>
      </c>
      <c r="G3" s="1277"/>
      <c r="H3" s="1278"/>
      <c r="I3" s="1243" t="s">
        <v>329</v>
      </c>
      <c r="J3" s="1243"/>
      <c r="K3" s="1244"/>
      <c r="O3" s="77"/>
    </row>
    <row r="4" spans="1:16" ht="30.75" thickBot="1">
      <c r="A4" s="1200"/>
      <c r="B4" s="1280"/>
      <c r="C4" s="79" t="s">
        <v>330</v>
      </c>
      <c r="D4" s="79" t="s">
        <v>331</v>
      </c>
      <c r="E4" s="79" t="s">
        <v>332</v>
      </c>
      <c r="F4" s="259" t="str">
        <f>I4</f>
        <v xml:space="preserve">META PROGRAMADA </v>
      </c>
      <c r="G4" s="259" t="str">
        <f>J4</f>
        <v>META EJECUTADA</v>
      </c>
      <c r="H4" s="259" t="str">
        <f>K4</f>
        <v>PORCENTAJE EJECUCIÓN</v>
      </c>
      <c r="I4" s="80" t="s">
        <v>330</v>
      </c>
      <c r="J4" s="153" t="s">
        <v>331</v>
      </c>
      <c r="K4" s="81" t="s">
        <v>332</v>
      </c>
      <c r="O4" s="77"/>
    </row>
    <row r="5" spans="1:16" ht="60.75" thickBot="1">
      <c r="A5" s="1275" t="str">
        <f>[2]Hoja1!C96</f>
        <v>4.1 Promoción de procesos productivos competitivos y sostenibles</v>
      </c>
      <c r="B5" s="82" t="str">
        <f>[2]Hoja1!F96</f>
        <v>4.1.1 Diseño y Construcción de un proyecto piloto demostrativo de arquitectura bioclimática.</v>
      </c>
      <c r="C5" s="83" t="e">
        <f>'ANEXO 1. MATRIZ DE SEGUIMIENTO'!#REF!</f>
        <v>#REF!</v>
      </c>
      <c r="D5" s="83" t="e">
        <f>'ANEXO 1. MATRIZ DE SEGUIMIENTO'!#REF!</f>
        <v>#REF!</v>
      </c>
      <c r="E5" s="83">
        <v>100</v>
      </c>
      <c r="F5" s="1222" t="e">
        <f>'ANEXO 1. MATRIZ DE SEGUIMIENTO'!#REF!</f>
        <v>#REF!</v>
      </c>
      <c r="G5" s="1222" t="e">
        <f>'ANEXO 1. MATRIZ DE SEGUIMIENTO'!#REF!</f>
        <v>#REF!</v>
      </c>
      <c r="H5" s="1225" t="e">
        <f>G5/F5*100</f>
        <v>#REF!</v>
      </c>
      <c r="I5" s="84" t="e">
        <f>'ANEXO 1. MATRIZ DE SEGUIMIENTO'!#REF!</f>
        <v>#REF!</v>
      </c>
      <c r="J5" s="84" t="e">
        <f>'ANEXO 1. MATRIZ DE SEGUIMIENTO'!#REF!</f>
        <v>#REF!</v>
      </c>
      <c r="K5" s="123" t="e">
        <f>J5/I5*100</f>
        <v>#REF!</v>
      </c>
      <c r="O5" s="105">
        <v>0.15</v>
      </c>
      <c r="P5" s="161" t="s">
        <v>334</v>
      </c>
    </row>
    <row r="6" spans="1:16" ht="75.75" thickBot="1">
      <c r="A6" s="1273"/>
      <c r="B6" s="86" t="str">
        <f>[2]Hoja1!F97</f>
        <v>4.1.2 Interventoría para la construcción de un proyecto piloto demostrativo de arquitectura bioclimática.</v>
      </c>
      <c r="C6" s="87" t="e">
        <f>'ANEXO 1. MATRIZ DE SEGUIMIENTO'!#REF!</f>
        <v>#REF!</v>
      </c>
      <c r="D6" s="87" t="e">
        <f>'ANEXO 1. MATRIZ DE SEGUIMIENTO'!#REF!</f>
        <v>#REF!</v>
      </c>
      <c r="E6" s="87">
        <v>100</v>
      </c>
      <c r="F6" s="1223"/>
      <c r="G6" s="1223"/>
      <c r="H6" s="1226"/>
      <c r="I6" s="84" t="e">
        <f>'ANEXO 1. MATRIZ DE SEGUIMIENTO'!#REF!</f>
        <v>#REF!</v>
      </c>
      <c r="J6" s="84" t="e">
        <f>'ANEXO 1. MATRIZ DE SEGUIMIENTO'!#REF!</f>
        <v>#REF!</v>
      </c>
      <c r="K6" s="124" t="e">
        <f t="shared" ref="K6:K16" si="0">J6/I6*100</f>
        <v>#REF!</v>
      </c>
      <c r="O6" s="105">
        <v>0.15</v>
      </c>
    </row>
    <row r="7" spans="1:16" ht="60.75" thickBot="1">
      <c r="A7" s="1273"/>
      <c r="B7" s="86" t="str">
        <f>[2]Hoja1!F98</f>
        <v xml:space="preserve">4.1.3 Seguimiento y evaluación de resultados alcanzados con los convenios vigentes </v>
      </c>
      <c r="C7" s="87" t="e">
        <f>'ANEXO 1. MATRIZ DE SEGUIMIENTO'!#REF!</f>
        <v>#REF!</v>
      </c>
      <c r="D7" s="87" t="e">
        <f>'ANEXO 1. MATRIZ DE SEGUIMIENTO'!#REF!</f>
        <v>#REF!</v>
      </c>
      <c r="E7" s="87" t="e">
        <f t="shared" ref="E7:E16" si="1">D7/C7*100</f>
        <v>#REF!</v>
      </c>
      <c r="F7" s="1223"/>
      <c r="G7" s="1223"/>
      <c r="H7" s="1226"/>
      <c r="I7" s="84" t="e">
        <f>'ANEXO 1. MATRIZ DE SEGUIMIENTO'!#REF!</f>
        <v>#REF!</v>
      </c>
      <c r="J7" s="84" t="e">
        <f>'ANEXO 1. MATRIZ DE SEGUIMIENTO'!#REF!</f>
        <v>#REF!</v>
      </c>
      <c r="K7" s="124" t="e">
        <f t="shared" si="0"/>
        <v>#REF!</v>
      </c>
      <c r="O7" s="105">
        <v>20</v>
      </c>
    </row>
    <row r="8" spans="1:16" ht="45.75" thickBot="1">
      <c r="A8" s="1273"/>
      <c r="B8" s="86" t="str">
        <f>[2]Hoja1!F99</f>
        <v>4.1.4 Establecimiento del programa de protección de la capa de ozono.</v>
      </c>
      <c r="C8" s="87" t="e">
        <f>'ANEXO 1. MATRIZ DE SEGUIMIENTO'!#REF!</f>
        <v>#REF!</v>
      </c>
      <c r="D8" s="87" t="e">
        <f>'ANEXO 1. MATRIZ DE SEGUIMIENTO'!#REF!</f>
        <v>#REF!</v>
      </c>
      <c r="E8" s="87" t="e">
        <f t="shared" si="1"/>
        <v>#REF!</v>
      </c>
      <c r="F8" s="1223"/>
      <c r="G8" s="1223"/>
      <c r="H8" s="1226"/>
      <c r="I8" s="84" t="e">
        <f>'ANEXO 1. MATRIZ DE SEGUIMIENTO'!#REF!</f>
        <v>#REF!</v>
      </c>
      <c r="J8" s="84" t="e">
        <f>'ANEXO 1. MATRIZ DE SEGUIMIENTO'!#REF!</f>
        <v>#REF!</v>
      </c>
      <c r="K8" s="124" t="e">
        <f t="shared" si="0"/>
        <v>#REF!</v>
      </c>
      <c r="O8" s="105">
        <v>0</v>
      </c>
    </row>
    <row r="9" spans="1:16" ht="45.75" thickBot="1">
      <c r="A9" s="1273"/>
      <c r="B9" s="86" t="str">
        <f>[2]Hoja1!F100</f>
        <v>4.1.5 Establecimiento del programa de Cambio Climático.</v>
      </c>
      <c r="C9" s="87" t="e">
        <f>'ANEXO 1. MATRIZ DE SEGUIMIENTO'!#REF!</f>
        <v>#REF!</v>
      </c>
      <c r="D9" s="87" t="e">
        <f>'ANEXO 1. MATRIZ DE SEGUIMIENTO'!#REF!</f>
        <v>#REF!</v>
      </c>
      <c r="E9" s="87" t="e">
        <f t="shared" si="1"/>
        <v>#REF!</v>
      </c>
      <c r="F9" s="1223"/>
      <c r="G9" s="1223"/>
      <c r="H9" s="1226"/>
      <c r="I9" s="84" t="e">
        <f>'ANEXO 1. MATRIZ DE SEGUIMIENTO'!#REF!</f>
        <v>#REF!</v>
      </c>
      <c r="J9" s="84" t="e">
        <f>'ANEXO 1. MATRIZ DE SEGUIMIENTO'!#REF!</f>
        <v>#REF!</v>
      </c>
      <c r="K9" s="124" t="e">
        <f t="shared" si="0"/>
        <v>#REF!</v>
      </c>
      <c r="O9" s="105">
        <v>0</v>
      </c>
    </row>
    <row r="10" spans="1:16" ht="60.75" thickBot="1">
      <c r="A10" s="1273"/>
      <c r="B10" s="86" t="str">
        <f>[2]Hoja1!F101</f>
        <v>4.1.6 Establecimiento del programa de Medidas Sanitarias y Fitosanitarias (MSF).</v>
      </c>
      <c r="C10" s="87" t="e">
        <f>'ANEXO 1. MATRIZ DE SEGUIMIENTO'!#REF!</f>
        <v>#REF!</v>
      </c>
      <c r="D10" s="87" t="e">
        <f>'ANEXO 1. MATRIZ DE SEGUIMIENTO'!#REF!</f>
        <v>#REF!</v>
      </c>
      <c r="E10" s="87" t="e">
        <f t="shared" si="1"/>
        <v>#REF!</v>
      </c>
      <c r="F10" s="1223"/>
      <c r="G10" s="1223"/>
      <c r="H10" s="1226"/>
      <c r="I10" s="84" t="e">
        <f>'ANEXO 1. MATRIZ DE SEGUIMIENTO'!#REF!</f>
        <v>#REF!</v>
      </c>
      <c r="J10" s="84" t="e">
        <f>'ANEXO 1. MATRIZ DE SEGUIMIENTO'!#REF!</f>
        <v>#REF!</v>
      </c>
      <c r="K10" s="124" t="e">
        <f t="shared" si="0"/>
        <v>#REF!</v>
      </c>
      <c r="O10" s="105">
        <v>0</v>
      </c>
    </row>
    <row r="11" spans="1:16" ht="60">
      <c r="A11" s="1273"/>
      <c r="B11" s="86" t="str">
        <f>[2]Hoja1!F102</f>
        <v>4.1.7 Promoción de proyectos de mercados verdes en el Departamento del Cesar.</v>
      </c>
      <c r="C11" s="87" t="e">
        <f>'ANEXO 1. MATRIZ DE SEGUIMIENTO'!#REF!</f>
        <v>#REF!</v>
      </c>
      <c r="D11" s="87" t="e">
        <f>'ANEXO 1. MATRIZ DE SEGUIMIENTO'!#REF!</f>
        <v>#REF!</v>
      </c>
      <c r="E11" s="87" t="e">
        <f t="shared" si="1"/>
        <v>#REF!</v>
      </c>
      <c r="F11" s="1223"/>
      <c r="G11" s="1223"/>
      <c r="H11" s="1226"/>
      <c r="I11" s="84" t="e">
        <f>'ANEXO 1. MATRIZ DE SEGUIMIENTO'!#REF!</f>
        <v>#REF!</v>
      </c>
      <c r="J11" s="84" t="e">
        <f>'ANEXO 1. MATRIZ DE SEGUIMIENTO'!#REF!</f>
        <v>#REF!</v>
      </c>
      <c r="K11" s="124" t="e">
        <f t="shared" si="0"/>
        <v>#REF!</v>
      </c>
      <c r="O11" s="105">
        <v>0</v>
      </c>
    </row>
    <row r="12" spans="1:16" ht="135">
      <c r="A12" s="1273"/>
      <c r="B12" s="86" t="str">
        <f>[2]Hoja1!F103</f>
        <v>4.1.8 Apoyo al aprovechamiento de residuos solidos bajo los programas de mercados verdes y aplicación de Tecnologías limpias en el municipio de Valledupar y en el resto del Departamento del Cesar</v>
      </c>
      <c r="C12" s="87" t="e">
        <f>'ANEXO 1. MATRIZ DE SEGUIMIENTO'!#REF!</f>
        <v>#REF!</v>
      </c>
      <c r="D12" s="87" t="e">
        <f>'ANEXO 1. MATRIZ DE SEGUIMIENTO'!#REF!</f>
        <v>#REF!</v>
      </c>
      <c r="E12" s="87" t="e">
        <f t="shared" si="1"/>
        <v>#REF!</v>
      </c>
      <c r="F12" s="1223"/>
      <c r="G12" s="1223"/>
      <c r="H12" s="1226"/>
      <c r="I12" s="154" t="e">
        <f>'ANEXO 1. MATRIZ DE SEGUIMIENTO'!#REF!</f>
        <v>#REF!</v>
      </c>
      <c r="J12" s="154" t="e">
        <f>'ANEXO 1. MATRIZ DE SEGUIMIENTO'!#REF!</f>
        <v>#REF!</v>
      </c>
      <c r="K12" s="124" t="e">
        <f t="shared" si="0"/>
        <v>#REF!</v>
      </c>
      <c r="O12" s="105">
        <v>0</v>
      </c>
    </row>
    <row r="13" spans="1:16" ht="90.75" thickBot="1">
      <c r="A13" s="1274"/>
      <c r="B13" s="112" t="str">
        <f>[2]Hoja1!F104</f>
        <v xml:space="preserve">4.1.10 Control de Deforestación y captura de CO2 en diferentes áreas bajo la figura de conservación a través de servicios ambientales.   </v>
      </c>
      <c r="C13" s="113" t="e">
        <f>'ANEXO 1. MATRIZ DE SEGUIMIENTO'!#REF!</f>
        <v>#REF!</v>
      </c>
      <c r="D13" s="113" t="e">
        <f>'ANEXO 1. MATRIZ DE SEGUIMIENTO'!#REF!</f>
        <v>#REF!</v>
      </c>
      <c r="E13" s="113" t="e">
        <f t="shared" si="1"/>
        <v>#REF!</v>
      </c>
      <c r="F13" s="1224"/>
      <c r="G13" s="1224"/>
      <c r="H13" s="1227"/>
      <c r="I13" s="155" t="e">
        <f>'ANEXO 1. MATRIZ DE SEGUIMIENTO'!#REF!</f>
        <v>#REF!</v>
      </c>
      <c r="J13" s="219" t="e">
        <f>'ANEXO 1. MATRIZ DE SEGUIMIENTO'!#REF!</f>
        <v>#REF!</v>
      </c>
      <c r="K13" s="125" t="e">
        <f t="shared" si="0"/>
        <v>#REF!</v>
      </c>
      <c r="O13" s="105">
        <v>0</v>
      </c>
    </row>
    <row r="14" spans="1:16" ht="84" customHeight="1">
      <c r="A14" s="1272" t="str">
        <f>[2]Hoja1!C106</f>
        <v xml:space="preserve">4.2 Formulación e implementación de una  POLITICA pública REGIONAL  de PML.  </v>
      </c>
      <c r="B14" s="162" t="str">
        <f>[2]Hoja1!F106</f>
        <v xml:space="preserve">4.2.1 Diseño y adopción de la  política pública  local  de PML.   (objetivo, estrategias, acciones y metas)  </v>
      </c>
      <c r="C14" s="127" t="e">
        <f>'ANEXO 1. MATRIZ DE SEGUIMIENTO'!#REF!</f>
        <v>#REF!</v>
      </c>
      <c r="D14" s="127" t="e">
        <f>'ANEXO 1. MATRIZ DE SEGUIMIENTO'!#REF!</f>
        <v>#REF!</v>
      </c>
      <c r="E14" s="127" t="e">
        <f t="shared" si="1"/>
        <v>#REF!</v>
      </c>
      <c r="F14" s="1222" t="e">
        <f>'ANEXO 1. MATRIZ DE SEGUIMIENTO'!#REF!</f>
        <v>#REF!</v>
      </c>
      <c r="G14" s="1222" t="e">
        <f>'ANEXO 1. MATRIZ DE SEGUIMIENTO'!#REF!</f>
        <v>#REF!</v>
      </c>
      <c r="H14" s="1231" t="e">
        <f>G14/F14*100</f>
        <v>#REF!</v>
      </c>
      <c r="I14" s="163" t="e">
        <f>'ANEXO 1. MATRIZ DE SEGUIMIENTO'!#REF!</f>
        <v>#REF!</v>
      </c>
      <c r="J14" s="163" t="e">
        <f>'ANEXO 1. MATRIZ DE SEGUIMIENTO'!#REF!</f>
        <v>#REF!</v>
      </c>
      <c r="K14" s="141" t="e">
        <f t="shared" si="0"/>
        <v>#REF!</v>
      </c>
      <c r="O14" s="105">
        <v>0</v>
      </c>
    </row>
    <row r="15" spans="1:16" ht="139.5" customHeight="1">
      <c r="A15" s="1273"/>
      <c r="B15" s="142" t="str">
        <f>[2]Hoja1!F107</f>
        <v xml:space="preserve">4.2.2 Conformación de un equipo multidisciplinario  de trabajo para el desarrollo de la politica o  Programa de PML según  sectores  productivos y estratégicos vinculados.  </v>
      </c>
      <c r="C15" s="127" t="e">
        <f>'ANEXO 1. MATRIZ DE SEGUIMIENTO'!#REF!</f>
        <v>#REF!</v>
      </c>
      <c r="D15" s="127" t="e">
        <f>'ANEXO 1. MATRIZ DE SEGUIMIENTO'!#REF!</f>
        <v>#REF!</v>
      </c>
      <c r="E15" s="87" t="e">
        <f t="shared" si="1"/>
        <v>#REF!</v>
      </c>
      <c r="F15" s="1223"/>
      <c r="G15" s="1223"/>
      <c r="H15" s="1223"/>
      <c r="I15" s="154" t="e">
        <f>'ANEXO 1. MATRIZ DE SEGUIMIENTO'!#REF!</f>
        <v>#REF!</v>
      </c>
      <c r="J15" s="154" t="e">
        <f>'ANEXO 1. MATRIZ DE SEGUIMIENTO'!#REF!</f>
        <v>#REF!</v>
      </c>
      <c r="K15" s="124" t="e">
        <f t="shared" si="0"/>
        <v>#REF!</v>
      </c>
      <c r="O15" s="105">
        <v>0</v>
      </c>
    </row>
    <row r="16" spans="1:16" ht="75">
      <c r="A16" s="1273"/>
      <c r="B16" s="142" t="str">
        <f>[2]Hoja1!F108</f>
        <v xml:space="preserve">4.2.3 Formulación e implementación del Proyecto de gestión integral de RESPEL como estrategia de PML    </v>
      </c>
      <c r="C16" s="127" t="e">
        <f>'ANEXO 1. MATRIZ DE SEGUIMIENTO'!#REF!</f>
        <v>#REF!</v>
      </c>
      <c r="D16" s="127" t="e">
        <f>'ANEXO 1. MATRIZ DE SEGUIMIENTO'!#REF!</f>
        <v>#REF!</v>
      </c>
      <c r="E16" s="87" t="e">
        <f t="shared" si="1"/>
        <v>#REF!</v>
      </c>
      <c r="F16" s="1281"/>
      <c r="G16" s="1281"/>
      <c r="H16" s="1281"/>
      <c r="I16" s="154" t="e">
        <f>'ANEXO 1. MATRIZ DE SEGUIMIENTO'!#REF!</f>
        <v>#REF!</v>
      </c>
      <c r="J16" s="154" t="e">
        <f>'ANEXO 1. MATRIZ DE SEGUIMIENTO'!#REF!</f>
        <v>#REF!</v>
      </c>
      <c r="K16" s="124" t="e">
        <f t="shared" si="0"/>
        <v>#REF!</v>
      </c>
      <c r="O16" s="105">
        <v>0</v>
      </c>
    </row>
    <row r="17" spans="1:11">
      <c r="A17" s="1282" t="s">
        <v>336</v>
      </c>
      <c r="B17" s="1283"/>
      <c r="C17" s="158" t="e">
        <f>SUM(C5:C16)</f>
        <v>#REF!</v>
      </c>
      <c r="D17" s="158" t="e">
        <f>SUM(D5:D16)</f>
        <v>#REF!</v>
      </c>
      <c r="E17" s="159" t="e">
        <f>SUM(D17/C17*100)</f>
        <v>#REF!</v>
      </c>
      <c r="F17" s="159"/>
      <c r="G17" s="159"/>
      <c r="H17" s="159"/>
      <c r="I17" s="158" t="e">
        <f>SUM(I5:I16)</f>
        <v>#REF!</v>
      </c>
      <c r="J17" s="158" t="e">
        <f>SUM(J5:J16)</f>
        <v>#REF!</v>
      </c>
      <c r="K17" s="159" t="e">
        <f>SUM(J17/I17*100)</f>
        <v>#REF!</v>
      </c>
    </row>
  </sheetData>
  <mergeCells count="17">
    <mergeCell ref="F14:F16"/>
    <mergeCell ref="G14:G16"/>
    <mergeCell ref="H14:H16"/>
    <mergeCell ref="A14:A16"/>
    <mergeCell ref="A17:B17"/>
    <mergeCell ref="A1:K1"/>
    <mergeCell ref="A3:A4"/>
    <mergeCell ref="B3:B4"/>
    <mergeCell ref="C3:E3"/>
    <mergeCell ref="I3:K3"/>
    <mergeCell ref="A5:A13"/>
    <mergeCell ref="F2:H2"/>
    <mergeCell ref="I2:K2"/>
    <mergeCell ref="F3:H3"/>
    <mergeCell ref="F5:F13"/>
    <mergeCell ref="G5:G13"/>
    <mergeCell ref="H5:H13"/>
  </mergeCells>
  <printOptions horizontalCentered="1"/>
  <pageMargins left="0.70866141732283472" right="0.70866141732283472" top="0.74803149606299213" bottom="0.74803149606299213" header="0.31496062992125984" footer="0.31496062992125984"/>
  <pageSetup scale="85" orientation="landscape" verticalDpi="0" r:id="rId1"/>
  <ignoredErrors>
    <ignoredError sqref="E17"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topLeftCell="A4" zoomScale="70" zoomScaleNormal="70" workbookViewId="0">
      <pane ySplit="630" topLeftCell="A22" activePane="bottomLeft"/>
      <selection activeCell="F4" sqref="F1:H1048576"/>
      <selection pane="bottomLeft" activeCell="G41" sqref="G41"/>
    </sheetView>
  </sheetViews>
  <sheetFormatPr baseColWidth="10" defaultRowHeight="15"/>
  <cols>
    <col min="1" max="1" width="33.42578125" customWidth="1"/>
    <col min="2" max="2" width="30.28515625" customWidth="1"/>
    <col min="3" max="3" width="17.42578125" customWidth="1"/>
    <col min="4" max="4" width="13" customWidth="1"/>
    <col min="5" max="8" width="17" customWidth="1"/>
    <col min="9" max="9" width="21.5703125" customWidth="1"/>
    <col min="10" max="10" width="23.42578125" customWidth="1"/>
    <col min="11" max="11" width="17.42578125" customWidth="1"/>
  </cols>
  <sheetData>
    <row r="1" spans="1:15" ht="38.25" customHeight="1">
      <c r="A1" s="1284" t="s">
        <v>338</v>
      </c>
      <c r="B1" s="1284"/>
      <c r="C1" s="1284"/>
      <c r="D1" s="1284"/>
      <c r="E1" s="1284"/>
      <c r="F1" s="1284"/>
      <c r="G1" s="1284"/>
      <c r="H1" s="1284"/>
      <c r="I1" s="1284"/>
      <c r="J1" s="1284"/>
      <c r="K1" s="1284"/>
    </row>
    <row r="2" spans="1:15" ht="21">
      <c r="A2" s="152"/>
      <c r="B2" s="152"/>
      <c r="C2" s="152"/>
      <c r="D2" s="152"/>
      <c r="E2" s="152"/>
      <c r="F2" s="1292" t="str">
        <f>'P4'!F2:H2</f>
        <v>POR PROYECTO</v>
      </c>
      <c r="G2" s="1292"/>
      <c r="H2" s="1292"/>
      <c r="I2" s="1293" t="str">
        <f>'P4'!I2:K2</f>
        <v>POR ACTIVIDAD</v>
      </c>
      <c r="J2" s="1293"/>
      <c r="K2" s="1293"/>
    </row>
    <row r="3" spans="1:15">
      <c r="A3" s="1285" t="s">
        <v>327</v>
      </c>
      <c r="B3" s="1287" t="s">
        <v>21</v>
      </c>
      <c r="C3" s="1288" t="s">
        <v>328</v>
      </c>
      <c r="D3" s="1288"/>
      <c r="E3" s="1288"/>
      <c r="F3" s="1289" t="str">
        <f>I3</f>
        <v>EJECUCIÓN FINANCIERA 2010</v>
      </c>
      <c r="G3" s="1290"/>
      <c r="H3" s="1291"/>
      <c r="I3" s="1288" t="s">
        <v>329</v>
      </c>
      <c r="J3" s="1288"/>
      <c r="K3" s="1288"/>
    </row>
    <row r="4" spans="1:15" ht="30.75" thickBot="1">
      <c r="A4" s="1286"/>
      <c r="B4" s="1280"/>
      <c r="C4" s="79" t="s">
        <v>330</v>
      </c>
      <c r="D4" s="79" t="s">
        <v>331</v>
      </c>
      <c r="E4" s="79" t="s">
        <v>332</v>
      </c>
      <c r="F4" s="259" t="str">
        <f>I4</f>
        <v xml:space="preserve">META PROGRAMADA </v>
      </c>
      <c r="G4" s="259" t="str">
        <f>J4</f>
        <v>META EJECUTADA</v>
      </c>
      <c r="H4" s="259" t="str">
        <f>K4</f>
        <v>PORCENTAJE EJECUCIÓN</v>
      </c>
      <c r="I4" s="80" t="s">
        <v>330</v>
      </c>
      <c r="J4" s="153" t="s">
        <v>331</v>
      </c>
      <c r="K4" s="153" t="s">
        <v>332</v>
      </c>
    </row>
    <row r="5" spans="1:15" ht="60">
      <c r="A5" s="1294" t="str">
        <f>[2]Hoja1!C111</f>
        <v>5.1 Control de la contaminación por emisiones atmosfericas en el Departamento del Cesar.</v>
      </c>
      <c r="B5" s="198" t="str">
        <f>[2]Hoja1!F113</f>
        <v>5.1.1.3 Adquisición de vehículo y estación móvil para el control de emisiones de gases de automotores.</v>
      </c>
      <c r="C5" s="87" t="e">
        <f>'ANEXO 1. MATRIZ DE SEGUIMIENTO'!#REF!</f>
        <v>#REF!</v>
      </c>
      <c r="D5" s="87" t="e">
        <f>'ANEXO 1. MATRIZ DE SEGUIMIENTO'!#REF!</f>
        <v>#REF!</v>
      </c>
      <c r="E5" s="87">
        <v>100</v>
      </c>
      <c r="F5" s="1254" t="e">
        <f>'ANEXO 1. MATRIZ DE SEGUIMIENTO'!#REF!</f>
        <v>#REF!</v>
      </c>
      <c r="G5" s="1254" t="e">
        <f>'ANEXO 1. MATRIZ DE SEGUIMIENTO'!#REF!</f>
        <v>#REF!</v>
      </c>
      <c r="H5" s="1255" t="e">
        <f>G5/F5*100</f>
        <v>#REF!</v>
      </c>
      <c r="I5" s="88" t="e">
        <f>'ANEXO 1. MATRIZ DE SEGUIMIENTO'!#REF!</f>
        <v>#REF!</v>
      </c>
      <c r="J5" s="88" t="e">
        <f>'ANEXO 1. MATRIZ DE SEGUIMIENTO'!#REF!</f>
        <v>#REF!</v>
      </c>
      <c r="K5" s="124" t="e">
        <f>J5/I5*100</f>
        <v>#REF!</v>
      </c>
      <c r="O5" s="105">
        <v>0</v>
      </c>
    </row>
    <row r="6" spans="1:15" ht="60">
      <c r="A6" s="1295"/>
      <c r="B6" s="86" t="str">
        <f>[2]Hoja1!F118</f>
        <v>5.1.4 Ampliación y operación de la red de monitoreo del aire en la zona minera del Departamento del Cesar.</v>
      </c>
      <c r="C6" s="87" t="e">
        <f>'ANEXO 1. MATRIZ DE SEGUIMIENTO'!#REF!</f>
        <v>#REF!</v>
      </c>
      <c r="D6" s="87" t="e">
        <f>'ANEXO 1. MATRIZ DE SEGUIMIENTO'!#REF!</f>
        <v>#REF!</v>
      </c>
      <c r="E6" s="87" t="e">
        <f>D6/C6*100</f>
        <v>#REF!</v>
      </c>
      <c r="F6" s="1223"/>
      <c r="G6" s="1223"/>
      <c r="H6" s="1226"/>
      <c r="I6" s="154" t="e">
        <f>'ANEXO 1. MATRIZ DE SEGUIMIENTO'!#REF!</f>
        <v>#REF!</v>
      </c>
      <c r="J6" s="154" t="e">
        <f>'ANEXO 1. MATRIZ DE SEGUIMIENTO'!#REF!</f>
        <v>#REF!</v>
      </c>
      <c r="K6" s="187" t="e">
        <f>J6/I6*100</f>
        <v>#REF!</v>
      </c>
      <c r="O6" s="105">
        <v>1</v>
      </c>
    </row>
    <row r="7" spans="1:15" ht="45.75" thickBot="1">
      <c r="A7" s="1296"/>
      <c r="B7" s="112" t="str">
        <f>[2]Hoja1!F119</f>
        <v>5.1.5 Realización estudio epidemiológico en la zona carbonífera del Cesar.</v>
      </c>
      <c r="C7" s="127" t="e">
        <f>'ANEXO 1. MATRIZ DE SEGUIMIENTO'!#REF!</f>
        <v>#REF!</v>
      </c>
      <c r="D7" s="127" t="e">
        <f>'ANEXO 1. MATRIZ DE SEGUIMIENTO'!#REF!</f>
        <v>#REF!</v>
      </c>
      <c r="E7" s="188" t="e">
        <f>D7/C7*100</f>
        <v>#REF!</v>
      </c>
      <c r="F7" s="1224"/>
      <c r="G7" s="1224"/>
      <c r="H7" s="1227"/>
      <c r="I7" s="155" t="e">
        <f>'ANEXO 1. MATRIZ DE SEGUIMIENTO'!#REF!</f>
        <v>#REF!</v>
      </c>
      <c r="J7" s="219" t="e">
        <f>'ANEXO 1. MATRIZ DE SEGUIMIENTO'!#REF!</f>
        <v>#REF!</v>
      </c>
      <c r="K7" s="125" t="e">
        <f>J7/I7*100</f>
        <v>#REF!</v>
      </c>
      <c r="O7" s="105">
        <v>0.1</v>
      </c>
    </row>
    <row r="8" spans="1:15">
      <c r="A8" s="1275" t="str">
        <f>[2]Hoja1!C121</f>
        <v>5.2. Registro, control ambiental y monitoreo de la calidad del aire en la zona minera del carbón del Departamento del Cesar.</v>
      </c>
      <c r="B8" s="1302" t="str">
        <f>[2]Hoja1!F121</f>
        <v>5.2.1 Acciones de control, monitoreo y manejo ambiental en la zona minera según acuerdos de la Jagua. Operación Red de Monitoreo de la Calidad del Aire en la Zona Carbonífera del Cesar.</v>
      </c>
      <c r="C8" s="221" t="e">
        <f>'ANEXO 1. MATRIZ DE SEGUIMIENTO'!#REF!</f>
        <v>#REF!</v>
      </c>
      <c r="D8" s="221" t="e">
        <f>'ANEXO 1. MATRIZ DE SEGUIMIENTO'!#REF!</f>
        <v>#REF!</v>
      </c>
      <c r="E8" s="145" t="e">
        <f>D8/C8*100</f>
        <v>#REF!</v>
      </c>
      <c r="F8" s="1331" t="e">
        <f>'ANEXO 1. MATRIZ DE SEGUIMIENTO'!#REF!</f>
        <v>#REF!</v>
      </c>
      <c r="G8" s="1331" t="e">
        <f>'ANEXO 1. MATRIZ DE SEGUIMIENTO'!#REF!</f>
        <v>#REF!</v>
      </c>
      <c r="H8" s="1334" t="e">
        <f>G8/F8*100</f>
        <v>#REF!</v>
      </c>
      <c r="I8" s="1304" t="e">
        <f>'ANEXO 1. MATRIZ DE SEGUIMIENTO'!#REF!</f>
        <v>#REF!</v>
      </c>
      <c r="J8" s="1304" t="e">
        <f>'ANEXO 1. MATRIZ DE SEGUIMIENTO'!#REF!</f>
        <v>#REF!</v>
      </c>
      <c r="K8" s="1306" t="e">
        <f>J8/I8*100</f>
        <v>#REF!</v>
      </c>
      <c r="O8" s="105">
        <v>0</v>
      </c>
    </row>
    <row r="9" spans="1:15">
      <c r="A9" s="1273"/>
      <c r="B9" s="1212"/>
      <c r="C9" s="242" t="e">
        <f>'ANEXO 1. MATRIZ DE SEGUIMIENTO'!#REF!</f>
        <v>#REF!</v>
      </c>
      <c r="D9" s="242" t="e">
        <f>'ANEXO 1. MATRIZ DE SEGUIMIENTO'!#REF!</f>
        <v>#REF!</v>
      </c>
      <c r="E9" s="146" t="e">
        <f>D9/C9*100</f>
        <v>#REF!</v>
      </c>
      <c r="F9" s="1332"/>
      <c r="G9" s="1332"/>
      <c r="H9" s="1335"/>
      <c r="I9" s="1305"/>
      <c r="J9" s="1305"/>
      <c r="K9" s="1307"/>
      <c r="O9" s="105">
        <v>0</v>
      </c>
    </row>
    <row r="10" spans="1:15" ht="15.75" thickBot="1">
      <c r="A10" s="1301"/>
      <c r="B10" s="1303"/>
      <c r="C10" s="135" t="e">
        <f>'ANEXO 1. MATRIZ DE SEGUIMIENTO'!#REF!</f>
        <v>#REF!</v>
      </c>
      <c r="D10" s="135" t="e">
        <f>'ANEXO 1. MATRIZ DE SEGUIMIENTO'!#REF!</f>
        <v>#REF!</v>
      </c>
      <c r="E10" s="222" t="e">
        <f>D10/C10*100</f>
        <v>#REF!</v>
      </c>
      <c r="F10" s="1333"/>
      <c r="G10" s="1333"/>
      <c r="H10" s="1336"/>
      <c r="I10" s="1305"/>
      <c r="J10" s="1305"/>
      <c r="K10" s="1307"/>
      <c r="O10" s="105">
        <v>0</v>
      </c>
    </row>
    <row r="11" spans="1:15" ht="30">
      <c r="A11" s="1275" t="str">
        <f>[2]Hoja1!C125</f>
        <v>5.3. Control de la contaminación por vertimientos hacia los cuerpos de agua del Departamento del Cesar.</v>
      </c>
      <c r="B11" s="197" t="str">
        <f>[2]Hoja1!F125</f>
        <v xml:space="preserve">5.3.1 Control y seguimiento a los PSMV aprobados  </v>
      </c>
      <c r="C11" s="137" t="e">
        <f>'ANEXO 1. MATRIZ DE SEGUIMIENTO'!#REF!</f>
        <v>#REF!</v>
      </c>
      <c r="D11" s="137" t="e">
        <f>'ANEXO 1. MATRIZ DE SEGUIMIENTO'!#REF!</f>
        <v>#REF!</v>
      </c>
      <c r="E11" s="83">
        <v>100</v>
      </c>
      <c r="F11" s="1222" t="e">
        <f>'ANEXO 1. MATRIZ DE SEGUIMIENTO'!#REF!</f>
        <v>#REF!</v>
      </c>
      <c r="G11" s="1222" t="e">
        <f>'ANEXO 1. MATRIZ DE SEGUIMIENTO'!#REF!</f>
        <v>#REF!</v>
      </c>
      <c r="H11" s="1225" t="e">
        <f>G11/F11*100</f>
        <v>#REF!</v>
      </c>
      <c r="I11" s="156" t="e">
        <f>'ANEXO 1. MATRIZ DE SEGUIMIENTO'!#REF!</f>
        <v>#REF!</v>
      </c>
      <c r="J11" s="156" t="e">
        <f>'ANEXO 1. MATRIZ DE SEGUIMIENTO'!#REF!</f>
        <v>#REF!</v>
      </c>
      <c r="K11" s="189" t="e">
        <f>J11/I11*100</f>
        <v>#REF!</v>
      </c>
      <c r="O11" s="105">
        <v>30</v>
      </c>
    </row>
    <row r="12" spans="1:15">
      <c r="A12" s="1273"/>
      <c r="B12" s="1212" t="str">
        <f>[2]Hoja1!F126</f>
        <v xml:space="preserve">5.3.2 Formulación,  diseño e implementaión de una  red de monitoreo  de aguas residuales domésticas  e  industirales </v>
      </c>
      <c r="C12" s="87" t="e">
        <f>'ANEXO 1. MATRIZ DE SEGUIMIENTO'!#REF!</f>
        <v>#REF!</v>
      </c>
      <c r="D12" s="87" t="e">
        <f>'ANEXO 1. MATRIZ DE SEGUIMIENTO'!#REF!</f>
        <v>#REF!</v>
      </c>
      <c r="E12" s="87" t="e">
        <f>D12/C12*100</f>
        <v>#REF!</v>
      </c>
      <c r="F12" s="1223"/>
      <c r="G12" s="1223"/>
      <c r="H12" s="1226"/>
      <c r="I12" s="1214" t="e">
        <f>'ANEXO 1. MATRIZ DE SEGUIMIENTO'!#REF!</f>
        <v>#REF!</v>
      </c>
      <c r="J12" s="1214" t="e">
        <f>'ANEXO 1. MATRIZ DE SEGUIMIENTO'!#REF!</f>
        <v>#REF!</v>
      </c>
      <c r="K12" s="1299" t="e">
        <f>J12/I12*100</f>
        <v>#REF!</v>
      </c>
      <c r="O12" s="105">
        <v>0</v>
      </c>
    </row>
    <row r="13" spans="1:15" ht="62.25" customHeight="1">
      <c r="A13" s="1273"/>
      <c r="B13" s="1212"/>
      <c r="C13" s="87" t="e">
        <f>'ANEXO 1. MATRIZ DE SEGUIMIENTO'!#REF!</f>
        <v>#REF!</v>
      </c>
      <c r="D13" s="87" t="e">
        <f>'ANEXO 1. MATRIZ DE SEGUIMIENTO'!#REF!</f>
        <v>#REF!</v>
      </c>
      <c r="E13" s="87">
        <v>0</v>
      </c>
      <c r="F13" s="1223"/>
      <c r="G13" s="1223"/>
      <c r="H13" s="1226"/>
      <c r="I13" s="1214"/>
      <c r="J13" s="1214"/>
      <c r="K13" s="1299"/>
      <c r="O13" s="105"/>
    </row>
    <row r="14" spans="1:15" ht="60">
      <c r="A14" s="1273"/>
      <c r="B14" s="220" t="str">
        <f>[2]Hoja1!F128</f>
        <v>5.3.3 Caracterización e Impacto Ambiental por vertimientos en la cuenca media y baja del Río Cesar.</v>
      </c>
      <c r="C14" s="87" t="e">
        <f>'ANEXO 1. MATRIZ DE SEGUIMIENTO'!#REF!</f>
        <v>#REF!</v>
      </c>
      <c r="D14" s="87" t="e">
        <f>'ANEXO 1. MATRIZ DE SEGUIMIENTO'!#REF!</f>
        <v>#REF!</v>
      </c>
      <c r="E14" s="87" t="e">
        <f>D14/C14*100</f>
        <v>#REF!</v>
      </c>
      <c r="F14" s="1223"/>
      <c r="G14" s="1223"/>
      <c r="H14" s="1226"/>
      <c r="I14" s="154" t="e">
        <f>'ANEXO 1. MATRIZ DE SEGUIMIENTO'!#REF!</f>
        <v>#REF!</v>
      </c>
      <c r="J14" s="154" t="e">
        <f>'ANEXO 1. MATRIZ DE SEGUIMIENTO'!#REF!</f>
        <v>#REF!</v>
      </c>
      <c r="K14" s="223" t="e">
        <f>J14/I14*100</f>
        <v>#REF!</v>
      </c>
      <c r="O14" s="105">
        <v>0</v>
      </c>
    </row>
    <row r="15" spans="1:15">
      <c r="A15" s="1273"/>
      <c r="B15" s="1297" t="str">
        <f>[2]Hoja1!F129</f>
        <v>5.3.4 Implementación y operación del laboratorio de aguas</v>
      </c>
      <c r="C15" s="87" t="e">
        <f>'ANEXO 1. MATRIZ DE SEGUIMIENTO'!#REF!</f>
        <v>#REF!</v>
      </c>
      <c r="D15" s="87" t="e">
        <f>'ANEXO 1. MATRIZ DE SEGUIMIENTO'!#REF!</f>
        <v>#REF!</v>
      </c>
      <c r="E15" s="87" t="e">
        <f>D15/C15*100</f>
        <v>#REF!</v>
      </c>
      <c r="F15" s="1223"/>
      <c r="G15" s="1223"/>
      <c r="H15" s="1226"/>
      <c r="I15" s="1214" t="e">
        <f>'ANEXO 1. MATRIZ DE SEGUIMIENTO'!#REF!</f>
        <v>#REF!</v>
      </c>
      <c r="J15" s="1214" t="e">
        <f>'ANEXO 1. MATRIZ DE SEGUIMIENTO'!#REF!</f>
        <v>#REF!</v>
      </c>
      <c r="K15" s="1299" t="e">
        <f>J15/I15*100</f>
        <v>#REF!</v>
      </c>
      <c r="O15" s="105">
        <v>0.1</v>
      </c>
    </row>
    <row r="16" spans="1:15">
      <c r="A16" s="1273"/>
      <c r="B16" s="1297"/>
      <c r="C16" s="87" t="e">
        <f>'ANEXO 1. MATRIZ DE SEGUIMIENTO'!#REF!</f>
        <v>#REF!</v>
      </c>
      <c r="D16" s="87" t="e">
        <f>'ANEXO 1. MATRIZ DE SEGUIMIENTO'!#REF!</f>
        <v>#REF!</v>
      </c>
      <c r="E16" s="87">
        <v>0</v>
      </c>
      <c r="F16" s="1223"/>
      <c r="G16" s="1223"/>
      <c r="H16" s="1226"/>
      <c r="I16" s="1214"/>
      <c r="J16" s="1214"/>
      <c r="K16" s="1299"/>
      <c r="O16" s="105"/>
    </row>
    <row r="17" spans="1:15" ht="15.75" thickBot="1">
      <c r="A17" s="1274"/>
      <c r="B17" s="1298"/>
      <c r="C17" s="113" t="e">
        <f>'ANEXO 1. MATRIZ DE SEGUIMIENTO'!#REF!</f>
        <v>#REF!</v>
      </c>
      <c r="D17" s="113" t="e">
        <f>'ANEXO 1. MATRIZ DE SEGUIMIENTO'!#REF!</f>
        <v>#REF!</v>
      </c>
      <c r="E17" s="113">
        <v>0</v>
      </c>
      <c r="F17" s="1224"/>
      <c r="G17" s="1224"/>
      <c r="H17" s="1227"/>
      <c r="I17" s="1218"/>
      <c r="J17" s="1218"/>
      <c r="K17" s="1300"/>
      <c r="O17" s="105"/>
    </row>
    <row r="18" spans="1:15">
      <c r="A18" s="1259" t="str">
        <f>[2]Hoja1!C133</f>
        <v>5.4. Apoyo a la gestión de los sistemas de agua potable y saneamiento básico en el Departamento del Cesar.</v>
      </c>
      <c r="B18" s="1308" t="str">
        <f>[2]Hoja1!F133</f>
        <v>5.4.1 Gestión y manejo de residuos solidos en el Departamento del Cesar.</v>
      </c>
      <c r="C18" s="127">
        <f>[2]Hoja1!L133</f>
        <v>13</v>
      </c>
      <c r="D18" s="107" t="e">
        <f>'ANEXO 1. MATRIZ DE SEGUIMIENTO'!#REF!</f>
        <v>#REF!</v>
      </c>
      <c r="E18" s="127">
        <v>100</v>
      </c>
      <c r="F18" s="1222" t="e">
        <f>'ANEXO 1. MATRIZ DE SEGUIMIENTO'!#REF!</f>
        <v>#REF!</v>
      </c>
      <c r="G18" s="1222" t="e">
        <f>'ANEXO 1. MATRIZ DE SEGUIMIENTO'!#REF!</f>
        <v>#REF!</v>
      </c>
      <c r="H18" s="1225" t="e">
        <f>G18/F18*100</f>
        <v>#REF!</v>
      </c>
      <c r="I18" s="1310" t="e">
        <f>'ANEXO 1. MATRIZ DE SEGUIMIENTO'!#REF!</f>
        <v>#REF!</v>
      </c>
      <c r="J18" s="1310" t="e">
        <f>'ANEXO 1. MATRIZ DE SEGUIMIENTO'!#REF!</f>
        <v>#REF!</v>
      </c>
      <c r="K18" s="1311" t="e">
        <f>J18/I18*100</f>
        <v>#REF!</v>
      </c>
      <c r="O18" s="105">
        <v>40</v>
      </c>
    </row>
    <row r="19" spans="1:15">
      <c r="A19" s="1220"/>
      <c r="B19" s="1309"/>
      <c r="C19" s="87" t="e">
        <f>'ANEXO 1. MATRIZ DE SEGUIMIENTO'!#REF!</f>
        <v>#REF!</v>
      </c>
      <c r="D19" s="87" t="e">
        <f>'ANEXO 1. MATRIZ DE SEGUIMIENTO'!#REF!</f>
        <v>#REF!</v>
      </c>
      <c r="E19" s="87" t="e">
        <f>D19/C19*100</f>
        <v>#REF!</v>
      </c>
      <c r="F19" s="1223"/>
      <c r="G19" s="1223"/>
      <c r="H19" s="1226"/>
      <c r="I19" s="1214"/>
      <c r="J19" s="1214"/>
      <c r="K19" s="1299"/>
      <c r="O19" s="105">
        <v>60</v>
      </c>
    </row>
    <row r="20" spans="1:15">
      <c r="A20" s="1220"/>
      <c r="B20" s="1309"/>
      <c r="C20" s="87" t="e">
        <f>'ANEXO 1. MATRIZ DE SEGUIMIENTO'!#REF!</f>
        <v>#REF!</v>
      </c>
      <c r="D20" s="87" t="e">
        <f>'ANEXO 1. MATRIZ DE SEGUIMIENTO'!#REF!</f>
        <v>#REF!</v>
      </c>
      <c r="E20" s="87">
        <v>100</v>
      </c>
      <c r="F20" s="1223"/>
      <c r="G20" s="1223"/>
      <c r="H20" s="1226"/>
      <c r="I20" s="1214"/>
      <c r="J20" s="1214"/>
      <c r="K20" s="1299"/>
      <c r="O20" s="105">
        <v>0</v>
      </c>
    </row>
    <row r="21" spans="1:15">
      <c r="A21" s="1220"/>
      <c r="B21" s="1309"/>
      <c r="C21" s="87" t="e">
        <f>'ANEXO 1. MATRIZ DE SEGUIMIENTO'!#REF!</f>
        <v>#REF!</v>
      </c>
      <c r="D21" s="87" t="e">
        <f>'ANEXO 1. MATRIZ DE SEGUIMIENTO'!#REF!</f>
        <v>#REF!</v>
      </c>
      <c r="E21" s="87">
        <v>100</v>
      </c>
      <c r="F21" s="1223"/>
      <c r="G21" s="1223"/>
      <c r="H21" s="1226"/>
      <c r="I21" s="1214"/>
      <c r="J21" s="1214"/>
      <c r="K21" s="1299"/>
      <c r="O21" s="105">
        <v>0</v>
      </c>
    </row>
    <row r="22" spans="1:15" ht="45.75" thickBot="1">
      <c r="A22" s="1220"/>
      <c r="B22" s="198" t="str">
        <f>[2]Hoja1!F137</f>
        <v>5.4.2. Gestión y manejo de aguas residuales en el Departamento del Cesar</v>
      </c>
      <c r="C22" s="87" t="e">
        <f>'ANEXO 1. MATRIZ DE SEGUIMIENTO'!#REF!</f>
        <v>#REF!</v>
      </c>
      <c r="D22" s="87" t="e">
        <f>'ANEXO 1. MATRIZ DE SEGUIMIENTO'!#REF!</f>
        <v>#REF!</v>
      </c>
      <c r="E22" s="87" t="e">
        <f>D22/C22*100</f>
        <v>#REF!</v>
      </c>
      <c r="F22" s="1224"/>
      <c r="G22" s="1224"/>
      <c r="H22" s="1227"/>
      <c r="I22" s="88" t="e">
        <f>'ANEXO 1. MATRIZ DE SEGUIMIENTO'!#REF!</f>
        <v>#REF!</v>
      </c>
      <c r="J22" s="88" t="e">
        <f>'ANEXO 1. MATRIZ DE SEGUIMIENTO'!#REF!</f>
        <v>#REF!</v>
      </c>
      <c r="K22" s="90" t="e">
        <f>J22/I22*100</f>
        <v>#REF!</v>
      </c>
      <c r="O22" s="105">
        <v>0</v>
      </c>
    </row>
    <row r="23" spans="1:15" ht="60">
      <c r="A23" s="1323" t="str">
        <f>[2]Hoja1!C141</f>
        <v>5.5. Prevención y mitigación del Riesgo y desastres naturales en la jurisdicción de Corpocesar.</v>
      </c>
      <c r="B23" s="191" t="str">
        <f>[2]Hoja1!F141</f>
        <v>5.5.1 Prevención y atención de incendios forestales a través de contratos o convenios de cooperación técnica y financiera.</v>
      </c>
      <c r="C23" s="97" t="e">
        <f>'ANEXO 1. MATRIZ DE SEGUIMIENTO'!#REF!</f>
        <v>#REF!</v>
      </c>
      <c r="D23" s="97" t="e">
        <f>'ANEXO 1. MATRIZ DE SEGUIMIENTO'!#REF!</f>
        <v>#REF!</v>
      </c>
      <c r="E23" s="83">
        <v>100</v>
      </c>
      <c r="F23" s="1222" t="e">
        <f>'ANEXO 1. MATRIZ DE SEGUIMIENTO'!#REF!</f>
        <v>#REF!</v>
      </c>
      <c r="G23" s="1222" t="e">
        <f>'ANEXO 1. MATRIZ DE SEGUIMIENTO'!#REF!</f>
        <v>#REF!</v>
      </c>
      <c r="H23" s="1225" t="e">
        <f>G23/F23*100</f>
        <v>#REF!</v>
      </c>
      <c r="I23" s="84" t="e">
        <f>'ANEXO 1. MATRIZ DE SEGUIMIENTO'!#REF!</f>
        <v>#REF!</v>
      </c>
      <c r="J23" s="84" t="e">
        <f>'ANEXO 1. MATRIZ DE SEGUIMIENTO'!#REF!</f>
        <v>#REF!</v>
      </c>
      <c r="K23" s="192" t="e">
        <f>J23/I23*100</f>
        <v>#REF!</v>
      </c>
      <c r="O23" s="105">
        <v>0</v>
      </c>
    </row>
    <row r="24" spans="1:15" ht="75">
      <c r="A24" s="1324"/>
      <c r="B24" s="193" t="str">
        <f>[2]Hoja1!F142</f>
        <v xml:space="preserve">5.5.2 Formulación y adopción de las determinantes ambientales del área de jurisdicción de Corpocesar, para el Ordenamiento Territorial. </v>
      </c>
      <c r="C24" s="87" t="e">
        <f>'ANEXO 1. MATRIZ DE SEGUIMIENTO'!#REF!</f>
        <v>#REF!</v>
      </c>
      <c r="D24" s="87" t="e">
        <f>'ANEXO 1. MATRIZ DE SEGUIMIENTO'!#REF!</f>
        <v>#REF!</v>
      </c>
      <c r="E24" s="243" t="e">
        <f>D24/C24*100</f>
        <v>#REF!</v>
      </c>
      <c r="F24" s="1223"/>
      <c r="G24" s="1223"/>
      <c r="H24" s="1226"/>
      <c r="I24" s="88" t="e">
        <f>'ANEXO 1. MATRIZ DE SEGUIMIENTO'!#REF!</f>
        <v>#REF!</v>
      </c>
      <c r="J24" s="88" t="e">
        <f>'ANEXO 1. MATRIZ DE SEGUIMIENTO'!#REF!</f>
        <v>#REF!</v>
      </c>
      <c r="K24" s="190" t="e">
        <f>J24/I24*100</f>
        <v>#REF!</v>
      </c>
      <c r="O24" s="105">
        <v>0</v>
      </c>
    </row>
    <row r="25" spans="1:15" ht="45">
      <c r="A25" s="1324"/>
      <c r="B25" s="193" t="str">
        <f>[2]Hoja1!F143</f>
        <v>5.5.3 Diseño y/o Construcción de obras de control de erosión e inundaciones.</v>
      </c>
      <c r="C25" s="87" t="e">
        <f>'ANEXO 1. MATRIZ DE SEGUIMIENTO'!#REF!</f>
        <v>#REF!</v>
      </c>
      <c r="D25" s="87" t="e">
        <f>'ANEXO 1. MATRIZ DE SEGUIMIENTO'!#REF!</f>
        <v>#REF!</v>
      </c>
      <c r="E25" s="243">
        <v>100</v>
      </c>
      <c r="F25" s="1223"/>
      <c r="G25" s="1223"/>
      <c r="H25" s="1226"/>
      <c r="I25" s="88" t="e">
        <f>'ANEXO 1. MATRIZ DE SEGUIMIENTO'!#REF!</f>
        <v>#REF!</v>
      </c>
      <c r="J25" s="88" t="e">
        <f>'ANEXO 1. MATRIZ DE SEGUIMIENTO'!#REF!</f>
        <v>#REF!</v>
      </c>
      <c r="K25" s="190" t="e">
        <f>J25/I25*100</f>
        <v>#REF!</v>
      </c>
      <c r="O25" s="105">
        <v>0</v>
      </c>
    </row>
    <row r="26" spans="1:15" ht="45" customHeight="1">
      <c r="A26" s="1316" t="str">
        <f>A23</f>
        <v>5.5. Prevención y mitigación del Riesgo y desastres naturales en la jurisdicción de Corpocesar.</v>
      </c>
      <c r="B26" s="1317" t="str">
        <f>[2]Hoja1!F146</f>
        <v xml:space="preserve">5.5.6.  Formulación  e implementación del Plan de Gestión Integral del Riesgo - GIR- </v>
      </c>
      <c r="C26" s="87" t="e">
        <f>'ANEXO 1. MATRIZ DE SEGUIMIENTO'!#REF!</f>
        <v>#REF!</v>
      </c>
      <c r="D26" s="87" t="e">
        <f>'ANEXO 1. MATRIZ DE SEGUIMIENTO'!#REF!</f>
        <v>#REF!</v>
      </c>
      <c r="E26" s="87" t="e">
        <f>D26/C26*100</f>
        <v>#REF!</v>
      </c>
      <c r="F26" s="1223"/>
      <c r="G26" s="1223"/>
      <c r="H26" s="1226"/>
      <c r="I26" s="1319" t="e">
        <f>'ANEXO 1. MATRIZ DE SEGUIMIENTO'!#REF!</f>
        <v>#REF!</v>
      </c>
      <c r="J26" s="1319" t="e">
        <f>'ANEXO 1. MATRIZ DE SEGUIMIENTO'!#REF!</f>
        <v>#REF!</v>
      </c>
      <c r="K26" s="1250" t="e">
        <f>J26/I26*100</f>
        <v>#REF!</v>
      </c>
      <c r="O26" s="105">
        <v>0</v>
      </c>
    </row>
    <row r="27" spans="1:15">
      <c r="A27" s="1329"/>
      <c r="B27" s="1317"/>
      <c r="C27" s="87" t="e">
        <f>'ANEXO 1. MATRIZ DE SEGUIMIENTO'!#REF!</f>
        <v>#REF!</v>
      </c>
      <c r="D27" s="87" t="e">
        <f>'ANEXO 1. MATRIZ DE SEGUIMIENTO'!#REF!</f>
        <v>#REF!</v>
      </c>
      <c r="E27" s="87" t="e">
        <f>D27/C27*100</f>
        <v>#REF!</v>
      </c>
      <c r="F27" s="1223"/>
      <c r="G27" s="1223"/>
      <c r="H27" s="1226"/>
      <c r="I27" s="1310"/>
      <c r="J27" s="1310"/>
      <c r="K27" s="1250"/>
      <c r="O27" s="105"/>
    </row>
    <row r="28" spans="1:15" ht="90.75" thickBot="1">
      <c r="A28" s="1330"/>
      <c r="B28" s="194" t="str">
        <f>[2]Hoja1!F148</f>
        <v>5.5.7.  Estrategia de apoyo para solucionar la problemática del ataque del comején y las hormigas a la Arborización de Valledupar y otras Zonas del Departamento del Cesar.</v>
      </c>
      <c r="C28" s="127" t="e">
        <f>'ANEXO 1. MATRIZ DE SEGUIMIENTO'!#REF!</f>
        <v>#REF!</v>
      </c>
      <c r="D28" s="127" t="e">
        <f>'ANEXO 1. MATRIZ DE SEGUIMIENTO'!#REF!</f>
        <v>#REF!</v>
      </c>
      <c r="E28" s="92" t="e">
        <f>D28/C28*100</f>
        <v>#REF!</v>
      </c>
      <c r="F28" s="1224"/>
      <c r="G28" s="1224"/>
      <c r="H28" s="1227"/>
      <c r="I28" s="93" t="e">
        <f>'ANEXO 1. MATRIZ DE SEGUIMIENTO'!#REF!</f>
        <v>#REF!</v>
      </c>
      <c r="J28" s="93" t="e">
        <f>'ANEXO 1. MATRIZ DE SEGUIMIENTO'!#REF!</f>
        <v>#REF!</v>
      </c>
      <c r="K28" s="195" t="e">
        <f>J28/I28*100</f>
        <v>#REF!</v>
      </c>
      <c r="O28" s="105">
        <v>0</v>
      </c>
    </row>
    <row r="29" spans="1:15" ht="75">
      <c r="A29" s="1314" t="str">
        <f>[2]Hoja1!C150</f>
        <v>5.6. Fortalecimiento del control ambiental a través de los procesos misionales en la jurisdicción de Corpocesar.</v>
      </c>
      <c r="B29" s="191" t="str">
        <f>[2]Hoja1!F150</f>
        <v>5.6.1 Evaluación y Seguimiento a los instrumentos ambientales que otorga Corpocesar, y atención de quejas por infracciones ambientales.</v>
      </c>
      <c r="C29" s="97" t="e">
        <f>'ANEXO 1. MATRIZ DE SEGUIMIENTO'!#REF!</f>
        <v>#REF!</v>
      </c>
      <c r="D29" s="97" t="e">
        <f>'ANEXO 1. MATRIZ DE SEGUIMIENTO'!#REF!</f>
        <v>#REF!</v>
      </c>
      <c r="E29" s="83">
        <v>100</v>
      </c>
      <c r="F29" s="1222" t="e">
        <f>'ANEXO 1. MATRIZ DE SEGUIMIENTO'!#REF!</f>
        <v>#REF!</v>
      </c>
      <c r="G29" s="1222" t="e">
        <f>'ANEXO 1. MATRIZ DE SEGUIMIENTO'!#REF!</f>
        <v>#REF!</v>
      </c>
      <c r="H29" s="1320" t="e">
        <f>G29/F29*100</f>
        <v>#REF!</v>
      </c>
      <c r="I29" s="84" t="e">
        <f>'ANEXO 1. MATRIZ DE SEGUIMIENTO'!#REF!</f>
        <v>#REF!</v>
      </c>
      <c r="J29" s="84" t="e">
        <f>'ANEXO 1. MATRIZ DE SEGUIMIENTO'!#REF!</f>
        <v>#REF!</v>
      </c>
      <c r="K29" s="196" t="e">
        <f>J29/I29*100</f>
        <v>#REF!</v>
      </c>
      <c r="O29" s="105">
        <v>50</v>
      </c>
    </row>
    <row r="30" spans="1:15">
      <c r="A30" s="1315"/>
      <c r="B30" s="1317" t="str">
        <f>[2]Hoja1!F152</f>
        <v xml:space="preserve">5.6.2 Implementación de la ventanilla integral de trámites ambientales en línea, en el marco de las politicas de GOBIERNO EN LINEA, mediante la ejecución de FASES del proceso. Orientado por el MAVDT.  </v>
      </c>
      <c r="C30" s="76" t="e">
        <f>'ANEXO 1. MATRIZ DE SEGUIMIENTO'!#REF!</f>
        <v>#REF!</v>
      </c>
      <c r="D30" s="76" t="e">
        <f>'ANEXO 1. MATRIZ DE SEGUIMIENTO'!#REF!</f>
        <v>#REF!</v>
      </c>
      <c r="E30" s="87" t="e">
        <f>D30/C30*100</f>
        <v>#REF!</v>
      </c>
      <c r="F30" s="1223"/>
      <c r="G30" s="1223"/>
      <c r="H30" s="1321"/>
      <c r="I30" s="1214" t="e">
        <f>'ANEXO 1. MATRIZ DE SEGUIMIENTO'!#REF!</f>
        <v>#REF!</v>
      </c>
      <c r="J30" s="1214" t="e">
        <f>'ANEXO 1. MATRIZ DE SEGUIMIENTO'!#REF!</f>
        <v>#REF!</v>
      </c>
      <c r="K30" s="1250" t="e">
        <f>J30/I30*100</f>
        <v>#REF!</v>
      </c>
      <c r="O30" s="105">
        <v>0.2</v>
      </c>
    </row>
    <row r="31" spans="1:15">
      <c r="A31" s="1315"/>
      <c r="B31" s="1317"/>
      <c r="C31" s="87" t="e">
        <f>'ANEXO 1. MATRIZ DE SEGUIMIENTO'!#REF!</f>
        <v>#REF!</v>
      </c>
      <c r="D31" s="87" t="e">
        <f>'ANEXO 1. MATRIZ DE SEGUIMIENTO'!#REF!</f>
        <v>#REF!</v>
      </c>
      <c r="E31" s="87"/>
      <c r="F31" s="1223"/>
      <c r="G31" s="1223"/>
      <c r="H31" s="1321"/>
      <c r="I31" s="1214"/>
      <c r="J31" s="1214"/>
      <c r="K31" s="1250"/>
      <c r="O31" s="105"/>
    </row>
    <row r="32" spans="1:15" ht="15.75" thickBot="1">
      <c r="A32" s="1316"/>
      <c r="B32" s="1318"/>
      <c r="C32" s="107" t="e">
        <f>'ANEXO 1. MATRIZ DE SEGUIMIENTO'!#REF!</f>
        <v>#REF!</v>
      </c>
      <c r="D32" s="107" t="e">
        <f>'ANEXO 1. MATRIZ DE SEGUIMIENTO'!#REF!</f>
        <v>#REF!</v>
      </c>
      <c r="E32" s="92"/>
      <c r="F32" s="1224"/>
      <c r="G32" s="1224"/>
      <c r="H32" s="1322"/>
      <c r="I32" s="1319"/>
      <c r="J32" s="1319"/>
      <c r="K32" s="1325"/>
      <c r="O32" s="105"/>
    </row>
    <row r="33" spans="1:15">
      <c r="A33" s="1314" t="str">
        <f>[2]Hoja1!C156</f>
        <v xml:space="preserve">5.7. Fortalecimiento del componente ambiental del  Plan Departamental de  Agua del Cesar  a través de la  vinculación de la CAR a todos los  procesos ambientales del PDA. </v>
      </c>
      <c r="B33" s="1327" t="str">
        <f>[2]Hoja1!F156</f>
        <v xml:space="preserve">5.7.1 Gestión de vinculación y operación  de acciones interinsitucionales.    </v>
      </c>
      <c r="C33" s="83" t="e">
        <f>'ANEXO 1. MATRIZ DE SEGUIMIENTO'!#REF!</f>
        <v>#REF!</v>
      </c>
      <c r="D33" s="83" t="e">
        <f>'ANEXO 1. MATRIZ DE SEGUIMIENTO'!#REF!</f>
        <v>#REF!</v>
      </c>
      <c r="E33" s="83" t="e">
        <f>D33/C33*100</f>
        <v>#REF!</v>
      </c>
      <c r="F33" s="1222" t="e">
        <f>'ANEXO 1. MATRIZ DE SEGUIMIENTO'!#REF!</f>
        <v>#REF!</v>
      </c>
      <c r="G33" s="1222" t="e">
        <f>'ANEXO 1. MATRIZ DE SEGUIMIENTO'!#REF!</f>
        <v>#REF!</v>
      </c>
      <c r="H33" s="1320" t="e">
        <f>G33/F33*100</f>
        <v>#REF!</v>
      </c>
      <c r="I33" s="1248" t="e">
        <f>'ANEXO 1. MATRIZ DE SEGUIMIENTO'!#REF!</f>
        <v>#REF!</v>
      </c>
      <c r="J33" s="1248" t="e">
        <f>'ANEXO 1. MATRIZ DE SEGUIMIENTO'!#REF!</f>
        <v>#REF!</v>
      </c>
      <c r="K33" s="1249"/>
      <c r="O33" s="105">
        <v>0</v>
      </c>
    </row>
    <row r="34" spans="1:15">
      <c r="A34" s="1315"/>
      <c r="B34" s="1317"/>
      <c r="C34" s="127" t="e">
        <f>'ANEXO 1. MATRIZ DE SEGUIMIENTO'!#REF!</f>
        <v>#REF!</v>
      </c>
      <c r="D34" s="127" t="e">
        <f>'ANEXO 1. MATRIZ DE SEGUIMIENTO'!#REF!</f>
        <v>#REF!</v>
      </c>
      <c r="E34" s="87">
        <v>100</v>
      </c>
      <c r="F34" s="1223"/>
      <c r="G34" s="1223"/>
      <c r="H34" s="1321"/>
      <c r="I34" s="1214"/>
      <c r="J34" s="1214"/>
      <c r="K34" s="1250"/>
      <c r="O34" s="105">
        <v>0</v>
      </c>
    </row>
    <row r="35" spans="1:15">
      <c r="A35" s="1315"/>
      <c r="B35" s="1317"/>
      <c r="C35" s="127" t="e">
        <f>'ANEXO 1. MATRIZ DE SEGUIMIENTO'!#REF!</f>
        <v>#REF!</v>
      </c>
      <c r="D35" s="127" t="e">
        <f>'ANEXO 1. MATRIZ DE SEGUIMIENTO'!#REF!</f>
        <v>#REF!</v>
      </c>
      <c r="E35" s="87">
        <v>100</v>
      </c>
      <c r="F35" s="1223"/>
      <c r="G35" s="1223"/>
      <c r="H35" s="1321"/>
      <c r="I35" s="1214"/>
      <c r="J35" s="1214"/>
      <c r="K35" s="1250"/>
      <c r="O35" s="105">
        <v>0</v>
      </c>
    </row>
    <row r="36" spans="1:15">
      <c r="A36" s="1315"/>
      <c r="B36" s="1317"/>
      <c r="C36" s="127" t="e">
        <f>'ANEXO 1. MATRIZ DE SEGUIMIENTO'!#REF!</f>
        <v>#REF!</v>
      </c>
      <c r="D36" s="127" t="e">
        <f>'ANEXO 1. MATRIZ DE SEGUIMIENTO'!#REF!</f>
        <v>#REF!</v>
      </c>
      <c r="E36" s="87">
        <v>0</v>
      </c>
      <c r="F36" s="1223"/>
      <c r="G36" s="1223"/>
      <c r="H36" s="1321"/>
      <c r="I36" s="1214"/>
      <c r="J36" s="1214"/>
      <c r="K36" s="1250"/>
      <c r="O36" s="105"/>
    </row>
    <row r="37" spans="1:15" ht="51.75" customHeight="1" thickBot="1">
      <c r="A37" s="1326"/>
      <c r="B37" s="1328"/>
      <c r="C37" s="167" t="e">
        <f>'ANEXO 1. MATRIZ DE SEGUIMIENTO'!#REF!</f>
        <v>#REF!</v>
      </c>
      <c r="D37" s="167" t="e">
        <f>'ANEXO 1. MATRIZ DE SEGUIMIENTO'!#REF!</f>
        <v>#REF!</v>
      </c>
      <c r="E37" s="113">
        <v>0</v>
      </c>
      <c r="F37" s="1224"/>
      <c r="G37" s="1224"/>
      <c r="H37" s="1322"/>
      <c r="I37" s="1218"/>
      <c r="J37" s="1218"/>
      <c r="K37" s="1258"/>
      <c r="O37" s="105"/>
    </row>
    <row r="38" spans="1:15" ht="15.75" thickBot="1">
      <c r="A38" s="1312" t="s">
        <v>336</v>
      </c>
      <c r="B38" s="1313"/>
      <c r="C38" s="199" t="e">
        <f>SUM(C5:C37)</f>
        <v>#REF!</v>
      </c>
      <c r="D38" s="199" t="e">
        <f>SUM(D5:D37)</f>
        <v>#REF!</v>
      </c>
      <c r="E38" s="200" t="e">
        <f>SUM(D38/C38*100)</f>
        <v>#REF!</v>
      </c>
      <c r="F38" s="200"/>
      <c r="G38" s="200"/>
      <c r="H38" s="200"/>
      <c r="I38" s="199" t="e">
        <f>SUM(I5:I37)</f>
        <v>#REF!</v>
      </c>
      <c r="J38" s="199" t="e">
        <f>SUM(J5:J37)</f>
        <v>#REF!</v>
      </c>
      <c r="K38" s="201" t="e">
        <f>SUM(J38/I38*100)</f>
        <v>#REF!</v>
      </c>
    </row>
  </sheetData>
  <mergeCells count="66">
    <mergeCell ref="G5:G7"/>
    <mergeCell ref="H5:H7"/>
    <mergeCell ref="F11:F17"/>
    <mergeCell ref="G11:G17"/>
    <mergeCell ref="H11:H17"/>
    <mergeCell ref="F8:F10"/>
    <mergeCell ref="G8:G10"/>
    <mergeCell ref="H8:H10"/>
    <mergeCell ref="A23:A25"/>
    <mergeCell ref="K30:K32"/>
    <mergeCell ref="A33:A37"/>
    <mergeCell ref="B33:B37"/>
    <mergeCell ref="I33:I37"/>
    <mergeCell ref="J33:J37"/>
    <mergeCell ref="K33:K37"/>
    <mergeCell ref="B26:B27"/>
    <mergeCell ref="I26:I27"/>
    <mergeCell ref="J26:J27"/>
    <mergeCell ref="K26:K27"/>
    <mergeCell ref="A26:A28"/>
    <mergeCell ref="F23:F28"/>
    <mergeCell ref="G23:G28"/>
    <mergeCell ref="H23:H28"/>
    <mergeCell ref="A38:B38"/>
    <mergeCell ref="A29:A32"/>
    <mergeCell ref="B30:B32"/>
    <mergeCell ref="I30:I32"/>
    <mergeCell ref="J30:J32"/>
    <mergeCell ref="F29:F32"/>
    <mergeCell ref="G29:G32"/>
    <mergeCell ref="H29:H32"/>
    <mergeCell ref="F33:F37"/>
    <mergeCell ref="G33:G37"/>
    <mergeCell ref="H33:H37"/>
    <mergeCell ref="A18:A22"/>
    <mergeCell ref="B18:B21"/>
    <mergeCell ref="I18:I21"/>
    <mergeCell ref="J18:J21"/>
    <mergeCell ref="K18:K21"/>
    <mergeCell ref="F18:F22"/>
    <mergeCell ref="G18:G22"/>
    <mergeCell ref="H18:H22"/>
    <mergeCell ref="A5:A7"/>
    <mergeCell ref="B15:B17"/>
    <mergeCell ref="I15:I17"/>
    <mergeCell ref="J15:J17"/>
    <mergeCell ref="K15:K17"/>
    <mergeCell ref="A11:A17"/>
    <mergeCell ref="B12:B13"/>
    <mergeCell ref="I12:I13"/>
    <mergeCell ref="J12:J13"/>
    <mergeCell ref="K12:K13"/>
    <mergeCell ref="A8:A10"/>
    <mergeCell ref="B8:B10"/>
    <mergeCell ref="I8:I10"/>
    <mergeCell ref="J8:J10"/>
    <mergeCell ref="K8:K10"/>
    <mergeCell ref="F5:F7"/>
    <mergeCell ref="A1:K1"/>
    <mergeCell ref="A3:A4"/>
    <mergeCell ref="B3:B4"/>
    <mergeCell ref="C3:E3"/>
    <mergeCell ref="I3:K3"/>
    <mergeCell ref="F3:H3"/>
    <mergeCell ref="F2:H2"/>
    <mergeCell ref="I2:K2"/>
  </mergeCells>
  <printOptions horizontalCentered="1"/>
  <pageMargins left="0.70866141732283472" right="0.70866141732283472" top="0.74803149606299213" bottom="0.74803149606299213" header="0.31496062992125984" footer="0.31496062992125984"/>
  <pageSetup scale="70"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workbookViewId="0">
      <selection activeCell="I18" sqref="I18"/>
    </sheetView>
  </sheetViews>
  <sheetFormatPr baseColWidth="10" defaultRowHeight="15"/>
  <cols>
    <col min="1" max="1" width="19.7109375" customWidth="1"/>
    <col min="2" max="2" width="26" customWidth="1"/>
    <col min="3" max="3" width="14" customWidth="1"/>
    <col min="4" max="4" width="11.5703125" customWidth="1"/>
    <col min="5" max="8" width="12.5703125" customWidth="1"/>
    <col min="9" max="9" width="14.140625" customWidth="1"/>
    <col min="10" max="10" width="12.5703125" bestFit="1" customWidth="1"/>
    <col min="11" max="11" width="13.5703125" customWidth="1"/>
  </cols>
  <sheetData>
    <row r="1" spans="1:17" ht="18.75">
      <c r="A1" s="1284" t="s">
        <v>339</v>
      </c>
      <c r="B1" s="1284"/>
      <c r="C1" s="1284"/>
      <c r="D1" s="1284"/>
      <c r="E1" s="1284"/>
      <c r="F1" s="1284"/>
      <c r="G1" s="1284"/>
      <c r="H1" s="1284"/>
      <c r="I1" s="1284"/>
      <c r="J1" s="1284"/>
      <c r="K1" s="1284"/>
    </row>
    <row r="2" spans="1:17" ht="21.75" thickBot="1">
      <c r="A2" s="152"/>
      <c r="B2" s="152"/>
      <c r="C2" s="152"/>
      <c r="D2" s="152"/>
      <c r="E2" s="152"/>
      <c r="F2" s="1204" t="str">
        <f>'P5'!F2:H2</f>
        <v>POR PROYECTO</v>
      </c>
      <c r="G2" s="1204"/>
      <c r="H2" s="1204"/>
      <c r="I2" s="1245" t="str">
        <f>'P5'!I2:K2</f>
        <v>POR ACTIVIDAD</v>
      </c>
      <c r="J2" s="1245"/>
      <c r="K2" s="1245"/>
    </row>
    <row r="3" spans="1:17">
      <c r="A3" s="1199" t="s">
        <v>327</v>
      </c>
      <c r="B3" s="1241" t="s">
        <v>21</v>
      </c>
      <c r="C3" s="1243" t="s">
        <v>328</v>
      </c>
      <c r="D3" s="1243"/>
      <c r="E3" s="1243"/>
      <c r="F3" s="1276" t="s">
        <v>453</v>
      </c>
      <c r="G3" s="1277"/>
      <c r="H3" s="1277"/>
      <c r="I3" s="1277"/>
      <c r="J3" s="1277"/>
      <c r="K3" s="1342"/>
    </row>
    <row r="4" spans="1:17" ht="45">
      <c r="A4" s="1340"/>
      <c r="B4" s="1287"/>
      <c r="C4" s="121" t="s">
        <v>330</v>
      </c>
      <c r="D4" s="121" t="s">
        <v>331</v>
      </c>
      <c r="E4" s="121" t="s">
        <v>332</v>
      </c>
      <c r="F4" s="260" t="str">
        <f>I4</f>
        <v xml:space="preserve">META PROGRAMADA </v>
      </c>
      <c r="G4" s="260" t="str">
        <f>J4</f>
        <v>META EJECUTADA</v>
      </c>
      <c r="H4" s="260" t="str">
        <f>K4</f>
        <v>PORCENTAJE EJECUCIÓN</v>
      </c>
      <c r="I4" s="202" t="s">
        <v>330</v>
      </c>
      <c r="J4" s="122" t="s">
        <v>331</v>
      </c>
      <c r="K4" s="164" t="s">
        <v>332</v>
      </c>
    </row>
    <row r="5" spans="1:17" ht="60">
      <c r="A5" s="1269" t="str">
        <f>[2]Hoja1!C162</f>
        <v>6.1. Construcción de una nueva cultura ambiental colectiva en el Departamento del Cesar.</v>
      </c>
      <c r="B5" s="86" t="str">
        <f>[2]Hoja1!F162</f>
        <v>6.1.1 Establecimiento y operación de la Red Interna de Multiplicadores Ambientales.</v>
      </c>
      <c r="C5" s="87" t="e">
        <f>'ANEXO 1. MATRIZ DE SEGUIMIENTO'!#REF!</f>
        <v>#REF!</v>
      </c>
      <c r="D5" s="87" t="e">
        <f>'ANEXO 1. MATRIZ DE SEGUIMIENTO'!#REF!</f>
        <v>#REF!</v>
      </c>
      <c r="E5" s="87" t="e">
        <f>D5/C5*100</f>
        <v>#REF!</v>
      </c>
      <c r="F5" s="1254" t="e">
        <f>'ANEXO 1. MATRIZ DE SEGUIMIENTO'!#REF!</f>
        <v>#REF!</v>
      </c>
      <c r="G5" s="1254" t="e">
        <f>'ANEXO 1. MATRIZ DE SEGUIMIENTO'!#REF!</f>
        <v>#REF!</v>
      </c>
      <c r="H5" s="1255" t="e">
        <f>G5/F5*100</f>
        <v>#REF!</v>
      </c>
      <c r="I5" s="88" t="e">
        <f>'ANEXO 1. MATRIZ DE SEGUIMIENTO'!#REF!</f>
        <v>#REF!</v>
      </c>
      <c r="J5" s="88" t="e">
        <f>'ANEXO 1. MATRIZ DE SEGUIMIENTO'!#REF!</f>
        <v>#REF!</v>
      </c>
      <c r="K5" s="187" t="e">
        <f>J5/I5*100</f>
        <v>#REF!</v>
      </c>
      <c r="O5" s="105">
        <v>0</v>
      </c>
      <c r="P5" s="1339" t="s">
        <v>340</v>
      </c>
      <c r="Q5" s="1339"/>
    </row>
    <row r="6" spans="1:17">
      <c r="A6" s="1269"/>
      <c r="B6" s="1263" t="str">
        <f>[2]Hoja1!F163</f>
        <v>6.1.2 Desarrollo y fortalecimiento de las comunicaciones (periodico ambiental, programa mision revive, programa en radio, revistas, boletín oficial, divulgación y pautas) como estratégia de formación de cultura ambiental en la región.</v>
      </c>
      <c r="C6" s="76" t="e">
        <f>'ANEXO 1. MATRIZ DE SEGUIMIENTO'!#REF!</f>
        <v>#REF!</v>
      </c>
      <c r="D6" s="87" t="e">
        <f>'ANEXO 1. MATRIZ DE SEGUIMIENTO'!#REF!</f>
        <v>#REF!</v>
      </c>
      <c r="E6" s="87" t="e">
        <f t="shared" ref="E6:E12" si="0">D6/C6*100</f>
        <v>#REF!</v>
      </c>
      <c r="F6" s="1223"/>
      <c r="G6" s="1223"/>
      <c r="H6" s="1226"/>
      <c r="I6" s="1214" t="e">
        <f>'ANEXO 1. MATRIZ DE SEGUIMIENTO'!#REF!</f>
        <v>#REF!</v>
      </c>
      <c r="J6" s="1214" t="e">
        <f>'ANEXO 1. MATRIZ DE SEGUIMIENTO'!#REF!</f>
        <v>#REF!</v>
      </c>
      <c r="K6" s="1299" t="e">
        <f>J6/I6*100</f>
        <v>#REF!</v>
      </c>
      <c r="O6" s="105">
        <v>0</v>
      </c>
    </row>
    <row r="7" spans="1:17">
      <c r="A7" s="1269"/>
      <c r="B7" s="1263"/>
      <c r="C7" s="87" t="e">
        <f>'ANEXO 1. MATRIZ DE SEGUIMIENTO'!#REF!</f>
        <v>#REF!</v>
      </c>
      <c r="D7" s="87" t="e">
        <f>'ANEXO 1. MATRIZ DE SEGUIMIENTO'!#REF!</f>
        <v>#REF!</v>
      </c>
      <c r="E7" s="87" t="e">
        <f t="shared" si="0"/>
        <v>#REF!</v>
      </c>
      <c r="F7" s="1223"/>
      <c r="G7" s="1223"/>
      <c r="H7" s="1226"/>
      <c r="I7" s="1214"/>
      <c r="J7" s="1214"/>
      <c r="K7" s="1299"/>
      <c r="O7" s="105">
        <v>0</v>
      </c>
    </row>
    <row r="8" spans="1:17">
      <c r="A8" s="1269"/>
      <c r="B8" s="1263"/>
      <c r="C8" s="87" t="e">
        <f>'ANEXO 1. MATRIZ DE SEGUIMIENTO'!#REF!</f>
        <v>#REF!</v>
      </c>
      <c r="D8" s="87" t="e">
        <f>'ANEXO 1. MATRIZ DE SEGUIMIENTO'!#REF!</f>
        <v>#REF!</v>
      </c>
      <c r="E8" s="87" t="e">
        <f t="shared" si="0"/>
        <v>#REF!</v>
      </c>
      <c r="F8" s="1223"/>
      <c r="G8" s="1223"/>
      <c r="H8" s="1226"/>
      <c r="I8" s="1214"/>
      <c r="J8" s="1214"/>
      <c r="K8" s="1299"/>
      <c r="O8" s="105">
        <v>0</v>
      </c>
    </row>
    <row r="9" spans="1:17">
      <c r="A9" s="1269"/>
      <c r="B9" s="1263"/>
      <c r="C9" s="87" t="e">
        <f>'ANEXO 1. MATRIZ DE SEGUIMIENTO'!#REF!</f>
        <v>#REF!</v>
      </c>
      <c r="D9" s="87" t="e">
        <f>'ANEXO 1. MATRIZ DE SEGUIMIENTO'!#REF!</f>
        <v>#REF!</v>
      </c>
      <c r="E9" s="87" t="e">
        <f t="shared" si="0"/>
        <v>#REF!</v>
      </c>
      <c r="F9" s="1223"/>
      <c r="G9" s="1223"/>
      <c r="H9" s="1226"/>
      <c r="I9" s="1214"/>
      <c r="J9" s="1214"/>
      <c r="K9" s="1299"/>
      <c r="O9" s="105">
        <v>0</v>
      </c>
    </row>
    <row r="10" spans="1:17">
      <c r="A10" s="1269"/>
      <c r="B10" s="1263"/>
      <c r="C10" s="87" t="e">
        <f>'ANEXO 1. MATRIZ DE SEGUIMIENTO'!#REF!</f>
        <v>#REF!</v>
      </c>
      <c r="D10" s="87" t="e">
        <f>'ANEXO 1. MATRIZ DE SEGUIMIENTO'!#REF!</f>
        <v>#REF!</v>
      </c>
      <c r="E10" s="87" t="e">
        <f t="shared" si="0"/>
        <v>#REF!</v>
      </c>
      <c r="F10" s="1223"/>
      <c r="G10" s="1223"/>
      <c r="H10" s="1226"/>
      <c r="I10" s="1214"/>
      <c r="J10" s="1214"/>
      <c r="K10" s="1299"/>
      <c r="O10" s="105">
        <v>0</v>
      </c>
    </row>
    <row r="11" spans="1:17">
      <c r="A11" s="1269"/>
      <c r="B11" s="1263"/>
      <c r="C11" s="87" t="e">
        <f>'ANEXO 1. MATRIZ DE SEGUIMIENTO'!#REF!</f>
        <v>#REF!</v>
      </c>
      <c r="D11" s="87" t="e">
        <f>'ANEXO 1. MATRIZ DE SEGUIMIENTO'!#REF!</f>
        <v>#REF!</v>
      </c>
      <c r="E11" s="87">
        <v>100</v>
      </c>
      <c r="F11" s="1223"/>
      <c r="G11" s="1223"/>
      <c r="H11" s="1226"/>
      <c r="I11" s="1214"/>
      <c r="J11" s="1214"/>
      <c r="K11" s="1299"/>
      <c r="O11" s="105">
        <v>1</v>
      </c>
    </row>
    <row r="12" spans="1:17">
      <c r="A12" s="1269"/>
      <c r="B12" s="1263"/>
      <c r="C12" s="87" t="e">
        <f>'ANEXO 1. MATRIZ DE SEGUIMIENTO'!#REF!</f>
        <v>#REF!</v>
      </c>
      <c r="D12" s="87" t="e">
        <f>'ANEXO 1. MATRIZ DE SEGUIMIENTO'!#REF!</f>
        <v>#REF!</v>
      </c>
      <c r="E12" s="87" t="e">
        <f t="shared" si="0"/>
        <v>#REF!</v>
      </c>
      <c r="F12" s="1223"/>
      <c r="G12" s="1223"/>
      <c r="H12" s="1226"/>
      <c r="I12" s="1214"/>
      <c r="J12" s="1214"/>
      <c r="K12" s="1299"/>
      <c r="O12" s="105">
        <v>1</v>
      </c>
    </row>
    <row r="13" spans="1:17">
      <c r="A13" s="1269"/>
      <c r="B13" s="1263"/>
      <c r="C13" s="87" t="e">
        <f>'ANEXO 1. MATRIZ DE SEGUIMIENTO'!#REF!</f>
        <v>#REF!</v>
      </c>
      <c r="D13" s="87" t="e">
        <f>'ANEXO 1. MATRIZ DE SEGUIMIENTO'!#REF!</f>
        <v>#REF!</v>
      </c>
      <c r="E13" s="87" t="e">
        <f>D13/C13*100</f>
        <v>#REF!</v>
      </c>
      <c r="F13" s="1223"/>
      <c r="G13" s="1223"/>
      <c r="H13" s="1226"/>
      <c r="I13" s="1214"/>
      <c r="J13" s="1214"/>
      <c r="K13" s="1299"/>
      <c r="O13" s="105">
        <v>0</v>
      </c>
    </row>
    <row r="14" spans="1:17">
      <c r="A14" s="1269"/>
      <c r="B14" s="1263"/>
      <c r="C14" s="87" t="e">
        <f>'ANEXO 1. MATRIZ DE SEGUIMIENTO'!#REF!</f>
        <v>#REF!</v>
      </c>
      <c r="D14" s="87" t="e">
        <f>'ANEXO 1. MATRIZ DE SEGUIMIENTO'!#REF!</f>
        <v>#REF!</v>
      </c>
      <c r="E14" s="87" t="e">
        <f t="shared" ref="E14:E22" si="1">D14/C14*100</f>
        <v>#REF!</v>
      </c>
      <c r="F14" s="1223"/>
      <c r="G14" s="1223"/>
      <c r="H14" s="1226"/>
      <c r="I14" s="1214"/>
      <c r="J14" s="1214"/>
      <c r="K14" s="1299"/>
      <c r="O14" s="105">
        <v>0</v>
      </c>
    </row>
    <row r="15" spans="1:17" ht="60">
      <c r="A15" s="1269"/>
      <c r="B15" s="86" t="str">
        <f>[2]Hoja1!F172</f>
        <v>6.1.3 Implementación del programa pedagógico a los proyectos corporativos PROCEDAS Y PRAES.</v>
      </c>
      <c r="C15" s="87" t="e">
        <f>'ANEXO 1. MATRIZ DE SEGUIMIENTO'!#REF!</f>
        <v>#REF!</v>
      </c>
      <c r="D15" s="87" t="e">
        <f>'ANEXO 1. MATRIZ DE SEGUIMIENTO'!#REF!</f>
        <v>#REF!</v>
      </c>
      <c r="E15" s="87">
        <v>100</v>
      </c>
      <c r="F15" s="1223"/>
      <c r="G15" s="1223"/>
      <c r="H15" s="1226"/>
      <c r="I15" s="154" t="e">
        <f>'ANEXO 1. MATRIZ DE SEGUIMIENTO'!#REF!</f>
        <v>#REF!</v>
      </c>
      <c r="J15" s="154" t="e">
        <f>'ANEXO 1. MATRIZ DE SEGUIMIENTO'!#REF!</f>
        <v>#REF!</v>
      </c>
      <c r="K15" s="187" t="e">
        <f>J15/I15*100</f>
        <v>#REF!</v>
      </c>
      <c r="O15" s="105">
        <v>0</v>
      </c>
    </row>
    <row r="16" spans="1:17" ht="45">
      <c r="A16" s="1269"/>
      <c r="B16" s="86" t="str">
        <f>[2]Hoja1!F173</f>
        <v>6.1.4 Impulso a la formación y dinamización de promotores ambientales</v>
      </c>
      <c r="C16" s="87" t="e">
        <f>'ANEXO 1. MATRIZ DE SEGUIMIENTO'!#REF!</f>
        <v>#REF!</v>
      </c>
      <c r="D16" s="87" t="e">
        <f>'ANEXO 1. MATRIZ DE SEGUIMIENTO'!#REF!</f>
        <v>#REF!</v>
      </c>
      <c r="E16" s="87" t="e">
        <f t="shared" si="1"/>
        <v>#REF!</v>
      </c>
      <c r="F16" s="1223"/>
      <c r="G16" s="1223"/>
      <c r="H16" s="1226"/>
      <c r="I16" s="154" t="e">
        <f>'ANEXO 1. MATRIZ DE SEGUIMIENTO'!#REF!</f>
        <v>#REF!</v>
      </c>
      <c r="J16" s="154" t="e">
        <f>'ANEXO 1. MATRIZ DE SEGUIMIENTO'!#REF!</f>
        <v>#REF!</v>
      </c>
      <c r="K16" s="187" t="e">
        <f>J16/I16*100</f>
        <v>#REF!</v>
      </c>
      <c r="O16" s="105">
        <v>0</v>
      </c>
    </row>
    <row r="17" spans="1:15" ht="60">
      <c r="A17" s="1269"/>
      <c r="B17" s="86" t="str">
        <f>[2]Hoja1!F174</f>
        <v>6.1.5 Impulso a la formación de veedores ambientales para forlatecer los sistemas de veedurias.</v>
      </c>
      <c r="C17" s="87" t="e">
        <f>'ANEXO 1. MATRIZ DE SEGUIMIENTO'!#REF!</f>
        <v>#REF!</v>
      </c>
      <c r="D17" s="87" t="e">
        <f>'ANEXO 1. MATRIZ DE SEGUIMIENTO'!#REF!</f>
        <v>#REF!</v>
      </c>
      <c r="E17" s="87" t="e">
        <f t="shared" si="1"/>
        <v>#REF!</v>
      </c>
      <c r="F17" s="1223"/>
      <c r="G17" s="1223"/>
      <c r="H17" s="1226"/>
      <c r="I17" s="154" t="e">
        <f>'ANEXO 1. MATRIZ DE SEGUIMIENTO'!#REF!</f>
        <v>#REF!</v>
      </c>
      <c r="J17" s="154" t="e">
        <f>'ANEXO 1. MATRIZ DE SEGUIMIENTO'!#REF!</f>
        <v>#REF!</v>
      </c>
      <c r="K17" s="187" t="e">
        <f>J17/I17*100</f>
        <v>#REF!</v>
      </c>
      <c r="O17" s="105">
        <v>0</v>
      </c>
    </row>
    <row r="18" spans="1:15" ht="90">
      <c r="A18" s="1269"/>
      <c r="B18" s="86" t="str">
        <f>[2]Hoja1!F175</f>
        <v>6.1.6 Conmemoraciones,  exaltaciones ambientales y formación de periodistas y comunicadores regionales para el fortalecimiento de la cultura ambiental.</v>
      </c>
      <c r="C18" s="87" t="e">
        <f>'ANEXO 1. MATRIZ DE SEGUIMIENTO'!#REF!</f>
        <v>#REF!</v>
      </c>
      <c r="D18" s="87" t="e">
        <f>'ANEXO 1. MATRIZ DE SEGUIMIENTO'!#REF!</f>
        <v>#REF!</v>
      </c>
      <c r="E18" s="87" t="e">
        <f t="shared" si="1"/>
        <v>#REF!</v>
      </c>
      <c r="F18" s="1223"/>
      <c r="G18" s="1223"/>
      <c r="H18" s="1226"/>
      <c r="I18" s="154" t="e">
        <f>'ANEXO 1. MATRIZ DE SEGUIMIENTO'!#REF!</f>
        <v>#REF!</v>
      </c>
      <c r="J18" s="154" t="e">
        <f>'ANEXO 1. MATRIZ DE SEGUIMIENTO'!#REF!</f>
        <v>#REF!</v>
      </c>
      <c r="K18" s="187" t="e">
        <f>J18/I18*100</f>
        <v>#REF!</v>
      </c>
      <c r="O18" s="105">
        <v>0</v>
      </c>
    </row>
    <row r="19" spans="1:15">
      <c r="A19" s="1269"/>
      <c r="B19" s="1263" t="str">
        <f>[2]Hoja1!F176</f>
        <v xml:space="preserve">6.1.7 Fortalecimiento del proceso de educación y comunicación del riesgo  </v>
      </c>
      <c r="C19" s="87" t="e">
        <f>'ANEXO 1. MATRIZ DE SEGUIMIENTO'!#REF!</f>
        <v>#REF!</v>
      </c>
      <c r="D19" s="87" t="e">
        <f>'ANEXO 1. MATRIZ DE SEGUIMIENTO'!#REF!</f>
        <v>#REF!</v>
      </c>
      <c r="E19" s="87" t="e">
        <f t="shared" si="1"/>
        <v>#REF!</v>
      </c>
      <c r="F19" s="1223"/>
      <c r="G19" s="1223"/>
      <c r="H19" s="1226"/>
      <c r="I19" s="1214" t="e">
        <f>'ANEXO 1. MATRIZ DE SEGUIMIENTO'!#REF!</f>
        <v>#REF!</v>
      </c>
      <c r="J19" s="1214" t="e">
        <f>'ANEXO 1. MATRIZ DE SEGUIMIENTO'!#REF!</f>
        <v>#REF!</v>
      </c>
      <c r="K19" s="1299" t="e">
        <f>J19/I19*100</f>
        <v>#REF!</v>
      </c>
      <c r="O19" s="105">
        <v>0</v>
      </c>
    </row>
    <row r="20" spans="1:15">
      <c r="A20" s="1269"/>
      <c r="B20" s="1263"/>
      <c r="C20" s="87" t="e">
        <f>'ANEXO 1. MATRIZ DE SEGUIMIENTO'!#REF!</f>
        <v>#REF!</v>
      </c>
      <c r="D20" s="87" t="e">
        <f>'ANEXO 1. MATRIZ DE SEGUIMIENTO'!#REF!</f>
        <v>#REF!</v>
      </c>
      <c r="E20" s="87" t="e">
        <f t="shared" si="1"/>
        <v>#REF!</v>
      </c>
      <c r="F20" s="1223"/>
      <c r="G20" s="1223"/>
      <c r="H20" s="1226"/>
      <c r="I20" s="1214"/>
      <c r="J20" s="1214"/>
      <c r="K20" s="1299"/>
      <c r="O20" s="105">
        <v>0</v>
      </c>
    </row>
    <row r="21" spans="1:15">
      <c r="A21" s="1269"/>
      <c r="B21" s="1263"/>
      <c r="C21" s="87" t="e">
        <f>'ANEXO 1. MATRIZ DE SEGUIMIENTO'!#REF!</f>
        <v>#REF!</v>
      </c>
      <c r="D21" s="87" t="e">
        <f>'ANEXO 1. MATRIZ DE SEGUIMIENTO'!#REF!</f>
        <v>#REF!</v>
      </c>
      <c r="E21" s="87" t="e">
        <f t="shared" si="1"/>
        <v>#REF!</v>
      </c>
      <c r="F21" s="1223"/>
      <c r="G21" s="1223"/>
      <c r="H21" s="1226"/>
      <c r="I21" s="1214"/>
      <c r="J21" s="1214"/>
      <c r="K21" s="1299"/>
      <c r="O21" s="105">
        <v>0</v>
      </c>
    </row>
    <row r="22" spans="1:15" ht="60">
      <c r="A22" s="1341"/>
      <c r="B22" s="91" t="str">
        <f>[2]Hoja1!F179</f>
        <v>6.1.8 Educación ambiental para la conservación de sitios turísticos o ecosistemas sensibles.</v>
      </c>
      <c r="C22" s="87" t="e">
        <f>'ANEXO 1. MATRIZ DE SEGUIMIENTO'!#REF!</f>
        <v>#REF!</v>
      </c>
      <c r="D22" s="87" t="e">
        <f>'ANEXO 1. MATRIZ DE SEGUIMIENTO'!#REF!</f>
        <v>#REF!</v>
      </c>
      <c r="E22" s="92" t="e">
        <f t="shared" si="1"/>
        <v>#REF!</v>
      </c>
      <c r="F22" s="1281"/>
      <c r="G22" s="1281"/>
      <c r="H22" s="1343"/>
      <c r="I22" s="157" t="e">
        <f>'ANEXO 1. MATRIZ DE SEGUIMIENTO'!#REF!</f>
        <v>#REF!</v>
      </c>
      <c r="J22" s="157" t="e">
        <f>'ANEXO 1. MATRIZ DE SEGUIMIENTO'!#REF!</f>
        <v>#REF!</v>
      </c>
      <c r="K22" s="203" t="e">
        <f>J22/I22*100</f>
        <v>#REF!</v>
      </c>
      <c r="O22" s="105">
        <v>0</v>
      </c>
    </row>
    <row r="23" spans="1:15">
      <c r="A23" s="1337" t="s">
        <v>336</v>
      </c>
      <c r="B23" s="1338"/>
      <c r="C23" s="204" t="e">
        <f>SUM(C5:C22)</f>
        <v>#REF!</v>
      </c>
      <c r="D23" s="204" t="e">
        <f>SUM(D5:D22)</f>
        <v>#REF!</v>
      </c>
      <c r="E23" s="205" t="e">
        <f>SUM(D23/C23*100)</f>
        <v>#REF!</v>
      </c>
      <c r="F23" s="205"/>
      <c r="G23" s="205"/>
      <c r="H23" s="205"/>
      <c r="I23" s="206" t="e">
        <f>SUM(I5:I22)</f>
        <v>#REF!</v>
      </c>
      <c r="J23" s="206" t="e">
        <f>SUM(J5:J22)</f>
        <v>#REF!</v>
      </c>
      <c r="K23" s="205" t="e">
        <f>SUM(J23/I23*100)</f>
        <v>#REF!</v>
      </c>
    </row>
  </sheetData>
  <mergeCells count="21">
    <mergeCell ref="F2:H2"/>
    <mergeCell ref="I2:K2"/>
    <mergeCell ref="F5:F22"/>
    <mergeCell ref="G5:G22"/>
    <mergeCell ref="H5:H22"/>
    <mergeCell ref="A23:B23"/>
    <mergeCell ref="P5:Q5"/>
    <mergeCell ref="A1:K1"/>
    <mergeCell ref="A3:A4"/>
    <mergeCell ref="B3:B4"/>
    <mergeCell ref="C3:E3"/>
    <mergeCell ref="A5:A22"/>
    <mergeCell ref="B6:B14"/>
    <mergeCell ref="I6:I14"/>
    <mergeCell ref="J6:J14"/>
    <mergeCell ref="K6:K14"/>
    <mergeCell ref="B19:B21"/>
    <mergeCell ref="I19:I21"/>
    <mergeCell ref="J19:J21"/>
    <mergeCell ref="K19:K21"/>
    <mergeCell ref="F3:K3"/>
  </mergeCells>
  <pageMargins left="0.70866141732283472" right="0.70866141732283472" top="0.74803149606299213" bottom="0.74803149606299213" header="0.31496062992125984" footer="0.31496062992125984"/>
  <pageSetup scale="85" orientation="landscape" verticalDpi="0" r:id="rId1"/>
  <ignoredErrors>
    <ignoredError sqref="E23" 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16" zoomScale="80" zoomScaleNormal="80" workbookViewId="0">
      <selection activeCell="H5" sqref="H5:H24"/>
    </sheetView>
  </sheetViews>
  <sheetFormatPr baseColWidth="10" defaultRowHeight="15"/>
  <cols>
    <col min="1" max="1" width="18.5703125" customWidth="1"/>
    <col min="2" max="2" width="24.5703125" customWidth="1"/>
    <col min="3" max="3" width="14.28515625" customWidth="1"/>
    <col min="4" max="4" width="13.5703125" customWidth="1"/>
    <col min="5" max="7" width="14.28515625" customWidth="1"/>
    <col min="8" max="8" width="15.28515625" customWidth="1"/>
    <col min="9" max="10" width="17.7109375" bestFit="1" customWidth="1"/>
    <col min="11" max="11" width="15.140625" customWidth="1"/>
  </cols>
  <sheetData>
    <row r="1" spans="1:15" ht="18.75">
      <c r="A1" s="1284" t="s">
        <v>341</v>
      </c>
      <c r="B1" s="1284"/>
      <c r="C1" s="1284"/>
      <c r="D1" s="1284"/>
      <c r="E1" s="1284"/>
      <c r="F1" s="1284"/>
      <c r="G1" s="1284"/>
      <c r="H1" s="1284"/>
      <c r="I1" s="1284"/>
      <c r="J1" s="1284"/>
      <c r="K1" s="1284"/>
    </row>
    <row r="2" spans="1:15" ht="21.75" thickBot="1">
      <c r="A2" s="152"/>
      <c r="B2" s="152"/>
      <c r="C2" s="152"/>
      <c r="D2" s="152"/>
      <c r="E2" s="152"/>
      <c r="F2" s="1204" t="str">
        <f>'P6'!F2:H2</f>
        <v>POR PROYECTO</v>
      </c>
      <c r="G2" s="1204"/>
      <c r="H2" s="1204"/>
      <c r="I2" s="1245" t="str">
        <f>'P6'!I2:K2</f>
        <v>POR ACTIVIDAD</v>
      </c>
      <c r="J2" s="1245"/>
      <c r="K2" s="1245"/>
    </row>
    <row r="3" spans="1:15">
      <c r="A3" s="1199" t="s">
        <v>327</v>
      </c>
      <c r="B3" s="1241" t="s">
        <v>21</v>
      </c>
      <c r="C3" s="1243" t="s">
        <v>328</v>
      </c>
      <c r="D3" s="1243"/>
      <c r="E3" s="1243"/>
      <c r="F3" s="249"/>
      <c r="G3" s="249"/>
      <c r="H3" s="249"/>
      <c r="I3" s="1243" t="s">
        <v>329</v>
      </c>
      <c r="J3" s="1243"/>
      <c r="K3" s="1244"/>
    </row>
    <row r="4" spans="1:15" ht="30.75" thickBot="1">
      <c r="A4" s="1200"/>
      <c r="B4" s="1280"/>
      <c r="C4" s="79" t="s">
        <v>330</v>
      </c>
      <c r="D4" s="79" t="s">
        <v>331</v>
      </c>
      <c r="E4" s="79" t="s">
        <v>332</v>
      </c>
      <c r="F4" s="259" t="str">
        <f>I4</f>
        <v xml:space="preserve">META PROGRAMADA </v>
      </c>
      <c r="G4" s="259" t="str">
        <f>J4</f>
        <v>META EJECUTADA</v>
      </c>
      <c r="H4" s="259" t="str">
        <f>K4</f>
        <v>PORCENTAJE EJECUCIÓN</v>
      </c>
      <c r="I4" s="80" t="s">
        <v>330</v>
      </c>
      <c r="J4" s="153" t="s">
        <v>331</v>
      </c>
      <c r="K4" s="81" t="s">
        <v>332</v>
      </c>
    </row>
    <row r="5" spans="1:15" ht="135" customHeight="1">
      <c r="A5" s="1294" t="str">
        <f>[2]Hoja1!C181</f>
        <v>7.1. Mejoramiento institucional a través de acciones de fortalecimiento que permitan aumentar la productividad y la prestación de servicios.</v>
      </c>
      <c r="B5" s="227" t="str">
        <f>[2]Hoja1!F182</f>
        <v>7.1.2 Apoyo profesional y técnico para la gestión misional de la Oficina de Control Interno</v>
      </c>
      <c r="C5" s="228" t="e">
        <f>'ANEXO 1. MATRIZ DE SEGUIMIENTO'!#REF!</f>
        <v>#REF!</v>
      </c>
      <c r="D5" s="228" t="e">
        <f>'ANEXO 1. MATRIZ DE SEGUIMIENTO'!#REF!</f>
        <v>#REF!</v>
      </c>
      <c r="E5" s="87" t="e">
        <f t="shared" ref="E5:E10" si="0">D5/C5*100</f>
        <v>#REF!</v>
      </c>
      <c r="F5" s="1357" t="e">
        <f>'ANEXO 1. MATRIZ DE SEGUIMIENTO'!#REF!</f>
        <v>#REF!</v>
      </c>
      <c r="G5" s="1357" t="e">
        <f>'ANEXO 1. MATRIZ DE SEGUIMIENTO'!#REF!</f>
        <v>#REF!</v>
      </c>
      <c r="H5" s="1360" t="e">
        <f>G5/F5*100</f>
        <v>#REF!</v>
      </c>
      <c r="I5" s="207" t="e">
        <f>'ANEXO 1. MATRIZ DE SEGUIMIENTO'!#REF!</f>
        <v>#REF!</v>
      </c>
      <c r="J5" s="207" t="e">
        <f>'ANEXO 1. MATRIZ DE SEGUIMIENTO'!#REF!</f>
        <v>#REF!</v>
      </c>
      <c r="K5" s="208" t="e">
        <f>J5/I5*100</f>
        <v>#REF!</v>
      </c>
      <c r="O5">
        <v>2</v>
      </c>
    </row>
    <row r="6" spans="1:15">
      <c r="A6" s="1295"/>
      <c r="B6" s="1263" t="str">
        <f>[2]Hoja1!F186</f>
        <v>7.1.6 Bienestar social de los funcionarios, capacitación, recreación y salud ocupacional</v>
      </c>
      <c r="C6" s="227" t="e">
        <f>'ANEXO 1. MATRIZ DE SEGUIMIENTO'!#REF!</f>
        <v>#REF!</v>
      </c>
      <c r="D6" s="227" t="e">
        <f>'ANEXO 1. MATRIZ DE SEGUIMIENTO'!#REF!</f>
        <v>#REF!</v>
      </c>
      <c r="E6" s="87" t="e">
        <f t="shared" si="0"/>
        <v>#REF!</v>
      </c>
      <c r="F6" s="1358"/>
      <c r="G6" s="1358"/>
      <c r="H6" s="1361"/>
      <c r="I6" s="1214" t="e">
        <f>'ANEXO 1. MATRIZ DE SEGUIMIENTO'!#REF!</f>
        <v>#REF!</v>
      </c>
      <c r="J6" s="1214" t="e">
        <f>'ANEXO 1. MATRIZ DE SEGUIMIENTO'!#REF!</f>
        <v>#REF!</v>
      </c>
      <c r="K6" s="1344" t="e">
        <f>J6/I6*100</f>
        <v>#REF!</v>
      </c>
      <c r="O6">
        <v>0</v>
      </c>
    </row>
    <row r="7" spans="1:15">
      <c r="A7" s="1295"/>
      <c r="B7" s="1263"/>
      <c r="C7" s="227" t="e">
        <f>'ANEXO 1. MATRIZ DE SEGUIMIENTO'!#REF!</f>
        <v>#REF!</v>
      </c>
      <c r="D7" s="227" t="e">
        <f>'ANEXO 1. MATRIZ DE SEGUIMIENTO'!#REF!</f>
        <v>#REF!</v>
      </c>
      <c r="E7" s="88" t="e">
        <f t="shared" si="0"/>
        <v>#REF!</v>
      </c>
      <c r="F7" s="1358"/>
      <c r="G7" s="1358"/>
      <c r="H7" s="1361"/>
      <c r="I7" s="1214"/>
      <c r="J7" s="1214"/>
      <c r="K7" s="1344"/>
      <c r="O7">
        <v>1</v>
      </c>
    </row>
    <row r="8" spans="1:15">
      <c r="A8" s="1295"/>
      <c r="B8" s="1263"/>
      <c r="C8" s="227" t="e">
        <f>'ANEXO 1. MATRIZ DE SEGUIMIENTO'!#REF!</f>
        <v>#REF!</v>
      </c>
      <c r="D8" s="227" t="e">
        <f>'ANEXO 1. MATRIZ DE SEGUIMIENTO'!#REF!</f>
        <v>#REF!</v>
      </c>
      <c r="E8" s="87" t="e">
        <f t="shared" si="0"/>
        <v>#REF!</v>
      </c>
      <c r="F8" s="1358"/>
      <c r="G8" s="1358"/>
      <c r="H8" s="1361"/>
      <c r="I8" s="1214"/>
      <c r="J8" s="1214"/>
      <c r="K8" s="1344"/>
      <c r="O8">
        <v>0</v>
      </c>
    </row>
    <row r="9" spans="1:15">
      <c r="A9" s="1295"/>
      <c r="B9" s="1263"/>
      <c r="C9" s="227" t="e">
        <f>'ANEXO 1. MATRIZ DE SEGUIMIENTO'!#REF!</f>
        <v>#REF!</v>
      </c>
      <c r="D9" s="227" t="e">
        <f>'ANEXO 1. MATRIZ DE SEGUIMIENTO'!#REF!</f>
        <v>#REF!</v>
      </c>
      <c r="E9" s="87" t="e">
        <f t="shared" si="0"/>
        <v>#REF!</v>
      </c>
      <c r="F9" s="1358"/>
      <c r="G9" s="1358"/>
      <c r="H9" s="1361"/>
      <c r="I9" s="1214"/>
      <c r="J9" s="1214"/>
      <c r="K9" s="1344"/>
      <c r="O9">
        <v>0</v>
      </c>
    </row>
    <row r="10" spans="1:15" ht="36" customHeight="1">
      <c r="A10" s="1295"/>
      <c r="B10" s="247" t="str">
        <f>[2]Hoja1!F190</f>
        <v>7.1.7 Adecuación, construcción, adquisición y/o mejoramiento de la infraestructura de la entidad.</v>
      </c>
      <c r="C10" s="227" t="e">
        <f>'ANEXO 1. MATRIZ DE SEGUIMIENTO'!#REF!</f>
        <v>#REF!</v>
      </c>
      <c r="D10" s="227" t="e">
        <f>'ANEXO 1. MATRIZ DE SEGUIMIENTO'!#REF!</f>
        <v>#REF!</v>
      </c>
      <c r="E10" s="87" t="e">
        <f t="shared" si="0"/>
        <v>#REF!</v>
      </c>
      <c r="F10" s="1358"/>
      <c r="G10" s="1358"/>
      <c r="H10" s="1361"/>
      <c r="I10" s="246" t="e">
        <f>'ANEXO 1. MATRIZ DE SEGUIMIENTO'!#REF!</f>
        <v>#REF!</v>
      </c>
      <c r="J10" s="246" t="e">
        <f>'ANEXO 1. MATRIZ DE SEGUIMIENTO'!#REF!</f>
        <v>#REF!</v>
      </c>
      <c r="K10" s="248" t="e">
        <f>J10/I10*100</f>
        <v>#REF!</v>
      </c>
      <c r="O10">
        <v>1</v>
      </c>
    </row>
    <row r="11" spans="1:15">
      <c r="A11" s="1295"/>
      <c r="B11" s="1263" t="str">
        <f>[2]Hoja1!F193</f>
        <v xml:space="preserve">7.1.8 Dotación y modernización de elementos y soportes fisicos de los espacios de trabajo según requerimientos y recursos disponibles. </v>
      </c>
      <c r="C11" s="227" t="e">
        <f>'ANEXO 1. MATRIZ DE SEGUIMIENTO'!#REF!</f>
        <v>#REF!</v>
      </c>
      <c r="D11" s="227" t="e">
        <f>'ANEXO 1. MATRIZ DE SEGUIMIENTO'!#REF!</f>
        <v>#REF!</v>
      </c>
      <c r="E11" s="87">
        <v>100</v>
      </c>
      <c r="F11" s="1358"/>
      <c r="G11" s="1358"/>
      <c r="H11" s="1361"/>
      <c r="I11" s="1214" t="e">
        <f>'ANEXO 1. MATRIZ DE SEGUIMIENTO'!#REF!</f>
        <v>#REF!</v>
      </c>
      <c r="J11" s="1214" t="e">
        <f>'ANEXO 1. MATRIZ DE SEGUIMIENTO'!#REF!</f>
        <v>#REF!</v>
      </c>
      <c r="K11" s="1344" t="e">
        <f>J11/I11*100</f>
        <v>#REF!</v>
      </c>
      <c r="O11">
        <v>0</v>
      </c>
    </row>
    <row r="12" spans="1:15" ht="93" customHeight="1">
      <c r="A12" s="1295"/>
      <c r="B12" s="1263"/>
      <c r="C12" s="227" t="e">
        <f>'ANEXO 1. MATRIZ DE SEGUIMIENTO'!#REF!</f>
        <v>#REF!</v>
      </c>
      <c r="D12" s="227" t="e">
        <f>'ANEXO 1. MATRIZ DE SEGUIMIENTO'!#REF!</f>
        <v>#REF!</v>
      </c>
      <c r="E12" s="160">
        <v>100</v>
      </c>
      <c r="F12" s="1358"/>
      <c r="G12" s="1358"/>
      <c r="H12" s="1361"/>
      <c r="I12" s="1214"/>
      <c r="J12" s="1214"/>
      <c r="K12" s="1344"/>
      <c r="O12">
        <v>0</v>
      </c>
    </row>
    <row r="13" spans="1:15" ht="93.75" customHeight="1">
      <c r="A13" s="1295"/>
      <c r="B13" s="227" t="str">
        <f>[2]Hoja1!F195</f>
        <v>7.1.9 Fortalecimiento del SINA a través de la cooperación institucional con ASOCARS, Unidad de Enlace SNSM y SIRAP Caribe.</v>
      </c>
      <c r="C13" s="227" t="e">
        <f>'ANEXO 1. MATRIZ DE SEGUIMIENTO'!#REF!</f>
        <v>#REF!</v>
      </c>
      <c r="D13" s="227" t="e">
        <f>'ANEXO 1. MATRIZ DE SEGUIMIENTO'!#REF!</f>
        <v>#REF!</v>
      </c>
      <c r="E13" s="87" t="e">
        <f>D13/C13*100</f>
        <v>#REF!</v>
      </c>
      <c r="F13" s="1358"/>
      <c r="G13" s="1358"/>
      <c r="H13" s="1361"/>
      <c r="I13" s="154" t="e">
        <f>'ANEXO 1. MATRIZ DE SEGUIMIENTO'!#REF!</f>
        <v>#REF!</v>
      </c>
      <c r="J13" s="154" t="e">
        <f>'ANEXO 1. MATRIZ DE SEGUIMIENTO'!#REF!</f>
        <v>#REF!</v>
      </c>
      <c r="K13" s="208" t="e">
        <f>J13/I13*100</f>
        <v>#REF!</v>
      </c>
      <c r="O13">
        <v>0.5</v>
      </c>
    </row>
    <row r="14" spans="1:15">
      <c r="A14" s="1295"/>
      <c r="B14" s="1263" t="str">
        <f>[2]Hoja1!F196</f>
        <v>7.1.10 Fortalecimiento de la gestión mediante el apoyo asistencial, técnico, profesional y especializado.</v>
      </c>
      <c r="C14" s="1345" t="e">
        <f>'ANEXO 1. MATRIZ DE SEGUIMIENTO'!#REF!</f>
        <v>#REF!</v>
      </c>
      <c r="D14" s="1345" t="e">
        <f>'ANEXO 1. MATRIZ DE SEGUIMIENTO'!#REF!</f>
        <v>#REF!</v>
      </c>
      <c r="E14" s="1345" t="e">
        <f t="shared" ref="E14:E24" si="1">D14/C14*100</f>
        <v>#REF!</v>
      </c>
      <c r="F14" s="1358"/>
      <c r="G14" s="1358"/>
      <c r="H14" s="1361"/>
      <c r="I14" s="1214" t="e">
        <f>'ANEXO 1. MATRIZ DE SEGUIMIENTO'!#REF!</f>
        <v>#REF!</v>
      </c>
      <c r="J14" s="1214" t="e">
        <f>'ANEXO 1. MATRIZ DE SEGUIMIENTO'!#REF!</f>
        <v>#REF!</v>
      </c>
      <c r="K14" s="1351" t="e">
        <f>J14/I14*100</f>
        <v>#REF!</v>
      </c>
      <c r="O14">
        <v>12</v>
      </c>
    </row>
    <row r="15" spans="1:15">
      <c r="A15" s="1295"/>
      <c r="B15" s="1263"/>
      <c r="C15" s="1346"/>
      <c r="D15" s="1346"/>
      <c r="E15" s="1346"/>
      <c r="F15" s="1358"/>
      <c r="G15" s="1358"/>
      <c r="H15" s="1361"/>
      <c r="I15" s="1214"/>
      <c r="J15" s="1214"/>
      <c r="K15" s="1351"/>
      <c r="O15">
        <v>1</v>
      </c>
    </row>
    <row r="16" spans="1:15">
      <c r="A16" s="1295"/>
      <c r="B16" s="1263"/>
      <c r="C16" s="1346"/>
      <c r="D16" s="1346"/>
      <c r="E16" s="1346"/>
      <c r="F16" s="1358"/>
      <c r="G16" s="1358"/>
      <c r="H16" s="1361"/>
      <c r="I16" s="1214"/>
      <c r="J16" s="1214"/>
      <c r="K16" s="1351"/>
      <c r="O16">
        <v>7</v>
      </c>
    </row>
    <row r="17" spans="1:15">
      <c r="A17" s="1295"/>
      <c r="B17" s="1263"/>
      <c r="C17" s="1346"/>
      <c r="D17" s="1346"/>
      <c r="E17" s="1346"/>
      <c r="F17" s="1358"/>
      <c r="G17" s="1358"/>
      <c r="H17" s="1361"/>
      <c r="I17" s="1214"/>
      <c r="J17" s="1214"/>
      <c r="K17" s="1351"/>
      <c r="O17">
        <v>2</v>
      </c>
    </row>
    <row r="18" spans="1:15" ht="15.75" thickBot="1">
      <c r="A18" s="1296"/>
      <c r="B18" s="1350"/>
      <c r="C18" s="1347"/>
      <c r="D18" s="1347"/>
      <c r="E18" s="1347"/>
      <c r="F18" s="1358"/>
      <c r="G18" s="1358"/>
      <c r="H18" s="1361"/>
      <c r="I18" s="1218"/>
      <c r="J18" s="1218"/>
      <c r="K18" s="1352"/>
      <c r="O18">
        <v>7</v>
      </c>
    </row>
    <row r="19" spans="1:15" ht="84" customHeight="1">
      <c r="A19" s="1353" t="str">
        <f>A5</f>
        <v>7.1. Mejoramiento institucional a través de acciones de fortalecimiento que permitan aumentar la productividad y la prestación de servicios.</v>
      </c>
      <c r="B19" s="126" t="str">
        <f>[2]Hoja1!F201</f>
        <v>7.1.11 Implementación,  operación e interporalización con otras entidades del SINA y el SIPGA del SIA_SIG.</v>
      </c>
      <c r="C19" s="87" t="e">
        <f>'ANEXO 1. MATRIZ DE SEGUIMIENTO'!#REF!</f>
        <v>#REF!</v>
      </c>
      <c r="D19" s="87" t="e">
        <f>'ANEXO 1. MATRIZ DE SEGUIMIENTO'!#REF!</f>
        <v>#REF!</v>
      </c>
      <c r="E19" s="127" t="e">
        <f t="shared" si="1"/>
        <v>#REF!</v>
      </c>
      <c r="F19" s="1358"/>
      <c r="G19" s="1358"/>
      <c r="H19" s="1361"/>
      <c r="I19" s="163" t="e">
        <f>'ANEXO 1. MATRIZ DE SEGUIMIENTO'!#REF!</f>
        <v>#REF!</v>
      </c>
      <c r="J19" s="163" t="e">
        <f>'ANEXO 1. MATRIZ DE SEGUIMIENTO'!#REF!</f>
        <v>#REF!</v>
      </c>
      <c r="K19" s="236" t="e">
        <f>J19/I19*100</f>
        <v>#REF!</v>
      </c>
      <c r="O19">
        <v>0</v>
      </c>
    </row>
    <row r="20" spans="1:15" ht="171.75" customHeight="1">
      <c r="A20" s="1353"/>
      <c r="B20" s="86" t="str">
        <f>[2]Hoja1!F202</f>
        <v xml:space="preserve">7.1.12 Operación del Gestor integral del banco de proyectos  Implementado para fortalecer el proceso de formulación,  seguimiento informes internos y a entes de Control (auditorías, plan de mejoramiento, otros) con todos los involucrados.  </v>
      </c>
      <c r="C20" s="87" t="e">
        <f>'ANEXO 1. MATRIZ DE SEGUIMIENTO'!#REF!</f>
        <v>#REF!</v>
      </c>
      <c r="D20" s="87" t="e">
        <f>'ANEXO 1. MATRIZ DE SEGUIMIENTO'!#REF!</f>
        <v>#REF!</v>
      </c>
      <c r="E20" s="87" t="e">
        <f>D20/C20*100</f>
        <v>#REF!</v>
      </c>
      <c r="F20" s="1358"/>
      <c r="G20" s="1358"/>
      <c r="H20" s="1361"/>
      <c r="I20" s="154" t="e">
        <f>'ANEXO 1. MATRIZ DE SEGUIMIENTO'!#REF!</f>
        <v>#REF!</v>
      </c>
      <c r="J20" s="154" t="e">
        <f>'ANEXO 1. MATRIZ DE SEGUIMIENTO'!#REF!</f>
        <v>#REF!</v>
      </c>
      <c r="K20" s="209" t="e">
        <f>J20/I20*100</f>
        <v>#REF!</v>
      </c>
      <c r="O20">
        <v>0.4</v>
      </c>
    </row>
    <row r="21" spans="1:15" ht="222.75" customHeight="1">
      <c r="A21" s="1353"/>
      <c r="B21" s="86" t="str">
        <f>[2]Hoja1!F203</f>
        <v>7.1.13 Fortalecimiento de la gestión ambiental mediante la adquisición de equipos, instalación, construcción y/u operación de equipos, elementos e infraestructuras para el desarrollo de la investigación, monitoreo, control, seguimiento, mejoramiento y rehabilitación de los recursos naturales y el medio ambiente.</v>
      </c>
      <c r="C21" s="87" t="e">
        <f>'ANEXO 1. MATRIZ DE SEGUIMIENTO'!#REF!</f>
        <v>#REF!</v>
      </c>
      <c r="D21" s="87" t="e">
        <f>'ANEXO 1. MATRIZ DE SEGUIMIENTO'!#REF!</f>
        <v>#REF!</v>
      </c>
      <c r="E21" s="87" t="e">
        <f>D21/C21*100</f>
        <v>#REF!</v>
      </c>
      <c r="F21" s="1358"/>
      <c r="G21" s="1358"/>
      <c r="H21" s="1361"/>
      <c r="I21" s="154" t="e">
        <f>'ANEXO 1. MATRIZ DE SEGUIMIENTO'!#REF!</f>
        <v>#REF!</v>
      </c>
      <c r="J21" s="154" t="e">
        <f>'ANEXO 1. MATRIZ DE SEGUIMIENTO'!#REF!</f>
        <v>#REF!</v>
      </c>
      <c r="K21" s="209" t="e">
        <f>J21/I21*100</f>
        <v>#REF!</v>
      </c>
      <c r="O21">
        <v>0</v>
      </c>
    </row>
    <row r="22" spans="1:15">
      <c r="A22" s="1353"/>
      <c r="B22" s="1263" t="str">
        <f>[2]Hoja1!F205</f>
        <v>7.1.15 Implementación o apoyo a la conformación del centro de documentación y archivo.</v>
      </c>
      <c r="C22" s="87" t="e">
        <f>'ANEXO 1. MATRIZ DE SEGUIMIENTO'!#REF!</f>
        <v>#REF!</v>
      </c>
      <c r="D22" s="87" t="e">
        <f>'ANEXO 1. MATRIZ DE SEGUIMIENTO'!#REF!</f>
        <v>#REF!</v>
      </c>
      <c r="E22" s="87" t="e">
        <f t="shared" si="1"/>
        <v>#REF!</v>
      </c>
      <c r="F22" s="1358"/>
      <c r="G22" s="1358"/>
      <c r="H22" s="1361"/>
      <c r="I22" s="1214" t="e">
        <f>'ANEXO 1. MATRIZ DE SEGUIMIENTO'!#REF!</f>
        <v>#REF!</v>
      </c>
      <c r="J22" s="1214" t="e">
        <f>'ANEXO 1. MATRIZ DE SEGUIMIENTO'!#REF!</f>
        <v>#REF!</v>
      </c>
      <c r="K22" s="1355" t="e">
        <f>J22/I22*100</f>
        <v>#REF!</v>
      </c>
      <c r="O22">
        <v>0</v>
      </c>
    </row>
    <row r="23" spans="1:15" ht="77.25" customHeight="1">
      <c r="A23" s="1353"/>
      <c r="B23" s="1263"/>
      <c r="C23" s="87" t="e">
        <f>'ANEXO 1. MATRIZ DE SEGUIMIENTO'!#REF!</f>
        <v>#REF!</v>
      </c>
      <c r="D23" s="87" t="e">
        <f>'ANEXO 1. MATRIZ DE SEGUIMIENTO'!#REF!</f>
        <v>#REF!</v>
      </c>
      <c r="E23" s="87" t="e">
        <f t="shared" si="1"/>
        <v>#REF!</v>
      </c>
      <c r="F23" s="1358"/>
      <c r="G23" s="1358"/>
      <c r="H23" s="1361"/>
      <c r="I23" s="1214"/>
      <c r="J23" s="1214"/>
      <c r="K23" s="1356"/>
      <c r="O23">
        <v>1</v>
      </c>
    </row>
    <row r="24" spans="1:15" ht="45">
      <c r="A24" s="1354"/>
      <c r="B24" s="91" t="str">
        <f>[2]Hoja1!F207</f>
        <v>7.1.16 Consultoría para interventoría de proyectos.</v>
      </c>
      <c r="C24" s="87" t="e">
        <f>'ANEXO 1. MATRIZ DE SEGUIMIENTO'!#REF!</f>
        <v>#REF!</v>
      </c>
      <c r="D24" s="92" t="e">
        <f>'ANEXO 1. MATRIZ DE SEGUIMIENTO'!#REF!</f>
        <v>#REF!</v>
      </c>
      <c r="E24" s="92" t="e">
        <f t="shared" si="1"/>
        <v>#REF!</v>
      </c>
      <c r="F24" s="1359"/>
      <c r="G24" s="1359"/>
      <c r="H24" s="1362"/>
      <c r="I24" s="93" t="e">
        <f>'ANEXO 1. MATRIZ DE SEGUIMIENTO'!#REF!</f>
        <v>#REF!</v>
      </c>
      <c r="J24" s="93" t="e">
        <f>'ANEXO 1. MATRIZ DE SEGUIMIENTO'!#REF!</f>
        <v>#REF!</v>
      </c>
      <c r="K24" s="94" t="e">
        <f>J24/I24*100</f>
        <v>#REF!</v>
      </c>
      <c r="O24">
        <v>0</v>
      </c>
    </row>
    <row r="25" spans="1:15">
      <c r="A25" s="1348" t="s">
        <v>336</v>
      </c>
      <c r="B25" s="1349"/>
      <c r="C25" s="204" t="e">
        <f>SUM(C5:C24)</f>
        <v>#REF!</v>
      </c>
      <c r="D25" s="204" t="e">
        <f>SUM(D5:D24)</f>
        <v>#REF!</v>
      </c>
      <c r="E25" s="205" t="e">
        <f>SUM(D25/C25*100)</f>
        <v>#REF!</v>
      </c>
      <c r="F25" s="205"/>
      <c r="G25" s="205"/>
      <c r="H25" s="205"/>
      <c r="I25" s="206" t="e">
        <f>SUM(I5:I24)</f>
        <v>#REF!</v>
      </c>
      <c r="J25" s="206" t="e">
        <f>SUM(J5:J24)</f>
        <v>#REF!</v>
      </c>
      <c r="K25" s="205" t="e">
        <f>SUM(J25/I25*100)</f>
        <v>#REF!</v>
      </c>
    </row>
  </sheetData>
  <mergeCells count="32">
    <mergeCell ref="A25:B25"/>
    <mergeCell ref="B14:B18"/>
    <mergeCell ref="I14:I18"/>
    <mergeCell ref="J14:J18"/>
    <mergeCell ref="K14:K18"/>
    <mergeCell ref="A19:A24"/>
    <mergeCell ref="B22:B23"/>
    <mergeCell ref="I22:I23"/>
    <mergeCell ref="J22:J23"/>
    <mergeCell ref="K22:K23"/>
    <mergeCell ref="F5:F24"/>
    <mergeCell ref="G5:G24"/>
    <mergeCell ref="H5:H24"/>
    <mergeCell ref="B6:B9"/>
    <mergeCell ref="I6:I9"/>
    <mergeCell ref="J6:J9"/>
    <mergeCell ref="A1:K1"/>
    <mergeCell ref="A3:A4"/>
    <mergeCell ref="B3:B4"/>
    <mergeCell ref="C3:E3"/>
    <mergeCell ref="I3:K3"/>
    <mergeCell ref="F2:H2"/>
    <mergeCell ref="I2:K2"/>
    <mergeCell ref="K6:K9"/>
    <mergeCell ref="A5:A18"/>
    <mergeCell ref="B11:B12"/>
    <mergeCell ref="I11:I12"/>
    <mergeCell ref="J11:J12"/>
    <mergeCell ref="K11:K12"/>
    <mergeCell ref="C14:C18"/>
    <mergeCell ref="D14:D18"/>
    <mergeCell ref="E14:E18"/>
  </mergeCells>
  <printOptions horizontalCentered="1"/>
  <pageMargins left="0.70866141732283472" right="0.70866141732283472" top="0.74803149606299213" bottom="0.74803149606299213" header="0.31496062992125984" footer="0.31496062992125984"/>
  <pageSetup scale="8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46"/>
  <sheetViews>
    <sheetView zoomScale="85" zoomScaleNormal="85" workbookViewId="0">
      <selection activeCell="F31" sqref="F31"/>
    </sheetView>
  </sheetViews>
  <sheetFormatPr baseColWidth="10" defaultRowHeight="15"/>
  <cols>
    <col min="2" max="2" width="20" customWidth="1"/>
    <col min="5" max="5" width="18.85546875" bestFit="1" customWidth="1"/>
    <col min="6" max="6" width="24.28515625" bestFit="1" customWidth="1"/>
  </cols>
  <sheetData>
    <row r="1" spans="2:9" ht="15" customHeight="1">
      <c r="B1" s="213"/>
      <c r="C1" s="213"/>
      <c r="D1" s="213"/>
      <c r="E1" s="213"/>
      <c r="F1" s="213"/>
      <c r="G1" s="213"/>
      <c r="H1" s="213"/>
      <c r="I1" s="213"/>
    </row>
    <row r="2" spans="2:9" ht="21" customHeight="1">
      <c r="B2" s="213" t="s">
        <v>326</v>
      </c>
      <c r="C2" s="213"/>
      <c r="D2" s="213"/>
      <c r="E2" s="213"/>
      <c r="F2" s="213"/>
      <c r="G2" s="213"/>
      <c r="H2" s="213"/>
      <c r="I2" s="213"/>
    </row>
    <row r="3" spans="2:9" ht="23.25">
      <c r="B3" s="210"/>
      <c r="C3" s="210"/>
      <c r="D3" s="212"/>
      <c r="E3" s="212"/>
      <c r="F3" s="212"/>
      <c r="G3" s="210"/>
      <c r="H3" s="210"/>
      <c r="I3" s="210"/>
    </row>
    <row r="5" spans="2:9">
      <c r="E5" s="28" t="s">
        <v>342</v>
      </c>
      <c r="F5" s="28" t="s">
        <v>343</v>
      </c>
    </row>
    <row r="6" spans="2:9">
      <c r="B6" t="s">
        <v>214</v>
      </c>
      <c r="C6" t="s">
        <v>344</v>
      </c>
      <c r="E6">
        <f>'P1'!E5</f>
        <v>0</v>
      </c>
      <c r="F6">
        <f>'P1'!K5</f>
        <v>0</v>
      </c>
    </row>
    <row r="7" spans="2:9">
      <c r="B7" t="s">
        <v>218</v>
      </c>
      <c r="C7" t="s">
        <v>345</v>
      </c>
      <c r="E7">
        <f>'P1'!E6</f>
        <v>0</v>
      </c>
      <c r="F7">
        <f>'P1'!K6</f>
        <v>0</v>
      </c>
    </row>
    <row r="8" spans="2:9">
      <c r="B8" t="s">
        <v>215</v>
      </c>
      <c r="C8" t="s">
        <v>346</v>
      </c>
      <c r="E8" s="77">
        <f>'P1'!E7</f>
        <v>100</v>
      </c>
      <c r="F8" s="217">
        <f>'P1'!K7</f>
        <v>5</v>
      </c>
    </row>
    <row r="9" spans="2:9">
      <c r="B9" t="s">
        <v>216</v>
      </c>
      <c r="C9" t="s">
        <v>347</v>
      </c>
      <c r="E9" t="e">
        <f>'P1'!E8</f>
        <v>#REF!</v>
      </c>
      <c r="F9" t="e">
        <f>'P1'!K8</f>
        <v>#REF!</v>
      </c>
    </row>
    <row r="10" spans="2:9">
      <c r="B10" t="s">
        <v>217</v>
      </c>
      <c r="C10" t="s">
        <v>348</v>
      </c>
      <c r="E10" s="225">
        <f>'P1'!E9</f>
        <v>100</v>
      </c>
      <c r="F10" t="e">
        <f>'P1'!K9</f>
        <v>#REF!</v>
      </c>
    </row>
    <row r="11" spans="2:9">
      <c r="B11" t="s">
        <v>219</v>
      </c>
      <c r="C11" t="s">
        <v>349</v>
      </c>
      <c r="E11">
        <f>'P1'!E10</f>
        <v>100</v>
      </c>
      <c r="F11" t="e">
        <f>'P1'!K10</f>
        <v>#REF!</v>
      </c>
    </row>
    <row r="12" spans="2:9">
      <c r="B12" t="s">
        <v>221</v>
      </c>
      <c r="C12" t="s">
        <v>350</v>
      </c>
      <c r="E12">
        <f>'P1'!E11</f>
        <v>100</v>
      </c>
      <c r="F12" t="e">
        <f>'P1'!K11</f>
        <v>#REF!</v>
      </c>
    </row>
    <row r="13" spans="2:9">
      <c r="B13" t="s">
        <v>222</v>
      </c>
      <c r="C13" t="s">
        <v>351</v>
      </c>
      <c r="E13">
        <f>'P1'!E12</f>
        <v>100</v>
      </c>
      <c r="F13" t="e">
        <f>'P1'!K12</f>
        <v>#REF!</v>
      </c>
    </row>
    <row r="14" spans="2:9">
      <c r="E14">
        <f>'P1'!E13</f>
        <v>0</v>
      </c>
    </row>
    <row r="15" spans="2:9">
      <c r="B15" t="s">
        <v>223</v>
      </c>
      <c r="C15" t="s">
        <v>352</v>
      </c>
      <c r="E15">
        <f>'P1'!E14</f>
        <v>100</v>
      </c>
      <c r="F15" t="e">
        <f>'P1'!K14</f>
        <v>#REF!</v>
      </c>
    </row>
    <row r="16" spans="2:9">
      <c r="B16" t="s">
        <v>224</v>
      </c>
      <c r="C16" t="s">
        <v>353</v>
      </c>
      <c r="E16" t="e">
        <f>'P1'!E15</f>
        <v>#REF!</v>
      </c>
      <c r="F16" t="e">
        <f>'P1'!K15</f>
        <v>#REF!</v>
      </c>
    </row>
    <row r="17" spans="2:9">
      <c r="B17" t="s">
        <v>225</v>
      </c>
      <c r="C17" t="s">
        <v>449</v>
      </c>
      <c r="E17" t="e">
        <f>'P1'!E16</f>
        <v>#REF!</v>
      </c>
      <c r="F17" t="e">
        <f>'P1'!K16</f>
        <v>#REF!</v>
      </c>
    </row>
    <row r="18" spans="2:9">
      <c r="B18" t="s">
        <v>226</v>
      </c>
      <c r="C18" t="s">
        <v>450</v>
      </c>
      <c r="E18">
        <f>'P1'!E17</f>
        <v>100</v>
      </c>
      <c r="F18" t="e">
        <f>'P1'!K17</f>
        <v>#REF!</v>
      </c>
    </row>
    <row r="30" spans="2:9" ht="15" customHeight="1">
      <c r="B30" s="214"/>
      <c r="C30" s="214"/>
      <c r="D30" s="214"/>
      <c r="E30" s="214"/>
      <c r="F30" s="214"/>
      <c r="G30" s="214"/>
      <c r="H30" s="214"/>
      <c r="I30" s="214"/>
    </row>
    <row r="31" spans="2:9" ht="15" customHeight="1">
      <c r="B31" s="214"/>
      <c r="C31" s="214"/>
      <c r="D31" s="214"/>
      <c r="E31" s="214"/>
      <c r="F31" s="214"/>
      <c r="G31" s="214"/>
      <c r="H31" s="214"/>
      <c r="I31" s="214"/>
    </row>
    <row r="32" spans="2:9" ht="15.75">
      <c r="B32" s="211"/>
      <c r="C32" s="211"/>
      <c r="D32" s="211"/>
      <c r="E32" s="212"/>
      <c r="F32" s="212"/>
      <c r="G32" s="211"/>
      <c r="H32" s="211"/>
      <c r="I32" s="211"/>
    </row>
    <row r="39" spans="2:6">
      <c r="B39" s="28" t="s">
        <v>335</v>
      </c>
    </row>
    <row r="40" spans="2:6">
      <c r="E40" s="28" t="s">
        <v>342</v>
      </c>
      <c r="F40" s="28" t="s">
        <v>343</v>
      </c>
    </row>
    <row r="41" spans="2:6">
      <c r="B41" t="s">
        <v>227</v>
      </c>
      <c r="C41" t="s">
        <v>354</v>
      </c>
      <c r="E41">
        <f>'P2'!E5</f>
        <v>100</v>
      </c>
      <c r="F41" t="e">
        <f>'P2'!K5</f>
        <v>#REF!</v>
      </c>
    </row>
    <row r="42" spans="2:6">
      <c r="B42" t="s">
        <v>228</v>
      </c>
      <c r="C42" t="s">
        <v>355</v>
      </c>
      <c r="E42" t="e">
        <f>'P2'!E6</f>
        <v>#REF!</v>
      </c>
      <c r="F42">
        <f>'P2'!K6</f>
        <v>0</v>
      </c>
    </row>
    <row r="43" spans="2:6">
      <c r="B43" t="s">
        <v>229</v>
      </c>
      <c r="C43" t="s">
        <v>356</v>
      </c>
      <c r="E43" t="e">
        <f>'P2'!E7</f>
        <v>#REF!</v>
      </c>
      <c r="F43" t="e">
        <f>'P2'!K7</f>
        <v>#REF!</v>
      </c>
    </row>
    <row r="44" spans="2:6">
      <c r="B44" t="s">
        <v>230</v>
      </c>
      <c r="C44" t="s">
        <v>357</v>
      </c>
      <c r="E44" t="e">
        <f>'P2'!E8</f>
        <v>#REF!</v>
      </c>
      <c r="F44" t="e">
        <f>'P2'!K8</f>
        <v>#REF!</v>
      </c>
    </row>
    <row r="45" spans="2:6">
      <c r="B45" t="s">
        <v>231</v>
      </c>
      <c r="C45" t="s">
        <v>358</v>
      </c>
      <c r="E45">
        <f>'P2'!E9</f>
        <v>0</v>
      </c>
      <c r="F45">
        <f>'P2'!K9</f>
        <v>0</v>
      </c>
    </row>
    <row r="46" spans="2:6">
      <c r="B46" t="s">
        <v>232</v>
      </c>
      <c r="C46" t="s">
        <v>359</v>
      </c>
      <c r="E46" t="e">
        <f>'P2'!E10</f>
        <v>#REF!</v>
      </c>
      <c r="F46" t="e">
        <f>'P2'!K10</f>
        <v>#REF!</v>
      </c>
    </row>
    <row r="47" spans="2:6">
      <c r="B47" t="s">
        <v>233</v>
      </c>
      <c r="C47" t="s">
        <v>360</v>
      </c>
      <c r="E47" t="e">
        <f>'P2'!E11</f>
        <v>#REF!</v>
      </c>
      <c r="F47" t="e">
        <f>'P2'!K11</f>
        <v>#REF!</v>
      </c>
    </row>
    <row r="48" spans="2:6">
      <c r="B48" t="s">
        <v>234</v>
      </c>
      <c r="C48" t="s">
        <v>361</v>
      </c>
      <c r="E48" t="e">
        <f>'P2'!E12</f>
        <v>#REF!</v>
      </c>
      <c r="F48" t="e">
        <f>'P2'!K12</f>
        <v>#REF!</v>
      </c>
    </row>
    <row r="49" spans="2:6">
      <c r="B49" t="s">
        <v>235</v>
      </c>
      <c r="C49" t="s">
        <v>362</v>
      </c>
      <c r="E49" t="e">
        <f>'P2'!E13</f>
        <v>#REF!</v>
      </c>
      <c r="F49" t="e">
        <f>'P2'!K13</f>
        <v>#REF!</v>
      </c>
    </row>
    <row r="50" spans="2:6">
      <c r="B50" t="s">
        <v>236</v>
      </c>
      <c r="C50" t="s">
        <v>363</v>
      </c>
      <c r="E50" t="e">
        <f>'P2'!E14</f>
        <v>#REF!</v>
      </c>
      <c r="F50" t="e">
        <f>'P2'!K14</f>
        <v>#REF!</v>
      </c>
    </row>
    <row r="51" spans="2:6">
      <c r="B51" t="s">
        <v>237</v>
      </c>
      <c r="C51" t="s">
        <v>364</v>
      </c>
      <c r="E51">
        <f>'P2'!E15</f>
        <v>0</v>
      </c>
      <c r="F51">
        <f>'P2'!K15</f>
        <v>0</v>
      </c>
    </row>
    <row r="52" spans="2:6">
      <c r="B52" t="s">
        <v>238</v>
      </c>
      <c r="C52" t="s">
        <v>365</v>
      </c>
      <c r="E52">
        <f>'P2'!E16</f>
        <v>100</v>
      </c>
      <c r="F52" t="e">
        <f>'P2'!K16</f>
        <v>#REF!</v>
      </c>
    </row>
    <row r="53" spans="2:6">
      <c r="B53" t="s">
        <v>239</v>
      </c>
      <c r="C53" t="s">
        <v>366</v>
      </c>
      <c r="E53" t="e">
        <f>'P2'!E17</f>
        <v>#REF!</v>
      </c>
      <c r="F53" t="e">
        <f>'P2'!K17</f>
        <v>#REF!</v>
      </c>
    </row>
    <row r="54" spans="2:6">
      <c r="B54" t="s">
        <v>240</v>
      </c>
      <c r="C54" t="s">
        <v>367</v>
      </c>
      <c r="E54" s="77">
        <f>'P2'!E18</f>
        <v>100</v>
      </c>
      <c r="F54" t="e">
        <f>'P2'!K18</f>
        <v>#REF!</v>
      </c>
    </row>
    <row r="55" spans="2:6">
      <c r="B55" t="s">
        <v>241</v>
      </c>
      <c r="C55" t="s">
        <v>368</v>
      </c>
      <c r="E55" t="e">
        <f>'P2'!E19</f>
        <v>#REF!</v>
      </c>
      <c r="F55" t="e">
        <f>'P2'!K19</f>
        <v>#REF!</v>
      </c>
    </row>
    <row r="56" spans="2:6">
      <c r="B56" t="s">
        <v>242</v>
      </c>
      <c r="C56" t="s">
        <v>369</v>
      </c>
      <c r="E56" t="e">
        <f>'P2'!E20</f>
        <v>#REF!</v>
      </c>
      <c r="F56" t="e">
        <f>'P2'!K20</f>
        <v>#REF!</v>
      </c>
    </row>
    <row r="57" spans="2:6">
      <c r="B57" t="s">
        <v>243</v>
      </c>
      <c r="C57" t="s">
        <v>370</v>
      </c>
      <c r="E57" t="e">
        <f>'P2'!E21</f>
        <v>#REF!</v>
      </c>
      <c r="F57" t="e">
        <f>'P2'!K21</f>
        <v>#REF!</v>
      </c>
    </row>
    <row r="58" spans="2:6">
      <c r="B58" t="s">
        <v>244</v>
      </c>
      <c r="C58" t="s">
        <v>371</v>
      </c>
      <c r="E58" t="e">
        <f>'P2'!E22</f>
        <v>#REF!</v>
      </c>
      <c r="F58" t="e">
        <f>'P2'!K22</f>
        <v>#REF!</v>
      </c>
    </row>
    <row r="59" spans="2:6">
      <c r="B59" t="s">
        <v>245</v>
      </c>
      <c r="C59" t="s">
        <v>372</v>
      </c>
      <c r="E59" t="e">
        <f>'P2'!E23</f>
        <v>#REF!</v>
      </c>
      <c r="F59" t="e">
        <f>'P2'!K23</f>
        <v>#REF!</v>
      </c>
    </row>
    <row r="60" spans="2:6">
      <c r="B60" t="s">
        <v>246</v>
      </c>
      <c r="C60" t="s">
        <v>373</v>
      </c>
      <c r="E60" t="e">
        <f>'P2'!E24</f>
        <v>#REF!</v>
      </c>
      <c r="F60" t="e">
        <f>'P2'!K24</f>
        <v>#REF!</v>
      </c>
    </row>
    <row r="61" spans="2:6">
      <c r="B61" t="s">
        <v>247</v>
      </c>
      <c r="C61" t="s">
        <v>374</v>
      </c>
      <c r="E61" t="e">
        <f>'P2'!E25</f>
        <v>#REF!</v>
      </c>
      <c r="F61" t="e">
        <f>'P2'!K25</f>
        <v>#REF!</v>
      </c>
    </row>
    <row r="62" spans="2:6">
      <c r="B62" t="s">
        <v>248</v>
      </c>
      <c r="C62" t="s">
        <v>375</v>
      </c>
      <c r="E62" t="e">
        <f>'P2'!E26</f>
        <v>#REF!</v>
      </c>
      <c r="F62" t="e">
        <f>'P2'!K26</f>
        <v>#REF!</v>
      </c>
    </row>
    <row r="63" spans="2:6">
      <c r="B63" t="s">
        <v>249</v>
      </c>
      <c r="C63" t="s">
        <v>376</v>
      </c>
      <c r="E63" t="e">
        <f>'P2'!E27</f>
        <v>#REF!</v>
      </c>
      <c r="F63" t="e">
        <f>'P2'!K27</f>
        <v>#REF!</v>
      </c>
    </row>
    <row r="64" spans="2:6">
      <c r="B64" t="s">
        <v>250</v>
      </c>
      <c r="C64" t="s">
        <v>377</v>
      </c>
      <c r="E64" t="e">
        <f>'P2'!E28</f>
        <v>#REF!</v>
      </c>
      <c r="F64" t="e">
        <f>'P2'!K28</f>
        <v>#REF!</v>
      </c>
    </row>
    <row r="65" spans="2:6">
      <c r="B65" t="s">
        <v>251</v>
      </c>
      <c r="C65" t="s">
        <v>378</v>
      </c>
      <c r="E65">
        <f>'P2'!E29</f>
        <v>100</v>
      </c>
      <c r="F65" t="e">
        <f>'P2'!K29</f>
        <v>#REF!</v>
      </c>
    </row>
    <row r="66" spans="2:6">
      <c r="E66">
        <f>'P2'!E30</f>
        <v>100</v>
      </c>
    </row>
    <row r="67" spans="2:6">
      <c r="B67" t="s">
        <v>252</v>
      </c>
      <c r="C67" t="s">
        <v>379</v>
      </c>
      <c r="E67" t="e">
        <f>'P2'!E31</f>
        <v>#REF!</v>
      </c>
      <c r="F67" t="e">
        <f>'P2'!K31</f>
        <v>#REF!</v>
      </c>
    </row>
    <row r="68" spans="2:6">
      <c r="E68" t="e">
        <f>'P2'!E32</f>
        <v>#REF!</v>
      </c>
    </row>
    <row r="69" spans="2:6">
      <c r="B69" t="s">
        <v>253</v>
      </c>
      <c r="C69" t="s">
        <v>380</v>
      </c>
      <c r="E69" t="e">
        <f>'P2'!E33</f>
        <v>#REF!</v>
      </c>
      <c r="F69" t="e">
        <f>'P2'!K33</f>
        <v>#REF!</v>
      </c>
    </row>
    <row r="70" spans="2:6">
      <c r="B70" t="s">
        <v>254</v>
      </c>
      <c r="C70" t="s">
        <v>381</v>
      </c>
      <c r="E70" t="e">
        <f>'P2'!E34</f>
        <v>#REF!</v>
      </c>
      <c r="F70" t="e">
        <f>'P2'!K34</f>
        <v>#REF!</v>
      </c>
    </row>
    <row r="71" spans="2:6">
      <c r="B71" t="s">
        <v>255</v>
      </c>
      <c r="C71" t="s">
        <v>382</v>
      </c>
      <c r="E71" t="e">
        <f>'P2'!E35</f>
        <v>#REF!</v>
      </c>
      <c r="F71" t="e">
        <f>'P2'!K35</f>
        <v>#REF!</v>
      </c>
    </row>
    <row r="72" spans="2:6">
      <c r="B72" t="s">
        <v>256</v>
      </c>
      <c r="C72" t="s">
        <v>383</v>
      </c>
      <c r="E72">
        <f>'P2'!E36</f>
        <v>0</v>
      </c>
      <c r="F72" t="e">
        <f>'P2'!K36</f>
        <v>#REF!</v>
      </c>
    </row>
    <row r="73" spans="2:6">
      <c r="E73">
        <f>'P2'!E37</f>
        <v>100</v>
      </c>
    </row>
    <row r="75" spans="2:6">
      <c r="B75" s="28" t="s">
        <v>337</v>
      </c>
    </row>
    <row r="76" spans="2:6">
      <c r="E76" s="28" t="s">
        <v>342</v>
      </c>
      <c r="F76" s="28" t="s">
        <v>343</v>
      </c>
    </row>
    <row r="77" spans="2:6">
      <c r="B77" t="s">
        <v>257</v>
      </c>
      <c r="C77" t="s">
        <v>384</v>
      </c>
      <c r="E77" t="e">
        <f>'P3'!E5</f>
        <v>#REF!</v>
      </c>
      <c r="F77" t="e">
        <f>'P3'!K5</f>
        <v>#REF!</v>
      </c>
    </row>
    <row r="78" spans="2:6">
      <c r="B78" t="s">
        <v>258</v>
      </c>
      <c r="C78" t="s">
        <v>385</v>
      </c>
      <c r="E78" t="e">
        <f>'P3'!E6</f>
        <v>#REF!</v>
      </c>
      <c r="F78" t="e">
        <f>'P3'!K6</f>
        <v>#REF!</v>
      </c>
    </row>
    <row r="79" spans="2:6">
      <c r="B79" t="s">
        <v>260</v>
      </c>
      <c r="C79" t="s">
        <v>386</v>
      </c>
      <c r="E79" t="e">
        <f>'P3'!E7</f>
        <v>#REF!</v>
      </c>
      <c r="F79" t="e">
        <f>'P3'!K7</f>
        <v>#REF!</v>
      </c>
    </row>
    <row r="80" spans="2:6">
      <c r="B80" t="s">
        <v>259</v>
      </c>
      <c r="C80" t="s">
        <v>387</v>
      </c>
      <c r="E80" t="e">
        <f>'P3'!E8</f>
        <v>#REF!</v>
      </c>
      <c r="F80" t="e">
        <f>'P3'!K8</f>
        <v>#REF!</v>
      </c>
    </row>
    <row r="81" spans="2:6">
      <c r="B81" t="s">
        <v>261</v>
      </c>
      <c r="C81" t="s">
        <v>388</v>
      </c>
      <c r="E81" s="225" t="e">
        <f>'P3'!E9</f>
        <v>#REF!</v>
      </c>
      <c r="F81" t="e">
        <f>'P3'!K9</f>
        <v>#REF!</v>
      </c>
    </row>
    <row r="82" spans="2:6">
      <c r="B82" t="s">
        <v>262</v>
      </c>
      <c r="C82" t="s">
        <v>389</v>
      </c>
      <c r="E82" t="e">
        <f>'P3'!E10</f>
        <v>#REF!</v>
      </c>
      <c r="F82" t="e">
        <f>'P3'!K10</f>
        <v>#REF!</v>
      </c>
    </row>
    <row r="83" spans="2:6">
      <c r="B83" t="s">
        <v>263</v>
      </c>
      <c r="C83" t="s">
        <v>390</v>
      </c>
      <c r="E83" t="e">
        <f>'P3'!E11</f>
        <v>#REF!</v>
      </c>
      <c r="F83" t="e">
        <f>'P3'!K11</f>
        <v>#REF!</v>
      </c>
    </row>
    <row r="84" spans="2:6">
      <c r="B84" t="s">
        <v>264</v>
      </c>
      <c r="C84" t="s">
        <v>391</v>
      </c>
      <c r="E84" t="e">
        <f>'P3'!E12</f>
        <v>#REF!</v>
      </c>
      <c r="F84" t="e">
        <f>'P3'!K12</f>
        <v>#REF!</v>
      </c>
    </row>
    <row r="85" spans="2:6">
      <c r="E85" s="77">
        <f>'P3'!E13</f>
        <v>100</v>
      </c>
    </row>
    <row r="86" spans="2:6">
      <c r="B86" t="s">
        <v>265</v>
      </c>
      <c r="C86" t="s">
        <v>392</v>
      </c>
      <c r="E86" s="77">
        <f>'P3'!E14</f>
        <v>100</v>
      </c>
      <c r="F86" t="e">
        <f>'P3'!K14</f>
        <v>#REF!</v>
      </c>
    </row>
    <row r="87" spans="2:6">
      <c r="E87" t="e">
        <f>'P3'!E15</f>
        <v>#REF!</v>
      </c>
    </row>
    <row r="88" spans="2:6">
      <c r="B88" t="s">
        <v>320</v>
      </c>
      <c r="C88" t="s">
        <v>393</v>
      </c>
      <c r="E88" s="225" t="e">
        <f>'P3'!E16</f>
        <v>#REF!</v>
      </c>
      <c r="F88" t="e">
        <f>'P3'!K16</f>
        <v>#REF!</v>
      </c>
    </row>
    <row r="89" spans="2:6">
      <c r="B89" t="s">
        <v>266</v>
      </c>
      <c r="C89" t="s">
        <v>394</v>
      </c>
      <c r="E89" t="e">
        <f>'P3'!E17</f>
        <v>#REF!</v>
      </c>
      <c r="F89" t="e">
        <f>'P3'!K17</f>
        <v>#REF!</v>
      </c>
    </row>
    <row r="90" spans="2:6">
      <c r="E90" t="e">
        <f>'P3'!E18</f>
        <v>#REF!</v>
      </c>
    </row>
    <row r="91" spans="2:6">
      <c r="B91" t="s">
        <v>267</v>
      </c>
      <c r="C91" t="s">
        <v>395</v>
      </c>
      <c r="E91">
        <f>'P3'!E19</f>
        <v>100</v>
      </c>
      <c r="F91" t="e">
        <f>'P3'!K19</f>
        <v>#REF!</v>
      </c>
    </row>
    <row r="92" spans="2:6">
      <c r="E92">
        <f>'P3'!E20</f>
        <v>100</v>
      </c>
    </row>
    <row r="93" spans="2:6">
      <c r="B93" t="s">
        <v>268</v>
      </c>
      <c r="C93" t="s">
        <v>396</v>
      </c>
      <c r="E93" s="77">
        <f>'P3'!E21</f>
        <v>100</v>
      </c>
      <c r="F93" t="e">
        <f>'P3'!K21</f>
        <v>#REF!</v>
      </c>
    </row>
    <row r="94" spans="2:6">
      <c r="B94" t="s">
        <v>269</v>
      </c>
      <c r="C94" t="s">
        <v>397</v>
      </c>
      <c r="E94" t="e">
        <f>'P3'!E22</f>
        <v>#REF!</v>
      </c>
      <c r="F94" t="e">
        <f>'P3'!K22</f>
        <v>#REF!</v>
      </c>
    </row>
    <row r="109" spans="2:6">
      <c r="B109" s="28" t="s">
        <v>220</v>
      </c>
    </row>
    <row r="112" spans="2:6">
      <c r="E112" s="28" t="s">
        <v>342</v>
      </c>
      <c r="F112" s="28" t="s">
        <v>343</v>
      </c>
    </row>
    <row r="113" spans="2:6">
      <c r="B113" t="s">
        <v>270</v>
      </c>
      <c r="C113" t="s">
        <v>398</v>
      </c>
      <c r="E113" s="77">
        <f>'P4'!E5</f>
        <v>100</v>
      </c>
      <c r="F113" t="e">
        <f>'P4'!K5</f>
        <v>#REF!</v>
      </c>
    </row>
    <row r="114" spans="2:6">
      <c r="B114" t="s">
        <v>271</v>
      </c>
      <c r="C114" t="s">
        <v>399</v>
      </c>
      <c r="E114" s="77">
        <f>'P4'!E6</f>
        <v>100</v>
      </c>
      <c r="F114" t="e">
        <f>'P4'!K6</f>
        <v>#REF!</v>
      </c>
    </row>
    <row r="115" spans="2:6">
      <c r="B115" t="s">
        <v>272</v>
      </c>
      <c r="C115" t="s">
        <v>400</v>
      </c>
      <c r="E115" s="77" t="e">
        <f>'P4'!E7</f>
        <v>#REF!</v>
      </c>
      <c r="F115" t="e">
        <f>'P4'!K7</f>
        <v>#REF!</v>
      </c>
    </row>
    <row r="116" spans="2:6">
      <c r="B116" t="s">
        <v>273</v>
      </c>
      <c r="C116" t="s">
        <v>401</v>
      </c>
      <c r="E116" t="e">
        <f>'P4'!E8</f>
        <v>#REF!</v>
      </c>
      <c r="F116" t="e">
        <f>'P4'!K8</f>
        <v>#REF!</v>
      </c>
    </row>
    <row r="117" spans="2:6">
      <c r="B117" t="s">
        <v>274</v>
      </c>
      <c r="C117" t="s">
        <v>402</v>
      </c>
      <c r="E117" t="e">
        <f>'P4'!E9</f>
        <v>#REF!</v>
      </c>
      <c r="F117" t="e">
        <f>'P4'!K9</f>
        <v>#REF!</v>
      </c>
    </row>
    <row r="118" spans="2:6">
      <c r="B118" t="s">
        <v>275</v>
      </c>
      <c r="C118" t="s">
        <v>403</v>
      </c>
      <c r="E118" t="e">
        <f>'P4'!E10</f>
        <v>#REF!</v>
      </c>
      <c r="F118" t="e">
        <f>'P4'!K10</f>
        <v>#REF!</v>
      </c>
    </row>
    <row r="119" spans="2:6">
      <c r="B119" t="s">
        <v>276</v>
      </c>
      <c r="C119" t="s">
        <v>404</v>
      </c>
      <c r="E119" t="e">
        <f>'P4'!E11</f>
        <v>#REF!</v>
      </c>
      <c r="F119" t="e">
        <f>'P4'!K11</f>
        <v>#REF!</v>
      </c>
    </row>
    <row r="120" spans="2:6">
      <c r="B120" t="s">
        <v>277</v>
      </c>
      <c r="C120" t="s">
        <v>405</v>
      </c>
      <c r="E120" t="e">
        <f>'P4'!E12</f>
        <v>#REF!</v>
      </c>
      <c r="F120" t="e">
        <f>'P4'!K12</f>
        <v>#REF!</v>
      </c>
    </row>
    <row r="121" spans="2:6">
      <c r="B121" t="s">
        <v>278</v>
      </c>
      <c r="C121" t="s">
        <v>406</v>
      </c>
      <c r="E121" t="e">
        <f>'P4'!E13</f>
        <v>#REF!</v>
      </c>
      <c r="F121" t="e">
        <f>'P4'!K13</f>
        <v>#REF!</v>
      </c>
    </row>
    <row r="122" spans="2:6">
      <c r="B122" t="s">
        <v>279</v>
      </c>
      <c r="C122" t="s">
        <v>407</v>
      </c>
      <c r="E122" t="e">
        <f>'P4'!E14</f>
        <v>#REF!</v>
      </c>
      <c r="F122" t="e">
        <f>'P4'!K14</f>
        <v>#REF!</v>
      </c>
    </row>
    <row r="123" spans="2:6">
      <c r="B123" t="s">
        <v>280</v>
      </c>
      <c r="C123" t="s">
        <v>408</v>
      </c>
      <c r="E123" t="e">
        <f>'P4'!E15</f>
        <v>#REF!</v>
      </c>
      <c r="F123" t="e">
        <f>'P4'!K15</f>
        <v>#REF!</v>
      </c>
    </row>
    <row r="124" spans="2:6">
      <c r="B124" t="s">
        <v>281</v>
      </c>
      <c r="C124" t="s">
        <v>409</v>
      </c>
      <c r="E124" t="e">
        <f>'P4'!E16</f>
        <v>#REF!</v>
      </c>
      <c r="F124" t="e">
        <f>'P4'!K16</f>
        <v>#REF!</v>
      </c>
    </row>
    <row r="146" spans="2:6">
      <c r="B146" s="28" t="s">
        <v>338</v>
      </c>
    </row>
    <row r="147" spans="2:6">
      <c r="E147" s="28" t="s">
        <v>342</v>
      </c>
      <c r="F147" s="28" t="s">
        <v>343</v>
      </c>
    </row>
    <row r="148" spans="2:6">
      <c r="B148" t="s">
        <v>282</v>
      </c>
      <c r="C148" t="s">
        <v>410</v>
      </c>
    </row>
    <row r="149" spans="2:6">
      <c r="B149" t="s">
        <v>283</v>
      </c>
      <c r="C149" t="s">
        <v>411</v>
      </c>
    </row>
    <row r="150" spans="2:6">
      <c r="B150" t="s">
        <v>284</v>
      </c>
      <c r="C150" t="s">
        <v>412</v>
      </c>
      <c r="E150">
        <f>'P5'!E5</f>
        <v>100</v>
      </c>
      <c r="F150" t="e">
        <f>'P5'!K5</f>
        <v>#REF!</v>
      </c>
    </row>
    <row r="151" spans="2:6">
      <c r="B151" t="s">
        <v>321</v>
      </c>
      <c r="C151" t="s">
        <v>413</v>
      </c>
      <c r="E151" t="e">
        <f>'P5'!E6</f>
        <v>#REF!</v>
      </c>
      <c r="F151" t="e">
        <f>'P5'!K6</f>
        <v>#REF!</v>
      </c>
    </row>
    <row r="152" spans="2:6">
      <c r="B152" t="s">
        <v>285</v>
      </c>
      <c r="C152" t="s">
        <v>414</v>
      </c>
      <c r="E152" t="e">
        <f>'P5'!E7</f>
        <v>#REF!</v>
      </c>
      <c r="F152" t="e">
        <f>'P5'!K7</f>
        <v>#REF!</v>
      </c>
    </row>
    <row r="153" spans="2:6">
      <c r="B153" t="s">
        <v>286</v>
      </c>
      <c r="C153" t="s">
        <v>415</v>
      </c>
      <c r="E153" t="e">
        <f>'P5'!E8</f>
        <v>#REF!</v>
      </c>
      <c r="F153" t="e">
        <f>'P5'!K8</f>
        <v>#REF!</v>
      </c>
    </row>
    <row r="154" spans="2:6">
      <c r="E154" t="e">
        <f>'P5'!E9</f>
        <v>#REF!</v>
      </c>
    </row>
    <row r="155" spans="2:6">
      <c r="E155" t="e">
        <f>'P5'!E10</f>
        <v>#REF!</v>
      </c>
    </row>
    <row r="156" spans="2:6">
      <c r="B156" t="s">
        <v>287</v>
      </c>
      <c r="C156" t="s">
        <v>416</v>
      </c>
      <c r="E156">
        <f>'P5'!E11</f>
        <v>100</v>
      </c>
      <c r="F156" t="e">
        <f>'P5'!K11</f>
        <v>#REF!</v>
      </c>
    </row>
    <row r="157" spans="2:6">
      <c r="B157" t="s">
        <v>288</v>
      </c>
      <c r="C157" t="s">
        <v>417</v>
      </c>
      <c r="E157" t="e">
        <f>'P5'!E12</f>
        <v>#REF!</v>
      </c>
      <c r="F157" t="e">
        <f>'P5'!K12</f>
        <v>#REF!</v>
      </c>
    </row>
    <row r="158" spans="2:6">
      <c r="E158">
        <f>'P5'!E13</f>
        <v>0</v>
      </c>
    </row>
    <row r="159" spans="2:6">
      <c r="B159" t="s">
        <v>289</v>
      </c>
      <c r="C159" t="s">
        <v>418</v>
      </c>
      <c r="E159" t="e">
        <f>'P5'!E14</f>
        <v>#REF!</v>
      </c>
      <c r="F159" t="e">
        <f>'P5'!K14</f>
        <v>#REF!</v>
      </c>
    </row>
    <row r="160" spans="2:6">
      <c r="B160" t="s">
        <v>290</v>
      </c>
      <c r="C160" t="s">
        <v>419</v>
      </c>
      <c r="E160" t="e">
        <f>'P5'!E15</f>
        <v>#REF!</v>
      </c>
      <c r="F160" t="e">
        <f>'P5'!K15</f>
        <v>#REF!</v>
      </c>
    </row>
    <row r="161" spans="2:6">
      <c r="E161">
        <f>'P5'!E16</f>
        <v>0</v>
      </c>
    </row>
    <row r="162" spans="2:6">
      <c r="E162">
        <f>'P5'!E17</f>
        <v>0</v>
      </c>
    </row>
    <row r="163" spans="2:6">
      <c r="B163" t="s">
        <v>291</v>
      </c>
      <c r="C163" t="s">
        <v>420</v>
      </c>
      <c r="E163" s="77">
        <f>'P5'!E18</f>
        <v>100</v>
      </c>
      <c r="F163" t="e">
        <f>'P5'!K18</f>
        <v>#REF!</v>
      </c>
    </row>
    <row r="164" spans="2:6">
      <c r="E164" s="77" t="e">
        <f>'P5'!E19</f>
        <v>#REF!</v>
      </c>
    </row>
    <row r="165" spans="2:6">
      <c r="E165" s="77">
        <f>'P5'!E20</f>
        <v>100</v>
      </c>
    </row>
    <row r="166" spans="2:6">
      <c r="E166" s="77">
        <f>'P5'!E21</f>
        <v>100</v>
      </c>
    </row>
    <row r="167" spans="2:6">
      <c r="B167" t="s">
        <v>292</v>
      </c>
      <c r="C167" t="s">
        <v>421</v>
      </c>
      <c r="E167" s="77" t="e">
        <f>'P5'!E22</f>
        <v>#REF!</v>
      </c>
      <c r="F167" t="e">
        <f>'P5'!K22</f>
        <v>#REF!</v>
      </c>
    </row>
    <row r="168" spans="2:6">
      <c r="B168" t="s">
        <v>293</v>
      </c>
      <c r="C168" t="s">
        <v>422</v>
      </c>
      <c r="E168" s="77">
        <f>'P5'!E23</f>
        <v>100</v>
      </c>
      <c r="F168" t="e">
        <f>'P5'!K23</f>
        <v>#REF!</v>
      </c>
    </row>
    <row r="169" spans="2:6">
      <c r="B169" t="s">
        <v>294</v>
      </c>
      <c r="C169" t="s">
        <v>423</v>
      </c>
      <c r="E169" s="77" t="e">
        <f>'P5'!E24</f>
        <v>#REF!</v>
      </c>
      <c r="F169" t="e">
        <f>'P5'!K24</f>
        <v>#REF!</v>
      </c>
    </row>
    <row r="170" spans="2:6">
      <c r="B170" t="s">
        <v>295</v>
      </c>
      <c r="C170" t="s">
        <v>424</v>
      </c>
      <c r="E170" s="77">
        <f>'P5'!E25</f>
        <v>100</v>
      </c>
      <c r="F170" t="e">
        <f>'P5'!K25</f>
        <v>#REF!</v>
      </c>
    </row>
    <row r="171" spans="2:6">
      <c r="B171" t="s">
        <v>296</v>
      </c>
      <c r="C171" t="s">
        <v>425</v>
      </c>
      <c r="E171" s="77" t="e">
        <f>'P5'!E26</f>
        <v>#REF!</v>
      </c>
      <c r="F171" t="e">
        <f>'P5'!K26</f>
        <v>#REF!</v>
      </c>
    </row>
    <row r="172" spans="2:6">
      <c r="E172" s="77" t="e">
        <f>'P5'!E27</f>
        <v>#REF!</v>
      </c>
    </row>
    <row r="173" spans="2:6">
      <c r="B173" t="s">
        <v>297</v>
      </c>
      <c r="C173" t="s">
        <v>426</v>
      </c>
      <c r="E173" s="77" t="e">
        <f>'P5'!E28</f>
        <v>#REF!</v>
      </c>
      <c r="F173" t="e">
        <f>'P5'!K28</f>
        <v>#REF!</v>
      </c>
    </row>
    <row r="174" spans="2:6">
      <c r="B174" t="s">
        <v>298</v>
      </c>
      <c r="C174" t="s">
        <v>427</v>
      </c>
      <c r="E174" s="77">
        <f>'P5'!E29</f>
        <v>100</v>
      </c>
      <c r="F174" t="e">
        <f>'P5'!K29</f>
        <v>#REF!</v>
      </c>
    </row>
    <row r="175" spans="2:6">
      <c r="B175" t="s">
        <v>299</v>
      </c>
      <c r="C175" t="s">
        <v>428</v>
      </c>
      <c r="E175" t="e">
        <f>'P5'!E30</f>
        <v>#REF!</v>
      </c>
      <c r="F175" t="e">
        <f>'P5'!K30</f>
        <v>#REF!</v>
      </c>
    </row>
    <row r="176" spans="2:6">
      <c r="E176">
        <f>'P5'!E31</f>
        <v>0</v>
      </c>
    </row>
    <row r="177" spans="2:6">
      <c r="E177">
        <f>'P5'!E32</f>
        <v>0</v>
      </c>
    </row>
    <row r="178" spans="2:6">
      <c r="B178" t="s">
        <v>300</v>
      </c>
      <c r="C178" t="s">
        <v>429</v>
      </c>
      <c r="E178" t="e">
        <f>'P5'!E33</f>
        <v>#REF!</v>
      </c>
      <c r="F178">
        <f>'P5'!K33</f>
        <v>0</v>
      </c>
    </row>
    <row r="179" spans="2:6">
      <c r="E179" s="245">
        <f>'P5'!E34</f>
        <v>100</v>
      </c>
    </row>
    <row r="180" spans="2:6">
      <c r="E180" s="245">
        <f>'P5'!E35</f>
        <v>100</v>
      </c>
    </row>
    <row r="181" spans="2:6">
      <c r="E181">
        <f>'P5'!E36</f>
        <v>0</v>
      </c>
    </row>
    <row r="182" spans="2:6">
      <c r="E182">
        <f>'P5'!E37</f>
        <v>0</v>
      </c>
    </row>
    <row r="186" spans="2:6">
      <c r="B186" s="215" t="s">
        <v>339</v>
      </c>
    </row>
    <row r="189" spans="2:6">
      <c r="E189" s="28" t="s">
        <v>342</v>
      </c>
      <c r="F189" s="28" t="s">
        <v>343</v>
      </c>
    </row>
    <row r="190" spans="2:6">
      <c r="B190" t="s">
        <v>301</v>
      </c>
      <c r="C190" t="s">
        <v>430</v>
      </c>
      <c r="E190" t="e">
        <f>'P6'!E5</f>
        <v>#REF!</v>
      </c>
      <c r="F190" s="216" t="e">
        <f>'P6'!K5</f>
        <v>#REF!</v>
      </c>
    </row>
    <row r="191" spans="2:6">
      <c r="B191" t="s">
        <v>302</v>
      </c>
      <c r="C191" t="s">
        <v>431</v>
      </c>
      <c r="E191" t="e">
        <f>'P6'!E6</f>
        <v>#REF!</v>
      </c>
      <c r="F191" s="216" t="e">
        <f>'P6'!K6</f>
        <v>#REF!</v>
      </c>
    </row>
    <row r="192" spans="2:6">
      <c r="B192">
        <v>0</v>
      </c>
      <c r="E192" t="e">
        <f>'P6'!E7</f>
        <v>#REF!</v>
      </c>
      <c r="F192" s="216"/>
    </row>
    <row r="193" spans="2:6">
      <c r="B193">
        <v>0</v>
      </c>
      <c r="E193" t="e">
        <f>'P6'!E8</f>
        <v>#REF!</v>
      </c>
      <c r="F193" s="216"/>
    </row>
    <row r="194" spans="2:6">
      <c r="B194">
        <v>0</v>
      </c>
      <c r="E194" t="e">
        <f>'P6'!E9</f>
        <v>#REF!</v>
      </c>
      <c r="F194" s="216"/>
    </row>
    <row r="195" spans="2:6">
      <c r="B195">
        <v>0</v>
      </c>
      <c r="E195" t="e">
        <f>'P6'!E10</f>
        <v>#REF!</v>
      </c>
      <c r="F195" s="216"/>
    </row>
    <row r="196" spans="2:6">
      <c r="B196">
        <v>0</v>
      </c>
      <c r="E196">
        <f>'P6'!E11</f>
        <v>100</v>
      </c>
      <c r="F196" s="216"/>
    </row>
    <row r="197" spans="2:6">
      <c r="B197">
        <v>0</v>
      </c>
      <c r="E197" t="e">
        <f>'P6'!E12</f>
        <v>#REF!</v>
      </c>
      <c r="F197" s="216"/>
    </row>
    <row r="198" spans="2:6">
      <c r="B198">
        <v>0</v>
      </c>
      <c r="E198" t="e">
        <f>'P6'!E13</f>
        <v>#REF!</v>
      </c>
      <c r="F198" s="216"/>
    </row>
    <row r="199" spans="2:6">
      <c r="B199">
        <v>0</v>
      </c>
      <c r="E199" t="e">
        <f>'P6'!E14</f>
        <v>#REF!</v>
      </c>
      <c r="F199" s="216"/>
    </row>
    <row r="200" spans="2:6">
      <c r="B200" t="s">
        <v>303</v>
      </c>
      <c r="C200" t="s">
        <v>432</v>
      </c>
      <c r="E200" s="77">
        <f>'P6'!E15</f>
        <v>100</v>
      </c>
      <c r="F200" s="216" t="e">
        <f>'P6'!K15</f>
        <v>#REF!</v>
      </c>
    </row>
    <row r="201" spans="2:6">
      <c r="B201" t="s">
        <v>304</v>
      </c>
      <c r="C201" t="s">
        <v>433</v>
      </c>
      <c r="E201" t="e">
        <f>'P6'!E16</f>
        <v>#REF!</v>
      </c>
      <c r="F201" s="216" t="e">
        <f>'P6'!K16</f>
        <v>#REF!</v>
      </c>
    </row>
    <row r="202" spans="2:6">
      <c r="B202" t="s">
        <v>305</v>
      </c>
      <c r="C202" t="s">
        <v>434</v>
      </c>
      <c r="E202" t="e">
        <f>'P6'!E17</f>
        <v>#REF!</v>
      </c>
      <c r="F202" s="216" t="e">
        <f>'P6'!K17</f>
        <v>#REF!</v>
      </c>
    </row>
    <row r="203" spans="2:6">
      <c r="B203" t="s">
        <v>306</v>
      </c>
      <c r="C203" t="s">
        <v>435</v>
      </c>
      <c r="E203" t="e">
        <f>'P6'!E18</f>
        <v>#REF!</v>
      </c>
      <c r="F203" s="216" t="e">
        <f>'P6'!K18</f>
        <v>#REF!</v>
      </c>
    </row>
    <row r="204" spans="2:6">
      <c r="B204" t="s">
        <v>307</v>
      </c>
      <c r="C204" t="s">
        <v>436</v>
      </c>
      <c r="E204" t="e">
        <f>'P6'!E19</f>
        <v>#REF!</v>
      </c>
      <c r="F204" s="216" t="e">
        <f>'P6'!K19</f>
        <v>#REF!</v>
      </c>
    </row>
    <row r="205" spans="2:6">
      <c r="B205">
        <v>0</v>
      </c>
      <c r="E205" t="e">
        <f>'P6'!E20</f>
        <v>#REF!</v>
      </c>
      <c r="F205" s="216"/>
    </row>
    <row r="206" spans="2:6">
      <c r="B206">
        <v>0</v>
      </c>
      <c r="E206" t="e">
        <f>'P6'!E21</f>
        <v>#REF!</v>
      </c>
      <c r="F206" s="216"/>
    </row>
    <row r="207" spans="2:6">
      <c r="B207" t="s">
        <v>308</v>
      </c>
      <c r="C207" t="s">
        <v>437</v>
      </c>
      <c r="E207" t="e">
        <f>'P6'!E22</f>
        <v>#REF!</v>
      </c>
      <c r="F207" s="216" t="e">
        <f>'P6'!K22</f>
        <v>#REF!</v>
      </c>
    </row>
    <row r="224" spans="2:2">
      <c r="B224" s="28" t="s">
        <v>341</v>
      </c>
    </row>
    <row r="226" spans="2:6">
      <c r="E226" s="28" t="s">
        <v>342</v>
      </c>
      <c r="F226" s="28" t="s">
        <v>343</v>
      </c>
    </row>
    <row r="227" spans="2:6">
      <c r="B227" t="s">
        <v>309</v>
      </c>
      <c r="C227" t="s">
        <v>438</v>
      </c>
      <c r="E227" t="e">
        <f>'P7'!E5</f>
        <v>#REF!</v>
      </c>
      <c r="F227" s="217" t="e">
        <f>'P7'!K5</f>
        <v>#REF!</v>
      </c>
    </row>
    <row r="228" spans="2:6">
      <c r="B228" t="s">
        <v>310</v>
      </c>
      <c r="C228" t="s">
        <v>439</v>
      </c>
      <c r="E228" s="77" t="e">
        <f>'P7'!E6</f>
        <v>#REF!</v>
      </c>
      <c r="F228" s="217" t="e">
        <f>'P7'!K6</f>
        <v>#REF!</v>
      </c>
    </row>
    <row r="229" spans="2:6">
      <c r="B229">
        <v>0</v>
      </c>
      <c r="E229" t="e">
        <f>'P7'!E7</f>
        <v>#REF!</v>
      </c>
      <c r="F229" s="217"/>
    </row>
    <row r="230" spans="2:6">
      <c r="B230">
        <v>0</v>
      </c>
      <c r="E230" t="e">
        <f>'P7'!E8</f>
        <v>#REF!</v>
      </c>
      <c r="F230" s="217"/>
    </row>
    <row r="231" spans="2:6">
      <c r="B231">
        <v>0</v>
      </c>
      <c r="E231" t="e">
        <f>'P7'!E9</f>
        <v>#REF!</v>
      </c>
      <c r="F231" s="217"/>
    </row>
    <row r="232" spans="2:6">
      <c r="B232" t="s">
        <v>311</v>
      </c>
      <c r="C232" t="s">
        <v>440</v>
      </c>
      <c r="E232" t="e">
        <f>'P7'!E10</f>
        <v>#REF!</v>
      </c>
      <c r="F232" s="217" t="e">
        <f>'P7'!K10</f>
        <v>#REF!</v>
      </c>
    </row>
    <row r="233" spans="2:6">
      <c r="B233" t="s">
        <v>312</v>
      </c>
      <c r="C233" t="s">
        <v>441</v>
      </c>
      <c r="E233" s="245">
        <f>'P7'!E11</f>
        <v>100</v>
      </c>
      <c r="F233" s="217" t="e">
        <f>'P7'!K11</f>
        <v>#REF!</v>
      </c>
    </row>
    <row r="234" spans="2:6">
      <c r="B234">
        <v>0</v>
      </c>
      <c r="E234">
        <f>'P7'!E12</f>
        <v>100</v>
      </c>
      <c r="F234" s="217"/>
    </row>
    <row r="235" spans="2:6">
      <c r="B235" t="s">
        <v>313</v>
      </c>
      <c r="C235" t="s">
        <v>442</v>
      </c>
      <c r="E235" t="e">
        <f>'P7'!E13</f>
        <v>#REF!</v>
      </c>
      <c r="F235" s="217" t="e">
        <f>'P7'!K13</f>
        <v>#REF!</v>
      </c>
    </row>
    <row r="236" spans="2:6">
      <c r="B236" t="s">
        <v>314</v>
      </c>
      <c r="C236" t="s">
        <v>443</v>
      </c>
      <c r="E236" t="e">
        <f>'P7'!E14</f>
        <v>#REF!</v>
      </c>
      <c r="F236" s="217" t="e">
        <f>'P7'!K14</f>
        <v>#REF!</v>
      </c>
    </row>
    <row r="237" spans="2:6">
      <c r="B237">
        <v>0</v>
      </c>
      <c r="E237">
        <f>'P7'!E15</f>
        <v>0</v>
      </c>
      <c r="F237" s="217"/>
    </row>
    <row r="238" spans="2:6">
      <c r="B238">
        <v>0</v>
      </c>
      <c r="E238">
        <f>'P7'!E16</f>
        <v>0</v>
      </c>
      <c r="F238" s="217"/>
    </row>
    <row r="239" spans="2:6">
      <c r="B239">
        <v>0</v>
      </c>
      <c r="E239">
        <f>'P7'!E17</f>
        <v>0</v>
      </c>
      <c r="F239" s="217"/>
    </row>
    <row r="240" spans="2:6">
      <c r="B240">
        <v>0</v>
      </c>
      <c r="E240">
        <f>'P7'!E18</f>
        <v>0</v>
      </c>
      <c r="F240" s="217"/>
    </row>
    <row r="241" spans="2:6">
      <c r="B241" t="s">
        <v>315</v>
      </c>
      <c r="C241" t="s">
        <v>444</v>
      </c>
      <c r="E241" t="e">
        <f>'P7'!E19</f>
        <v>#REF!</v>
      </c>
      <c r="F241" s="217" t="e">
        <f>'P7'!K19</f>
        <v>#REF!</v>
      </c>
    </row>
    <row r="242" spans="2:6">
      <c r="B242" t="s">
        <v>316</v>
      </c>
      <c r="C242" t="s">
        <v>445</v>
      </c>
      <c r="E242" s="77" t="e">
        <f>'P7'!E20</f>
        <v>#REF!</v>
      </c>
      <c r="F242" s="217" t="e">
        <f>'P7'!K20</f>
        <v>#REF!</v>
      </c>
    </row>
    <row r="243" spans="2:6">
      <c r="B243" t="s">
        <v>317</v>
      </c>
      <c r="C243" t="s">
        <v>446</v>
      </c>
      <c r="E243" t="e">
        <f>'P7'!E21</f>
        <v>#REF!</v>
      </c>
      <c r="F243" s="217" t="e">
        <f>'P7'!K21</f>
        <v>#REF!</v>
      </c>
    </row>
    <row r="244" spans="2:6">
      <c r="B244" t="s">
        <v>318</v>
      </c>
      <c r="C244" t="s">
        <v>447</v>
      </c>
      <c r="E244" t="e">
        <f>'P7'!E22</f>
        <v>#REF!</v>
      </c>
      <c r="F244" s="217" t="e">
        <f>'P7'!K22</f>
        <v>#REF!</v>
      </c>
    </row>
    <row r="245" spans="2:6">
      <c r="B245">
        <v>0</v>
      </c>
      <c r="E245" t="e">
        <f>'P7'!E23</f>
        <v>#REF!</v>
      </c>
      <c r="F245" s="217"/>
    </row>
    <row r="246" spans="2:6">
      <c r="B246" t="s">
        <v>319</v>
      </c>
      <c r="C246" t="s">
        <v>448</v>
      </c>
      <c r="E246" t="e">
        <f>'P7'!E24</f>
        <v>#REF!</v>
      </c>
      <c r="F246" s="217" t="e">
        <f>'P7'!K24</f>
        <v>#REF!</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24</vt:i4>
      </vt:variant>
    </vt:vector>
  </HeadingPairs>
  <TitlesOfParts>
    <vt:vector size="45" baseType="lpstr">
      <vt:lpstr>TABLA 7 ESTRUCTURA PROGRAMÁTICA</vt:lpstr>
      <vt:lpstr>TABLA 7a EJEMPLO PONDERACIONES</vt:lpstr>
      <vt:lpstr>ANEXO 1. MATRIZ DE SEGUIMIENTO</vt:lpstr>
      <vt:lpstr>ANEXO 5-1 INGRESOS</vt:lpstr>
      <vt:lpstr>Anexo 5-2 Gastos</vt:lpstr>
      <vt:lpstr>graficos</vt:lpstr>
      <vt:lpstr>Hoja2</vt:lpstr>
      <vt:lpstr>GASTOS RCC</vt:lpstr>
      <vt:lpstr>Hoja1</vt:lpstr>
      <vt:lpstr>Avance Metas RAE 2014</vt:lpstr>
      <vt:lpstr>Avance Metas RCC 2014</vt:lpstr>
      <vt:lpstr>Hoja3</vt:lpstr>
      <vt:lpstr>ANEXO 3. SIGOB</vt:lpstr>
      <vt:lpstr>P1</vt:lpstr>
      <vt:lpstr>P2</vt:lpstr>
      <vt:lpstr>P3</vt:lpstr>
      <vt:lpstr>P4</vt:lpstr>
      <vt:lpstr>P5</vt:lpstr>
      <vt:lpstr>P6</vt:lpstr>
      <vt:lpstr>P7</vt:lpstr>
      <vt:lpstr>Gráficos</vt:lpstr>
      <vt:lpstr>'TABLA 7 ESTRUCTURA PROGRAMÁTICA'!_Toc239512525</vt:lpstr>
      <vt:lpstr>'ANEXO 5-1 INGRESOS'!Área_de_impresión</vt:lpstr>
      <vt:lpstr>'Avance Metas RCC 2014'!Área_de_impresión</vt:lpstr>
      <vt:lpstr>'GASTOS RCC'!Área_de_impresión</vt:lpstr>
      <vt:lpstr>'P1'!Área_de_impresión</vt:lpstr>
      <vt:lpstr>'P2'!Área_de_impresión</vt:lpstr>
      <vt:lpstr>'P3'!Área_de_impresión</vt:lpstr>
      <vt:lpstr>'P5'!Área_de_impresión</vt:lpstr>
      <vt:lpstr>'P6'!Área_de_impresión</vt:lpstr>
      <vt:lpstr>'P7'!Área_de_impresión</vt:lpstr>
      <vt:lpstr>'TABLA 7 ESTRUCTURA PROGRAMÁTICA'!Área_de_impresión</vt:lpstr>
      <vt:lpstr>'ANEXO 1. MATRIZ DE SEGUIMIENTO'!Títulos_a_imprimir</vt:lpstr>
      <vt:lpstr>'ANEXO 5-1 INGRESOS'!Títulos_a_imprimir</vt:lpstr>
      <vt:lpstr>'Avance Metas RAE 2014'!Títulos_a_imprimir</vt:lpstr>
      <vt:lpstr>'Avance Metas RCC 2014'!Títulos_a_imprimir</vt:lpstr>
      <vt:lpstr>'GASTOS RCC'!Títulos_a_imprimir</vt:lpstr>
      <vt:lpstr>'P1'!Títulos_a_imprimir</vt:lpstr>
      <vt:lpstr>'P2'!Títulos_a_imprimir</vt:lpstr>
      <vt:lpstr>'P3'!Títulos_a_imprimir</vt:lpstr>
      <vt:lpstr>'P4'!Títulos_a_imprimir</vt:lpstr>
      <vt:lpstr>'P5'!Títulos_a_imprimir</vt:lpstr>
      <vt:lpstr>'P6'!Títulos_a_imprimir</vt:lpstr>
      <vt:lpstr>'P7'!Títulos_a_imprimir</vt:lpstr>
      <vt:lpstr>'TABLA 7 ESTRUCTURA PROGRAMÁTICA'!Títulos_a_imprimir</vt:lpstr>
    </vt:vector>
  </TitlesOfParts>
  <Company>MAVDT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dmunoz</dc:creator>
  <cp:lastModifiedBy>Planeacion-OCAD</cp:lastModifiedBy>
  <cp:lastPrinted>2018-06-07T17:01:57Z</cp:lastPrinted>
  <dcterms:created xsi:type="dcterms:W3CDTF">2009-08-25T14:45:07Z</dcterms:created>
  <dcterms:modified xsi:type="dcterms:W3CDTF">2021-02-19T21:14:54Z</dcterms:modified>
</cp:coreProperties>
</file>